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885580A2-2AC2-9D4D-9492-292877BBE6DA}"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T16" i="1"/>
  <c r="BF17" i="1"/>
  <c r="BT17" i="1"/>
  <c r="BF18" i="1"/>
  <c r="BT18" i="1"/>
  <c r="BT19" i="1"/>
  <c r="BF20" i="1"/>
  <c r="BT20" i="1"/>
  <c r="BF21" i="1"/>
  <c r="BT21" i="1"/>
  <c r="BF22" i="1"/>
  <c r="BT22" i="1"/>
  <c r="BF23" i="1"/>
  <c r="BT23" i="1"/>
  <c r="BF24" i="1"/>
  <c r="BT24" i="1"/>
  <c r="BT25"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T235" i="1"/>
  <c r="BT236" i="1"/>
  <c r="BT237" i="1"/>
  <c r="BT238" i="1"/>
  <c r="BT239"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T700" i="1"/>
  <c r="BT701" i="1"/>
  <c r="BT702" i="1"/>
  <c r="BF703" i="1"/>
  <c r="BT703" i="1"/>
  <c r="BF704" i="1"/>
  <c r="BT704" i="1"/>
  <c r="BF705" i="1"/>
  <c r="BT705" i="1"/>
  <c r="BF706" i="1"/>
  <c r="BT706" i="1"/>
  <c r="BF707" i="1"/>
  <c r="BT707" i="1"/>
  <c r="BF708" i="1"/>
  <c r="BT708" i="1"/>
  <c r="BF709" i="1"/>
  <c r="BT709" i="1"/>
  <c r="BF710" i="1"/>
  <c r="BT710"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T979" i="1"/>
  <c r="BF980" i="1"/>
  <c r="BT980" i="1"/>
  <c r="BF981" i="1"/>
  <c r="BT981" i="1"/>
  <c r="BF982" i="1"/>
  <c r="BT982" i="1"/>
  <c r="BF983" i="1"/>
  <c r="BT983" i="1"/>
  <c r="BF984" i="1"/>
  <c r="BT984" i="1"/>
  <c r="BF985" i="1"/>
  <c r="BT985" i="1"/>
  <c r="BF986" i="1"/>
  <c r="BT986" i="1"/>
  <c r="BF987" i="1"/>
  <c r="BT987"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<sst xmlns="http://schemas.openxmlformats.org/spreadsheetml/2006/main" count="59952" uniqueCount="19026">
  <si>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</si>
  <si>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</si>
  <si>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</si>
  <si>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</si>
  <si>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</si>
  <si>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</si>
  <si>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</si>
  <si>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</si>
  <si>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</si>
  <si>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</si>
  <si>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</si>
  <si>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</si>
  <si>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</si>
  <si>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</si>
  <si>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</si>
  <si>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</si>
  <si>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</si>
  <si>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</si>
  <si>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</si>
  <si>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</si>
  <si>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</si>
  <si>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</si>
  <si>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</si>
  <si>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</si>
  <si>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</si>
  <si>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</si>
  <si>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</si>
  <si>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</si>
  <si>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</si>
  <si>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</si>
  <si>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</si>
  <si>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</si>
  <si>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</si>
  <si>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</si>
  <si>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</si>
  <si>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</si>
  <si>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</si>
  <si>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</si>
  <si>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</si>
  <si>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</si>
  <si>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</si>
  <si>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</si>
  <si>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</si>
  <si>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</si>
  <si>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</si>
  <si>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</si>
  <si>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</si>
  <si>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</si>
  <si>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</si>
  <si>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</si>
  <si>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</si>
  <si>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</si>
  <si>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</si>
  <si>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</si>
  <si>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</si>
  <si>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</si>
  <si>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</si>
  <si>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</si>
  <si>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</si>
  <si>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</si>
  <si>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</si>
  <si>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</si>
  <si>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</si>
  <si>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</si>
  <si>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</si>
  <si>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</si>
  <si>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</si>
  <si>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</si>
  <si>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</si>
  <si>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</si>
  <si>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</si>
  <si>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</si>
  <si>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</si>
  <si>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Johnson, GC; Lumpkin, R</t>
  </si>
  <si>
    <t/>
  </si>
  <si>
    <t>Johnson, G. C.; Lumpkin, R.</t>
  </si>
  <si>
    <t>GLOBAL OCEANS</t>
  </si>
  <si>
    <t>BULLETIN OF THE AMERICAN METEOROLOGICAL SOCIETY</t>
  </si>
  <si>
    <t>English</t>
  </si>
  <si>
    <t>Article</t>
  </si>
  <si>
    <t>MERIDIONAL OVERTURNING CIRCULATION; SEA-SURFACE TEMPERATURE; NORTH-ATLANTIC; CLIMATE-CHANGE; LEVEL RISE; INTERANNUAL VARIABILITY; DATA PRODUCTS; NEAR-SURFACE; EL-NINO; OXYGEN</t>
  </si>
  <si>
    <t>[Johnson, G. C.] NOAA OAR Pacific Marine Environm Lab, Seattle, WA 98115 USA; [Lumpkin, R.] NOAA OAR Atlantic Oceanog &amp; Meteorol Lab, Miami, FL USA</t>
  </si>
  <si>
    <t>National Oceanic Atmospheric Admin (NOAA) - USA; Atlantic Oceanographic &amp; Meteorological Laboratory (AOML)</t>
  </si>
  <si>
    <t>Johnson, GC (corresponding author), NOAA OAR Pacific Marine Environm Lab, Seattle, WA 98115 USA.</t>
  </si>
  <si>
    <t>Gregory.C.Johnson@noaa.gov</t>
  </si>
  <si>
    <t>Keyes, Dennis/AAZ-9285-2021; Johnson, Gregory C/I-6559-2012; Cronin, Meghan F./M-3155-2018; Lumpkin, Rick/C-9615-2009; Mishonov, Alexey/F-3211-2011; Hobbs, Will/G-5116-2014</t>
  </si>
  <si>
    <t>Johnson, Gregory C/0000-0002-8023-4020; Cronin, Meghan F./0000-0002-4703-8132; Lumpkin, Rick/0000-0002-6690-1704; Mishonov, Alexey/0000-0002-2958-8747; Carrilho Bilo, Tiago/0000-0002-4007-5862; CHAN, DUO/0000-0002-8573-5115; Hobbs, Will/0000-0002-2061-0899</t>
  </si>
  <si>
    <t>National Oceanic and Atmospheric Administration (NOAA) [NA20OAR4320472]; U.K. Natural Environment Research Council; National Science Foundation; NOAA's Global Ocean Monitoring and Observing (GOMO) program; NOAA's Climate Variability and Predictability program [NA20OAR4310407]; Atlantic Oceanographic and Meteorological Laboratory (AOML); NOAA's GOMO program; NOAA's Atlantic Oceanographic &amp; Meteorological Laboratory; Australian Government, Antarctic Science Collaboration Initiative program</t>
  </si>
  <si>
    <t>National Oceanic and Atmospheric Administration (NOAA)(National Oceanic Atmospheric Admin (NOAA) - USA); U.K. Natural Environment Research Council(UK Research &amp; Innovation (UKRI)Natural Environment Research Council (NERC)); National Science Foundation(National Science Foundation (NSF)); NOAA's Global Ocean Monitoring and Observing (GOMO) program; NOAA's Climate Variability and Predictability program(National Oceanic Atmospheric Admin (NOAA) - USA); Atlantic Oceanographic and Meteorological Laboratory (AOML)(National Oceanic Atmospheric Admin (NOAA) - USA); NOAA's GOMO program; NOAA's Atlantic Oceanographic &amp; Meteorological Laboratory(National Oceanic Atmospheric Admin (NOAA) - USA); Australian Government, Antarctic Science Collaboration Initiative program(Australian Government)</t>
  </si>
  <si>
    <t>Atlantic meridional overturning circulation. This work was carried out in part under the auspices of the Cooperative Institute for Marine and Atmospheric Studies, a Cooperative Institute of the University of Miami and the National Oceanic and Atmospheric Administration (NOAA), cooperative agreement #NA20OAR4320472. The MOC observations at 26.5 degrees N have been jointly funded by the U.K. Natural Environment Research Council, the National Science Foundation, and NOAA's Global Ocean Monitoring and Observing (GOMO) program. The MOC estimates at 41 degrees N were obtained at the Jet Propulsion Laboratory under a contract with NASA.; D. L. Volkov was supported by NOAA's Climate Variability and Predictability program (Grant NA20OAR4310407) and Atlantic Oceanographic and Meteorological Laboratory (AOML).; Shenfu Dong was supported via NOAA's GOMO program with additional support from NOAA's Atlantic Oceanographic &amp; Meteorological Laboratory.; W. Hobbs received grant funding from the Australian Government as part of the Antarctic Science Collaboration Initiative program.</t>
  </si>
  <si>
    <t>AMER METEOROLOGICAL SOC</t>
  </si>
  <si>
    <t>BOSTON</t>
  </si>
  <si>
    <t>45 BEACON ST, BOSTON, MA 02108-3693, UNITED STATES</t>
  </si>
  <si>
    <t>0003-0007</t>
  </si>
  <si>
    <t>1520-0477</t>
  </si>
  <si>
    <t>B AM METEOROL SOC</t>
  </si>
  <si>
    <t>Bull. Amer. Meteorol. Soc.</t>
  </si>
  <si>
    <t>SEP</t>
  </si>
  <si>
    <t>S</t>
  </si>
  <si>
    <t>SI</t>
  </si>
  <si>
    <t>S146</t>
  </si>
  <si>
    <t>S206</t>
  </si>
  <si>
    <t>10.1175/BAMS-D-23-0076.2</t>
  </si>
  <si>
    <t>Meteorology &amp; Atmospheric Sciences</t>
  </si>
  <si>
    <t>Science Citation Index Expanded (SCI-EXPANDED)</t>
  </si>
  <si>
    <t>GD0L6</t>
  </si>
  <si>
    <t>Bronze, Green Accepted</t>
  </si>
  <si>
    <t>2024-04-21</t>
  </si>
  <si>
    <t>WOS:001150608200003</t>
  </si>
  <si>
    <t>Grotti, M; Vecchio, MA; Gobbato, D; Mataloni, M; Ardini, F</t>
  </si>
  <si>
    <t>Grotti, Marco; Vecchio, Maria Alessia; Gobbato, Dalia; Mataloni, Matilde; Ardini, Francisco</t>
  </si>
  <si>
    <t>Strontium Isotopic Fingerprinting of Atmospheric Particulate Matter by Quadrupole Inductively Coupled Plasma Mass Spectrometry</t>
  </si>
  <si>
    <t>ATOMIC SPECTROSCOPY</t>
  </si>
  <si>
    <t>SOURCE APPORTIONMENT; AEROSOL SOURCES; AIR-POLLUTION; SR; PB; DUST; ND; ELEMENTS; TRACERS; SINGLE</t>
  </si>
  <si>
    <t>The strontium (Sr) isotopic composition of the atmospheric particulate samples was measured using singlequadrupole inductively coupled plasma mass spectrometry. After the multivariate optimization of the main operating conditions (sample uptake rate, spray chamber temperature, and quadrupole voltages), the 87Sr/86Sr isotopic ratio was measured with an internal precision of similar to 0.1% (%RSD, n=12) at the Sr concentration of 2-10 mu g L-1 and similar to 0.2% at 0.5-2 mu g L-1. The isobaric interferences were mathematically fixed, whereas the instrumental mass bias was efficiently corrected by a combination of internal corrections based on the measurement of the 88Sr/86Sr ratio and bracketing external calibration. Finally, an optimized Sr isolation procedure produced a low procedural blank (0.05 +/- 0.01 mu g L-1) and good recovery (78 +/- 7%) at a low Sr concentration (0.5-2 mu g L-1). The applicability of the developed method was demonstrated by the analysis of a time series of PM10 samples collected from the Antarctic Plateau, which are characterized by a low Sr concentration and limited sample mass. The results were in excellent agreement with those published in the literature.</t>
  </si>
  <si>
    <t>[Grotti, Marco; Vecchio, Maria Alessia; Gobbato, Dalia; Mataloni, Matilde; Ardini, Francisco] Univ Genoa, Dept Chem &amp; Ind Chem, Via Dodecaneso 31, I-16146 Genoa, Italy</t>
  </si>
  <si>
    <t>University of Genoa</t>
  </si>
  <si>
    <t>Grotti, M (corresponding author), Univ Genoa, Dept Chem &amp; Ind Chem, Via Dodecaneso 31, I-16146 Genoa, Italy.</t>
  </si>
  <si>
    <t>Marco.Grotti@unige.it</t>
  </si>
  <si>
    <t>Italian National Program for Research in Antarctica [PNRA14_00091, PNRA16_00252]; Italian Arctic Research Program [PRA2021-0020]; FESR</t>
  </si>
  <si>
    <t>Italian National Program for Research in Antarctica(Ministry of Education, Universities and Research (MIUR)); Italian Arctic Research Program; FESR</t>
  </si>
  <si>
    <t>This study was financially supported by the Italian National Program for Research in Antarctica (projects PNRA14_00091 and PNRA16_00252) and the Italian Arctic Research Program (project PRA2021-0020 BETHA-Ny angstrom). The purchase of NexION 2000 was supported by FESR (project Blue-Lab Net).</t>
  </si>
  <si>
    <t>ATOMIC SPECTROSCOPY PRESS LTD</t>
  </si>
  <si>
    <t>KWAI CHUNG</t>
  </si>
  <si>
    <t>FLAT H29, 1-F, PHASE 2 KWAI SHING IND BLDG, NO 42-46 TAI LIN PAI RD, KWAI CHUNG, KWAI TSING, HONG KONG</t>
  </si>
  <si>
    <t>0195-5373</t>
  </si>
  <si>
    <t>2708-521X</t>
  </si>
  <si>
    <t>ATOM SPECTROSC</t>
  </si>
  <si>
    <t>Atom. Spectrosc.</t>
  </si>
  <si>
    <t>SEP-OCT</t>
  </si>
  <si>
    <t>10.46770/AS.2023.270</t>
  </si>
  <si>
    <t>Spectroscopy</t>
  </si>
  <si>
    <t>JE4S5</t>
  </si>
  <si>
    <t>Bronze</t>
  </si>
  <si>
    <t>WOS:001171481000003</t>
  </si>
  <si>
    <t>Shackleton, S; Seltzer, A; Baggenstos, D; Lisiecki, LE</t>
  </si>
  <si>
    <t>Shackleton, Sarah; Seltzer, Alan; Baggenstos, Daniel; Lisiecki, Lorraine E.</t>
  </si>
  <si>
    <t>Benthic δ18O records Earth's energy imbalance</t>
  </si>
  <si>
    <t>NATURE GEOSCIENCE</t>
  </si>
  <si>
    <t>LAST GLACIAL MAXIMUM; MERIDIONAL OVERTURNING CIRCULATION; SEA-LEVEL; ICE VOLUME; OCEAN TEMPERATURE; CLIMATE; WATER; EVOLUTION; ISOTOPE; MIDDLE</t>
  </si>
  <si>
    <t>Oxygen isotope ratios (delta O-18) of foraminifera in marine sediment records have fundamentally shaped our understanding of the ice ages and global climate change. Interpretation of these records has, however, been challenging because they reflect contributions from both ocean temperature and ice volume. Here, instead of disentangling, we reconstruct global benthic foraminiferal delta O-18 across the last deglaciation (18-11.5 ka) with ice volume constraints from fossil corals and ocean temperature constraints from ice core noble gases. We demonstrate that, while ocean temperature and ice volume histories are distinct, their summed contributions to delta O-18 agree remarkably well with benthic delta O-18 records. Given the agreement between predicted and observed delta O-18, we further build upon recent insight into global energy fluxes and introduce a framework to quantitively reconstruct top-of-atmosphere net radiative imbalance, or Earth's energy imbalance, from delta O-18. Finally, we reconstruct 150,000 years of energy imbalance, which broadly follows Northern Hemisphere summer insolation but shows millennial-scale energy gain during the cold intervals surrounding Heinrich events. This suggests that, in addition to external forcing, internal variability plays an important role in modifying the global energy budget on long (millennial-plus) timescales.</t>
  </si>
  <si>
    <t>[Shackleton, Sarah] Princeton Univ, Dept Geosci, Princeton, NJ 08544 USA; [Seltzer, Alan] Woods Hole Oceanog Inst, Marine Chem &amp; Geochem Dept, Woods Hole, MA 02543 USA; [Baggenstos, Daniel] Australian Antarctic Div, Kingston, Australia; [Baggenstos, Daniel] Univ Tasmania, Australian Antarct Program Partnership, Inst Marine &amp; Antarctic Studies, Hobart, Tas, Australia; [Lisiecki, Lorraine E.] Univ Calif Santa Barbara, Dept Earth Sci, Santa Barbara, CA 93106 USA</t>
  </si>
  <si>
    <t>Princeton University; Woods Hole Oceanographic Institution; Australian Antarctic Division; University of Tasmania; University of California System; University of California Santa Barbara</t>
  </si>
  <si>
    <t>Shackleton, S (corresponding author), Princeton Univ, Dept Geosci, Princeton, NJ 08544 USA.</t>
  </si>
  <si>
    <t>ss77@princeton.edu</t>
  </si>
  <si>
    <t>Lisiecki, Lorraine/0000-0001-7859-0096; Baggenstos, Daniel/0000-0001-9756-6884; Shackleton, Sarah/0000-0001-5927-1954</t>
  </si>
  <si>
    <t>NATURE PORTFOLIO</t>
  </si>
  <si>
    <t>BERLIN</t>
  </si>
  <si>
    <t>HEIDELBERGER PLATZ 3, BERLIN, 14197, GERMANY</t>
  </si>
  <si>
    <t>1752-0894</t>
  </si>
  <si>
    <t>1752-0908</t>
  </si>
  <si>
    <t>NAT GEOSCI</t>
  </si>
  <si>
    <t>Nat. Geosci.</t>
  </si>
  <si>
    <t>+</t>
  </si>
  <si>
    <t>10.1038/s41561-023-01250-y</t>
  </si>
  <si>
    <t>Geosciences, Multidisciplinary</t>
  </si>
  <si>
    <t>Geology</t>
  </si>
  <si>
    <t>IW5F3</t>
  </si>
  <si>
    <t>WOS:001169380400005</t>
  </si>
  <si>
    <t>Zhao, F; Yu, CM; Sun, HN; Zhao, LS; Ding, HT; Cao, HY; Chen, Y; Qin, QL; Zhang, YZ; Li, PY; Chen, XL</t>
  </si>
  <si>
    <t>Zhao, Fang; Yu, Chun-Mei; Sun, Hai-Ning; Zhao, Long-Sheng; Ding, Hai -Tao; Cao, Hai-Yan; Chen, Yin; Qin, Qi-Long; Zhang, Yu-Zhong; Li, Ping-Yi; Chen, Xiu-Lan</t>
  </si>
  <si>
    <t>A novel class of xylanases specifically degrade marine red algal P1,3/1,4-mixed-linkage xylan</t>
  </si>
  <si>
    <t>JOURNAL OF BIOLOGICAL CHEMISTRY</t>
  </si>
  <si>
    <t>CRYSTAL-STRUCTURES; CATALYTIC DOMAIN; BETA-1,3-XYLANASE; PURIFICATION; BACTERIUM; COMPLEX; BINDING; POLYSACCHARIDES; RESIDUES; FAMILIES</t>
  </si>
  <si>
    <t>Xylans are polysaccharides composed of xylose and include beta 1,4-xylan, beta 1,3-xylan, and beta 1,3/1,4-mixed-linkage xylan (MLX). MLX is widely present in marine red algae and constitutes a significant organic carbon in the ocean. Xylanases are hydrolase enzymes that play an important role in xylan degradation. While a variety of beta 1,4-xylanases and beta 1,3-xylanases involved in the degradation of beta 1,4-xylan and beta 1,3-xylan have been reported, no specific enzyme has yet been identified that degrades MLX. Herein, we report the characterization of a new MLX-specific xylanase from the marine bacterium Polaribacter sp. Q13 which utilizes MLX for growth. The bacterium secretes xylanases to degrade MLX, among which is Xyn26A, an MLX-specific xylanase that shows low sequence similarities (&lt;27%) to beta 1,3-xylanases in the glycoside hydrolase family 26 (GH26). We show that Xyn26A attacks MLX precisely at beta 1,4-linkages, following a beta 1,3-linkage toward the reducing end. We confirm that Xyn26A and its homologs have the same specificity and mode of action on MLX, and thus represent a new xylanase group which we term as MLXases. We further solved the structure of a representative MLXase, AlXyn26A. Structural and biochemical analyses revealed that the specificity of MLXases depends critically on a precisely positioned beta 1,3-linkage at the -2/-1 subsite. Compared to the GH26 beta 1,3-xylanases, we found MLXases have evolved a tunnel-shaped cavity that is fine-tuned to specifically recognize and hydrolyze MLX. Overall, this study offers a foremost insight into MLXases, shedding light on the biochemical mechanism of bacterial degradation of MLX.</t>
  </si>
  <si>
    <t>[Zhao, Fang; Yu, Chun-Mei; Sun, Hai-Ning; Zhao, Long-Sheng; Ding, Hai -Tao; Cao, Hai-Yan; Qin, Qi-Long; Zhang, Yu-Zhong; Li, Ping-Yi; Chen, Xiu-Lan] Shandong Univ, Marine Biotechnol Res Ctr, State Key Lab Microbial Technol, Qingdao, Peoples R China; [Zhao, Fang; Chen, Yin; Zhang, Yu-Zhong] Ocean Univ China, Frontiers Sci Ctr Deep Ocean Multispheres &amp; Earth, MOE Key Lab Evolut &amp; Marine Biodivers, Qingdao, Peoples R China; [Zhao, Fang; Chen, Yin; Zhang, Yu-Zhong] Ocean Univ China, Coll Marine Life Sci, Qingdao, Peoples R China; [Zhao, Fang; Zhang, Yu-Zhong; Chen, Xiu-Lan] Qingdao Natl Lab Marine Sci &amp; Technol, Lab Marine Biol &amp; Biotechnol, Qingdao, Peoples R China; [Ding, Hai -Tao] Minist Nat Resources, Polar Res Inst China, Antarctic Great Wall Ecol Natl Observat &amp; Res Stn, Shanghai, Peoples R China; [Chen, Yin] Univ Warwick, Sch Life Sci, Coventry, England</t>
  </si>
  <si>
    <t>Shandong University; Ocean University of China; Ocean University of China; Laoshan Laboratory; Polar Research Institute of China; Ministry of Natural Resources of the People's Republic of China; University of Warwick</t>
  </si>
  <si>
    <t>Chen, XL (corresponding author), Shandong Univ, Marine Biotechnol Res Ctr, State Key Lab Microbial Technol, Qingdao, Peoples R China.;Chen, XL (corresponding author), Qingdao Natl Lab Marine Sci &amp; Technol, Lab Marine Biol &amp; Biotechnol, Qingdao, Peoples R China.</t>
  </si>
  <si>
    <t>cxl0423@sdu.edu.cn</t>
  </si>
  <si>
    <t>National Key Research and Development Program [2022YFC2807500, 2022YFC2807503]; National Science Foundation of China [U2006205, 31961133016, 32100200, 42176229, 42206156]; Program of Shandong for Taishan Scholars [tspd20181203]; Natural Science Foundation of Shandong Province, China [ZR2021QC024]</t>
  </si>
  <si>
    <t>National Key Research and Development Program; National Science Foundation of China(National Natural Science Foundation of China (NSFC)); Program of Shandong for Taishan Scholars; Natural Science Foundation of Shandong Province, China(Natural Science Foundation of Shandong Province)</t>
  </si>
  <si>
    <t>We thank the staff from BL17U1, BL18U1, and BL19U1 beamlines of the National Facility for Protein Sciences Shanghai (NFPS) and Shanghai Synchrotron Radiation Facility for assistance during X-ray diffraction data collection. We also thank Xiao-Ju Li, Jing-Zhu, Zhi-Feng Li, Cai-Yun Sun, and Xiang-Mei Ren of the Core Facilities for Life and Environmental Sciences, State Key Laboratory of Microbial Technology of Shandong University for help and guidance with the single crystal X-ray diffractometer, ITC, HPLC, and HPAEC-PAD. This work was supported by the National Key Research and Development Program (2022YFC2807500 and 2022YFC2807503), the National Science Foundation of China (U2006205, 31961133016, 32100200, 42176229, and 42206156), the Program of Shandong for Taishan Scholars (tspd20181203), and the Natural Science Foundation of Shandong Province, China (ZR2021QC024).r Laboratory of Microbial Technology of Shandong University for help and guidance with the single crystal X-ray diffractometer, ITC, HPLC, and HPAEC-PAD. This work was supported by the National Key Research and Development Program (2022YFC2807500 and 2022YFC2807503) , the National Science Foundation of China (U2006205, 31961133016, 32100200, 42176229, and 42206156) , the Program of Shandong for Taishan Scholars (tspd20181203) , and the Natural Science Foundation of Shandong Province, China (ZR2021QC024) .</t>
  </si>
  <si>
    <t>ELSEVIER</t>
  </si>
  <si>
    <t>AMSTERDAM</t>
  </si>
  <si>
    <t>RADARWEG 29, 1043 NX AMSTERDAM, NETHERLANDS</t>
  </si>
  <si>
    <t>1083-351X</t>
  </si>
  <si>
    <t>J BIOL CHEM</t>
  </si>
  <si>
    <t>J. Biol. Chem.</t>
  </si>
  <si>
    <t>10.1016/j.jbc.2023.105116</t>
  </si>
  <si>
    <t>Biochemistry &amp; Molecular Biology</t>
  </si>
  <si>
    <t>HU5R6</t>
  </si>
  <si>
    <t>Green Published, gold</t>
  </si>
  <si>
    <t>WOS:001162038200001</t>
  </si>
  <si>
    <t>Erol, S; Alkan, RM; Mutlu, B</t>
  </si>
  <si>
    <t>Erol, Serdar; Alkan, Reha M.; Mutlu, Bilal</t>
  </si>
  <si>
    <t>Assessment of Multi-GNSS RT-PPP Services for the Antarctic Region</t>
  </si>
  <si>
    <t>ARCTIC</t>
  </si>
  <si>
    <t>Precise Point Positioning (PPP); RT-PPP; IGS-RTS; NAVCAST; Antarctica</t>
  </si>
  <si>
    <t>PERFORMANCE ASSESSMENT; GPS; IGS; RESOLUTION; GLONASS</t>
  </si>
  <si>
    <t>. The international service that ensures access to data and products of global navigation satellite systems (GNSSs), known as the IGS, runs a real-time service (RTS) project to support users who need real-time access to precise products. Thanks to the RTS project, it is now possible to obtain real-time precise point positioning (RT-PPP) solutions. RT-PPP can be used in many real-time positioning applications that require a high level of accuracy, efficiency, and flexibility, including earth sciences, atmosphere sciences, marine sciences, natural hazards, and many more. In this study, we tested the impact of different worldwide RTS products and satellite configurations on the performance of RT-PPP accuracy, as well as convergence time, in the Antarctic's challenging environment and extreme atmospheric conditions. We applied RT-PPP solutions using real-time precise products (satellite orbit/clock corrections, and biases to conduct the real-time PPP) provided by the IGS and NAVCAST (a real-time PPP positioning service) based on different GNSS constellations: GPS-only, Galileo-only, and a combination of GPS and Galileo. In this way, the performance of two different real-time (RT) services was compared with each other. At the same time, the effectiveness of the Galileo global navigation satellite system for RT-PPP was also tested, and the Galileo system's contribution to the GPS-only RT-PPP solution was investigated. The PPP-WIZARD software was used to process the corrections and GNSS data from a reference station in the Antarctic region. Although GPS-only, Galileo-only, and multi-GNSS solutions obtained from both RT services were found to have very close accuracy to each other, the combination of the GPS and Galileo systems produced better accuracy than when using the GPS system alone. According to the numerical results of this study, it was concluded that the real-time PPP technique gave promising results in such a challenging environment of the Antarctic region. However, we also observe that the RT-PPP technique requires a stable and robust internet connection, which might limit its usefulness in remote regions. Overall, we found the RT-PPP technique to be a viable alternative to conventional relative GNSS positioning techniques, especially in areas where continuously operating reference networks or similar networks are lacking.</t>
  </si>
  <si>
    <t>[Erol, Serdar; Alkan, Reha M.; Mutlu, Bilal] Istanbul Tech Univ, Geomat Engn Dept, Istanbul, Turkiye</t>
  </si>
  <si>
    <t>Istanbul Technical University</t>
  </si>
  <si>
    <t>Erol, S (corresponding author), Istanbul Tech Univ, Geomat Engn Dept, Istanbul, Turkiye.</t>
  </si>
  <si>
    <t>erol@itu.edu.tr</t>
  </si>
  <si>
    <t>EROL, Serdar/ABB-1357-2020; MUTLU, Bilal/AAP-1639-2020; ALKAN, Reha Metin/AAL-8237-2020</t>
  </si>
  <si>
    <t>EROL, Serdar/0000-0002-7100-8267; MUTLU, Bilal/0000-0002-9763-0345; ALKAN, Reha Metin/0000-0002-1981-9783</t>
  </si>
  <si>
    <t>ARCTIC INST N AMER</t>
  </si>
  <si>
    <t>CALGARY</t>
  </si>
  <si>
    <t>UNIV OF CALGARY 2500 UNIVERSITY DRIVE NW 11TH FLOOR LIBRARY TOWER, CALGARY, ALBERTA T2N 1N4, CANADA</t>
  </si>
  <si>
    <t>0004-0843</t>
  </si>
  <si>
    <t>1923-1245</t>
  </si>
  <si>
    <t>Arctic</t>
  </si>
  <si>
    <t>10.14430/arctic78405</t>
  </si>
  <si>
    <t>Environmental Sciences; Geography, Physical</t>
  </si>
  <si>
    <t>Environmental Sciences &amp; Ecology; Physical Geography</t>
  </si>
  <si>
    <t>HG8M4</t>
  </si>
  <si>
    <t>gold</t>
  </si>
  <si>
    <t>WOS:001158430400006</t>
  </si>
  <si>
    <t>Yao, YY; Duan, AM; Hu, J; Tang, YH</t>
  </si>
  <si>
    <t>Yao, Yiyun; Duan, Anmin; Hu, Jun; Tang, Yuheng</t>
  </si>
  <si>
    <t>Decadal Modulation of the Atlantic Meridional Mode on the West Antarctic Climate during Austral Winter</t>
  </si>
  <si>
    <t>JOURNAL OF CLIMATE</t>
  </si>
  <si>
    <t>Antarctica; Atlantic Ocean; Air-sea interaction; Decadal variability</t>
  </si>
  <si>
    <t>SEA-SURFACE TEMPERATURE; TROPICAL ATLANTIC; ARCTIC AMPLIFICATION; CIRCULATION CHANGES; NORTH-ATLANTIC; ICE CORE; VARIABILITY; OCEAN; PENINSULA; PACIFIC</t>
  </si>
  <si>
    <t>Based on observations and simplified, comprehensive atmospheric models, we investigate the impact of the tropical Atlantic sea surface temperature (SST) on the West Antarctic temperature and sea ice concentration in austral winter (June-August) on decadal time scales. The tropical gradient SST anomaly (SSTA) associated with the positive phase of the Atlantic meridional mode (AMM) usually leads to cool anomalies over the Antarctic Peninsula (AP) and a dipole-like sea ice distribution, with ice growth in the Amundsen-Bellingshausen Sea and loss in the Ross Sea. When the AMM is in a positive phase, upward motion over the warm region in the North Atlantic and downward motion over the cold region in the South Atlantic strengthen the Southern Hemisphere Hadley cell, resulting in upper-level convergence over the southwestern Atlantic. This convergence induces a Rossby wave, leading to an anticyclone anomaly over the Amundsen-Bellingshausen Sea. Meridional component winds of this anticyclone anomaly are associated with winddriven sea ice drift, temperature advection, and anomalous turbulence heat fluxes, leading to a dipole-like sea ice distribution and AP cooling. These findings are verified using two types of atmospheric models. Therefore, the AMM plays a vital role in modulating the decadal change in temperature and sea ice distribution in the West Antarctic.</t>
  </si>
  <si>
    <t>[Yao, Yiyun; Duan, Anmin; Tang, Yuheng] Chinese Acad Sci, Inst Atmospher Phys, State Key Lab Numer Modeling Atmospher Sci &amp; Geop, Beijing, Peoples R China; [Yao, Yiyun; Duan, Anmin; Tang, Yuheng] Univ Chinese Acad Sci, Coll Earth Sci, Beijing, Peoples R China; [Duan, Anmin; Hu, Jun] Xiamen Univ, Coll Ocean &amp; Earth Sci, State Key Lab Marine Environm Sci, Xiamen, Peoples R China</t>
  </si>
  <si>
    <t>Chinese Academy of Sciences; Institute of Atmospheric Physics, CAS; Chinese Academy of Sciences; University of Chinese Academy of Sciences, CAS; Xiamen University</t>
  </si>
  <si>
    <t>Duan, AM (corresponding author), Chinese Acad Sci, Inst Atmospher Phys, State Key Lab Numer Modeling Atmospher Sci &amp; Geop, Beijing, Peoples R China.;Duan, AM (corresponding author), Univ Chinese Acad Sci, Coll Earth Sci, Beijing, Peoples R China.;Duan, AM (corresponding author), Xiamen Univ, Coll Ocean &amp; Earth Sci, State Key Lab Marine Environm Sci, Xiamen, Peoples R China.</t>
  </si>
  <si>
    <t>amduan@lasg.iap.ac.cn</t>
  </si>
  <si>
    <t>Strategic Priority Research Program of the Chinese Academy of Sciences [XDA19070404]; National Natural Science Foundation of China [42030602]</t>
  </si>
  <si>
    <t>Strategic Priority Research Program of the Chinese Academy of Sciences(Chinese Academy of Sciences); National Natural Science Foundation of China(National Natural Science Foundation of China (NSFC))</t>
  </si>
  <si>
    <t>The work is jointly supported by Strategic Priority Research Program of the Chinese Academy of Sciences (Grant XDA19070404) and National Natural Science Foundation of China (Grant 42030602).</t>
  </si>
  <si>
    <t>0894-8755</t>
  </si>
  <si>
    <t>1520-0442</t>
  </si>
  <si>
    <t>J CLIMATE</t>
  </si>
  <si>
    <t>J. Clim.</t>
  </si>
  <si>
    <t>10.1175/JCLI-D-22-0602.1</t>
  </si>
  <si>
    <t>GC8T9</t>
  </si>
  <si>
    <t>WOS:001150564400004</t>
  </si>
  <si>
    <t>Kundu, B; Kumar, A; Srivastava, A; Chatterjee, D; Xie, FM; Singh, D</t>
  </si>
  <si>
    <t>Kundu, Bishakha; Kumar, Avinash; Srivastava, Aakriti; Chatterjee, Debrupa; Xie, Fumming; Singh, Dharmaveer</t>
  </si>
  <si>
    <t>Estimating spatio-temporal changes in front edge of the Ronne Ice Shelf in context of climate change using remote sensing based integrated approach</t>
  </si>
  <si>
    <t>POLAR SCIENCE</t>
  </si>
  <si>
    <t>Climate change; Remote sensing; Progradation; Ice shelf; Ronne Ice Shelf</t>
  </si>
  <si>
    <t>ANTARCTIC PENINSULA; SEA; DISCHARGE; ROSS</t>
  </si>
  <si>
    <t>Climate variability is thought to have an impact on the Ronne Ice Shelf (RIS), one of the largest ice shelf in Antarctica, located at the mouth of the Weddell Sea. However, investigations evaluating the impact of climate variability on the geometry (front edge) of this ice body have not yet been done. This study examines a spatialtemporal shift in the front edge of the Ronne Ice Shelf during the years 2004-2019 using an integrated approach based on remote sensing and climate data. The Moderate Resolution Imaging Spectro-radiometer (MODIS) satellite images have been used to study the changes in the ice shelf along transects drawn at a constant interval of 5 km throughout the 16-year period over the second half of the austral summer months (February to March). The study reveals that there has been net progradation of -20 km in the front edge of the ice shelf in the sector 2 between 2004 and 2019. This progradation in the ice shelf may be attributed to draining of upper ice streams to the RIS and the decrease in temperature. Thus, the present study establishes how a combination of the use of satellite imagery and statistics can effectively be used to comprehend and quantify changes in the variability of the front edge of the ice shelf.</t>
  </si>
  <si>
    <t>[Kundu, Bishakha; Chatterjee, Debrupa; Singh, Dharmaveer] Symbiosis Int Deemed Univ, Symbiosis Inst Geoinformat, Pune 411016, India; [Kumar, Avinash] Govt India, Minist Earth Sci, Natl Ctr Polar &amp; Ocean Res, Vasco Da Gama 403802, Goa, India; [Srivastava, Aakriti] Barkatullah Univ, Dept Earth Sci, Bhopal 462026, India; [Xie, Fumming] Yunnan Univ, Inst Int Rivers &amp; Ecosecur, Kunming 650500, Peoples R China</t>
  </si>
  <si>
    <t>Symbiosis International University; Symbiosis Institute of Geoinformatics (SIG); Ministry of Earth Sciences (MoES) - India; National Centre for Polar and Ocean Research (NCPOR); Barkatullah University; Yunnan University</t>
  </si>
  <si>
    <t>Singh, D (corresponding author), Symbiosis Int Deemed Univ, Symbiosis Inst Geoinformat, Pune 411016, India.;Kumar, A (corresponding author), Govt India, Minist Earth Sci, Natl Ctr Polar &amp; Ocean Res, Vasco Da Gama 403802, Goa, India.</t>
  </si>
  <si>
    <t>avinash@ncpor.res.in; dharmaveer@sig.ac.in</t>
  </si>
  <si>
    <t>Singh, Dharmaveer/E-3980-2019</t>
  </si>
  <si>
    <t>Singh, Dharmaveer/0000-0002-0017-2764</t>
  </si>
  <si>
    <t>1873-9652</t>
  </si>
  <si>
    <t>1876-4428</t>
  </si>
  <si>
    <t>POLAR SCI</t>
  </si>
  <si>
    <t>Polar Sci.</t>
  </si>
  <si>
    <t>10.1016/j.polar.2023.100967</t>
  </si>
  <si>
    <t>Ecology; Geosciences, Multidisciplinary</t>
  </si>
  <si>
    <t>Environmental Sciences &amp; Ecology; Geology</t>
  </si>
  <si>
    <t>GA9G8</t>
  </si>
  <si>
    <t>WOS:001150049000001</t>
  </si>
  <si>
    <t>Mahajan, RR</t>
  </si>
  <si>
    <t>Mahajan, Ramakant R.</t>
  </si>
  <si>
    <t>Investigating noble gases and nitrogen in Zag (H3-6) and ALH 77216 (L3.7-3.9): The ordinary chondrites with solar type neon and argon</t>
  </si>
  <si>
    <t>Noble gases; Cosmic ray exposure age; Ordinary chondrite; Trapped gases; Nitrogen</t>
  </si>
  <si>
    <t>COSMIC-RAY EXPOSURE; ISOTOPIC COMPOSITION; COSMOGENIC RECORDS; H-CHONDRITES; METEORITE; FALL; HALITE; CLASSIFICATION; COMPONENTS; SYSTEM</t>
  </si>
  <si>
    <t>Concentrations and isotopic compositions of noble gases (He, Ne, Ar, Kr, and Xe) and nitrogen in two ordinary chondrites (OCs), Zag (H3-6) and ALH 77216 (L3.7-3.9), are presented. The aim of the study is to examine the cosmic ray exposure history, radiogenic ages and isotopic signatures of trapped gases in them. The results of stepwise heating analyses indicate that light noble gases (He and Ne) are mixture of trapped and cosmic ray produced components. Neon isotopes are enriched from solar wind (SW), while shows a trend towards galactic cosmic ray (GCR) region in both the meteorites. Phase-Q neon is not observed in any of the meteorite. The heavy noble gases Ar, Kr and Xe indicate mixture of Q-HL-SW and cosmogenic. Elemental ratios of trapped 36Ar, 84Kr and 132Xe indicate that noble gases in Zag and ALH 77216 are mixtures of the three components Q, HL and SW. The cosmic-ray exposure (CRE) ages calculated from neon for Zag and ALH 77216 are 5.6 +/- 0.3 Ma and 28.5 +/- 0.4 Ma, respectively. These ages are within the range typically observed for the respective meteorite types of OCs. Nitrogen isotopes indicate presence of multiple components in both the chondrites. Isotopic signature of trapped nitrogen in both the chondrites is distinct from that of SW, Q and HL, indicating additional source of nitrogen in the meteorites.</t>
  </si>
  <si>
    <t>[Mahajan, Ramakant R.] Phys Res Lab, Ahmadabad 380009, Gujarat, India</t>
  </si>
  <si>
    <t>Department of Space (DoS), Government of India; Physical Research Laboratory - India</t>
  </si>
  <si>
    <t>Mahajan, RR (corresponding author), Phys Res Lab, Ahmadabad 380009, Gujarat, India.</t>
  </si>
  <si>
    <t>ramakant@prl.res.in</t>
  </si>
  <si>
    <t>Department of Space, Government of India</t>
  </si>
  <si>
    <t>Department of Space, Government of India(Department of Space (DoS), Government of India)</t>
  </si>
  <si>
    <t>Department of Space, Government of India is thanked for financial support. The meteorite ALH 77216 was collected during the joint U.S.-Japan expedition to Antarctica during 1976-77. The author thanks Astromaterials Curation Office at NASA Johnson Space Center, U.S. A. (ANSMET Antarctic meteorite program) for the meteorite ALH 77216 analysed in this work. The author thanks Juergen Nauber, Zurich, Switzerland for Zag meteorite sample analysed in the work. I gratefully thank the reviewers and editor for their detailed and constructive comments that greatly improved the quality of this article.</t>
  </si>
  <si>
    <t>10.1016/j.polar.2023.100966</t>
  </si>
  <si>
    <t>GB0O3</t>
  </si>
  <si>
    <t>WOS:001150082500001</t>
  </si>
  <si>
    <t>Chen, Z; Liu, H; Zhu, GP</t>
  </si>
  <si>
    <t>Chen, Zhuang; Liu, Hui; Zhu, Guoping</t>
  </si>
  <si>
    <t>The effects of environmental variables on hotspots of Antarctic krill (Euphausia superba) in the Bransfield Strait during autumn</t>
  </si>
  <si>
    <t>Antarctic krill; Getis-ord G i * statistic; Generalized additive model; Bransfield strait; Geospatial features</t>
  </si>
  <si>
    <t>SOUTHERN-OCEAN; SPATIAL ASSOCIATION; FOOD-WEB; SEA; VARIABILITY; ABUNDANCE; VESSELS; GEORGIA; CLIMATE; MODELS</t>
  </si>
  <si>
    <t>Antarctic krill (Euphausia superba), a typical aggregation species, is the keystone species in the Antarctic ecosystem and supports an important fishery in the Southern Ocean. The unique topographic conditions of this region provide an important habitat for krill, and it has therefore become a critical krill fishing ground. To investigate the factors affecting krill hotspot patterns in the central basin of the Bransfield Strait in autumn 2021, an area with a high level of krill biomass and a persistent fishing ground, we used Getis-Ord Gi* approach to perform a hotspot analysis of the spatial and temporal variability of krill distribution. From this analysis we examined the relationship between krill distribution in hotspot and coldspot areas and environment variables such as geospatial features and eddy kinetic energy. We found that environmental variables generally showed opposing trends for krill distribution at hot-and coldspot areas. Moreover, geospatial features, including the distance to 200m and 1000m isobaths and depth, may be the dominant factor determining krill habitat char-acteristics, and moderate levels of eddy kinetic energy were conducive to krill aggregation.</t>
  </si>
  <si>
    <t>[Chen, Zhuang; Liu, Hui; Zhu, Guoping] Shanghai Ocean Univ, Coll Marine Sci, Shanghai 201306, Peoples R China; [Chen, Zhuang; Liu, Hui; Zhu, Guoping] Shanghai Ocean Univ, Ctr Polar Res, Shanghai 201306, Peoples R China; [Zhu, Guoping] Minist Educ, Polar Marine Ecosyst Grp, Key Lab Sustainable Exploitat Ocean Fisheries Reso, Shanghai 201306, Peoples R China; [Zhu, Guoping] Natl Engn Res Ctr Ocean Fisheries, Shanghai 201306, Peoples R China</t>
  </si>
  <si>
    <t>Shanghai Ocean University; Shanghai Ocean University; National Engineering Research Center for Oceanic Fisheries</t>
  </si>
  <si>
    <t>Zhu, GP (corresponding author), Shanghai Ocean Univ, Coll Marine Sci, Shanghai 201306, Peoples R China.</t>
  </si>
  <si>
    <t>zhuangchen0415@yeah.net; hui.liu_blue@foxmail.com; gpzhu@shou.edu.cn</t>
  </si>
  <si>
    <t>Liu, Hui/AAF-8803-2021</t>
  </si>
  <si>
    <t>Liu, Hui/0000-0003-4027-499X; Liu, Hui/0000-0002-8998-4020; Zhu, Guoping/0000-0001-6081-7811</t>
  </si>
  <si>
    <t>International Science and Technology Cooperation Key Special Project of the National Key Research and Development Program [2022YFE0130100]; National Science Foundation of China [41776185]</t>
  </si>
  <si>
    <t>International Science and Technology Cooperation Key Special Project of the National Key Research and Development Program; National Science Foundation of China(National Natural Science Foundation of China (NSFC))</t>
  </si>
  <si>
    <t>The authors thank the Scientific Observers for krill fishery under the Commission for the Conservation of Antarctic Marine Living Resources (CCAMLR) Scheme of International Scientific Observation (SISO) program and the master and crew of the trawler Furonghai for their considerable efforts to collect the data. Team members of the Polar Marine Ecosystem Group (PMEG) , Shanghai Ocean University deserves special recognition for their efforts in the laboratory. We also thank the College of Marine Sciences at Shanghai Ocean University for providing the facilities in the laboratory that make this study happen. Funding was provided by the International Science and Technology Cooperation Key Special Project of the National Key Research and Development Program (grant no 2022YFE0130100 to GPZ) and the National Science Foundation of China (grant no 41776185 to GPZ) .</t>
  </si>
  <si>
    <t>10.1016/j.polar.2023.100948</t>
  </si>
  <si>
    <t>GB1G8</t>
  </si>
  <si>
    <t>WOS:001150101000001</t>
  </si>
  <si>
    <t>Li, J; Zhao, LY; Gu, XQ; Li, CX; Zhang, Q; Fu, LP; Zhang, A</t>
  </si>
  <si>
    <t>Li, Jiang; Zhao, Luying; Gu, Xiaoqian; Li, Chengxuan; Zhang, Qian; Fu, Liping; Zhang, Ao</t>
  </si>
  <si>
    <t>Vertical microbial profiling of water column reveals prokaryotic communities and distribution features of Antarctic Peninsula</t>
  </si>
  <si>
    <t>ACTA OCEANOLOGICA SINICA</t>
  </si>
  <si>
    <t>prokaryotic diversity; 16S rRNA; high-throughput sequencing (HTS); Southern Ocean</t>
  </si>
  <si>
    <t>BACTERIAL COMMUNITY; SUMMER BACTERIOPLANKTON; DIVERSITY; SURFACE; NORTH; ARCHAEAL; NITROGEN; ECOLOGY; WINTER; MICROORGANISMS</t>
  </si>
  <si>
    <t>Prokaryotic diversity and community composition in the water column of eight stations (63 samples) around the Antarctic Peninsula of the Southern Ocean were investigated. Through pyrosequencing of the V3-V4 hypervariable regions of the 16S ribosomal RNA gene, we characterized 4 720 089 valid reads representing 48 188 operational taxonomic units (OTUs, 97% similarity). The community was dominated by the phyla Pseudomonadota (original name: Proteobacteria, 47%), Oxyphotobacteria (26%), and Bacteroidota (original name: Bacteroidetes, 18%), which comprised an average of 91% of the total OTUs in all samples. The prokaryotic community composition varied vertically within the water column. Water column prokaryotic communities exhibited a clear depth profile, with higher microbial richness and higher diversity observed with increasing water depth. Cluster analysis of the community composition of water column samples exhibited a similar trend with depth. Correlation with environmental factors suggested distinct variation in prokaryotic community composition with changes in depth, salinity, temperature and dissolved oxygen levels. Functional prediction showed presence of active nitrogen, sulphur and methane metabolic cycles along the vertical transect of the studied region. These results will improve our knowledge of prokaryotic diversity and community composition at different depth of water column for better understanding of the microbial ecology and nutrient cycles in Antarctic Peninsula region of the Southern Ocean.</t>
  </si>
  <si>
    <t>[Li, Jiang; Zhao, Luying; Li, Chengxuan; Zhang, Qian; Fu, Liping] Minist Nat Resources, Inst Oceanog 1, Marine Bioresource &amp; Environm Ctr, Qingdao 266061, Peoples R China; [Li, Jiang; Zhao, Luying; Li, Chengxuan; Zhang, Qian; Fu, Liping] Minist Nat Resources Key Lab Sci &amp; Technol Marine, Qingdao 266061, Peoples R China; [Gu, Xiaoqian] Chinese Acad Sci, Inst Oceanol, Ctr Ocean Mega Sci, CAS &amp; Shandong Prov Key Lab Expt Marine Biol, Qingdao 266071, Peoples R China; [Zhang, Ao] Qingdao Univ Sci &amp; Technol, Coll Chem Engn, Qingdao 266042, Peoples R China</t>
  </si>
  <si>
    <t>Ministry of Natural Resources of the People's Republic of China; First Institute of Oceanography, Ministry of Natural Resources; Chinese Academy of Sciences; Institute of Oceanology, CAS; Qingdao University of Science &amp; Technology</t>
  </si>
  <si>
    <t>Li, J (corresponding author), Minist Nat Resources, Inst Oceanog 1, Marine Bioresource &amp; Environm Ctr, Qingdao 266061, Peoples R China.;Li, J (corresponding author), Minist Nat Resources Key Lab Sci &amp; Technol Marine, Qingdao 266061, Peoples R China.</t>
  </si>
  <si>
    <t>lijiang@fio.org.cn</t>
  </si>
  <si>
    <t>R/V XIANGYANGHONG01 voyage of 34th Antarctic Scientific Investigation of China</t>
  </si>
  <si>
    <t>This research was supported by the R/V XIANGYANGHONG01 voyage of 34th Antarctic Scientific Investigation of China. We are grateful to all the laboratory members for their technical advice and helpful suggestions.</t>
  </si>
  <si>
    <t>SPRINGER</t>
  </si>
  <si>
    <t>NEW YORK</t>
  </si>
  <si>
    <t>ONE NEW YORK PLAZA, SUITE 4600, NEW YORK, NY, UNITED STATES</t>
  </si>
  <si>
    <t>0253-505X</t>
  </si>
  <si>
    <t>1869-1099</t>
  </si>
  <si>
    <t>ACTA OCEANOL SIN</t>
  </si>
  <si>
    <t>Acta Oceanol. Sin.</t>
  </si>
  <si>
    <t>10.1007/s13131-023-2160-3</t>
  </si>
  <si>
    <t>Oceanography</t>
  </si>
  <si>
    <t>DL8L5</t>
  </si>
  <si>
    <t>WOS:001132289300001</t>
  </si>
  <si>
    <t>Nesterov, AV; Gavrilov, YG; Buzin, IV; Skutin, AA; Gudoshnikov, YP; Kornishin, KA; Efimov, YO; Tarasov, PA</t>
  </si>
  <si>
    <t>V. Nesterov, Alexander; Gavrilov, Yuri G.; V. Buzin, Igor; Skutin, Andrey A.; Gudoshnikov, Yuri P.; Kornishin, Konstantin A.; Efimov, Yaroslav O.; Tarasov, Petr A.</t>
  </si>
  <si>
    <t>Iceberg Detection and Characterization Capabilities: Field Trials in the Arctic Seas</t>
  </si>
  <si>
    <t>INTERNATIONAL JOURNAL OF OFFSHORE AND POLAR ENGINEERING</t>
  </si>
  <si>
    <t>This article discusses various issues involved in identifying icebergs and their fragments using visual contrasts, an infrared camera, and an ice radar. The basis for this article is the research expeditionary work carried out in 2012-2017 in the waters of the Barents, Kara, and Laptev seas. The results of the expeditions revealed a significant effect of the size of the observed objects, wind speed and wave height, ship speed, and other parameters on the detection probability. Estimates for the maximum detection range of icebergs and the probability of their detection depending on the size and environmental parameters are presented. Recommendations for the optimal technological performance of a vessel for detecting icebergs and comparison with satellite and helicopter-based methods are formulated.</t>
  </si>
  <si>
    <t>[V. Nesterov, Alexander; Gavrilov, Yuri G.; V. Buzin, Igor; Skutin, Andrey A.; Gudoshnikov, Yuri P.] Arctic &amp; Antarctic Res Inst AARI, St Petersburg, Russia; [Kornishin, Konstantin A.; Efimov, Yaroslav O.; Tarasov, Petr A.] Arctic Res Ctr, Dept Marine Operat, Moscow, Russia</t>
  </si>
  <si>
    <t>Arctic &amp; Antarctic Research Institute</t>
  </si>
  <si>
    <t>Buzin, IV (corresponding author), Arctic &amp; Antarctic Res Inst AARI, St Petersburg, Russia.</t>
  </si>
  <si>
    <t>INT SOC OFFSHORE POLAR ENGINEERS</t>
  </si>
  <si>
    <t>CUPERTINO</t>
  </si>
  <si>
    <t>PO BOX 189, CUPERTINO, CA 95015-0189 USA</t>
  </si>
  <si>
    <t>1053-5381</t>
  </si>
  <si>
    <t>INT J OFFSHORE POLAR</t>
  </si>
  <si>
    <t>Int. J. Offshore Polar Eng.</t>
  </si>
  <si>
    <t>10.17736/ijope.2023.jc895</t>
  </si>
  <si>
    <t>Engineering, Civil; Engineering, Ocean; Engineering, Mechanical</t>
  </si>
  <si>
    <t>Engineering</t>
  </si>
  <si>
    <t>DC7F3</t>
  </si>
  <si>
    <t>WOS:001129891200001</t>
  </si>
  <si>
    <t>Kornishin, KA; Efimov, YO; Tarasov, PA; Guzenko, RB; Mironov, YU; Porubaev, VS</t>
  </si>
  <si>
    <t>Kornishin, Konstantin A.; Efimov, Yaroslav O.; Tarasov, Petr A.; Guzenko, Roman B.; Mironov, Yevgeny U.; Porubaev, Viktor S.</t>
  </si>
  <si>
    <t>Parameters of Ice Blocks and Their Relationship with the Structure of Hummocks in the Kara, Laptev, and East Siberian Seas</t>
  </si>
  <si>
    <t>Ice ridge; morphometry; ice blocks; keel depth; sail height; consolidated layer</t>
  </si>
  <si>
    <t>This article considers the relationships among different morphometric parameters (sail height, keel depth, and crosssectional area) of ice ridges studied in 2013-2015 and 2017 in the Kara, Laptev, and East Siberian Seas. The size of the ice blocks that compose these ridges is the focus of this research. Different scenarios of ridge formation depending on different thicknesses of ice fields are considered, and the main scenarios of ridging in the Arctic areas are defined. Correlations between morphometric values for homogeneous, heterogeneous, and composite ridges are determined. A classification of ice ridges according to the relative thickness of the ice fields involved in their formation is proposed.</t>
  </si>
  <si>
    <t>[Kornishin, Konstantin A.; Efimov, Yaroslav O.; Tarasov, Petr A.] Arctic Res Ctr, Dept Marine Operat, Moscow, Russia; [Guzenko, Roman B.; Mironov, Yevgeny U.; Porubaev, Viktor S.] Arctic &amp; Antarctic Res Inst AARI, St Petersburg, Russia</t>
  </si>
  <si>
    <t>Kornishin, KA (corresponding author), Arctic Res Ctr, Dept Marine Operat, Moscow, Russia.</t>
  </si>
  <si>
    <t>Mironov, Yevgeny Uarovich/ADV-4713-2022</t>
  </si>
  <si>
    <t>Mironov, Yevgeny Uarovich/0000-0001-8390-8011</t>
  </si>
  <si>
    <t>10.17736/ijope.2023.jc894</t>
  </si>
  <si>
    <t>DC7D5</t>
  </si>
  <si>
    <t>WOS:001129889400001</t>
  </si>
  <si>
    <t>Alekseeva, TA; May, RI; Fedyakov, VY; Makarov, YI; Klyachkin, SV; Dyment, LN; Grishin, YA; Ershova, AA; Krupina, NA</t>
  </si>
  <si>
    <t>Alekseeva, Tatiana A.; May, Ruslan I.; Fedyakov, Valery Ye.; Makarov, Yevgeny I.; V. Klyachkin, Sergey; Dyment, Ludmila N.; Grishin, Yevgeny A.; Ershova, Anastasia A.; Krupina, Nina A.</t>
  </si>
  <si>
    <t>Ice Automatic Routing: Analysis of Simulation Testing Based on Voyages of Arc7 Class Vessels in the Arctic</t>
  </si>
  <si>
    <t>Auto-routing; automatic routing; ice navigation; NSR; forecasts; optimal route; orientation of leads</t>
  </si>
  <si>
    <t>SHIP</t>
  </si>
  <si>
    <t>The Arctic and Antarctic Research Institute (AARI) has long-term experience in hydrometeorological support and selecting optimal routes of navigation along the Northern Sea Route. One of the key challenges for hydrometeorological support and safe and cost-efficient navigation is developing an automatic method for selecting the optimal ship route in ice. In this study, we present results of testing AARI auto-routing and discuss its perspectives.</t>
  </si>
  <si>
    <t>[Alekseeva, Tatiana A.; Fedyakov, Valery Ye.; Makarov, Yevgeny I.; V. Klyachkin, Sergey; Dyment, Ludmila N.; Grishin, Yevgeny A.; Ershova, Anastasia A.] Arctic &amp; Antarctic Res Inst, Sea Ice Regime &amp; Forecasts Dept, St Petersburg, Russia; [May, Ruslan I.] St Petersburg State Univ, St Petersburg, Russia; [Krupina, Nina A.] Arctic &amp; Antarctic Res Inst, Dept Ship Performance Ice, St Petersburg, Russia</t>
  </si>
  <si>
    <t>Arctic &amp; Antarctic Research Institute; Saint Petersburg State University; Arctic &amp; Antarctic Research Institute</t>
  </si>
  <si>
    <t>Alekseeva, TA (corresponding author), Arctic &amp; Antarctic Res Inst, Sea Ice Regime &amp; Forecasts Dept, St Petersburg, Russia.</t>
  </si>
  <si>
    <t>Alekseeva, Tatiana A/K-5879-2015; Ershova, Anastasia/IST-5987-2023; May, Ruslan I./J-5316-2013</t>
  </si>
  <si>
    <t>Ershova, Anastasia/0009-0006-6545-3635;</t>
  </si>
  <si>
    <t>10.17736/ijope.2023.ik12</t>
  </si>
  <si>
    <t>DC8C0</t>
  </si>
  <si>
    <t>WOS:001129913900001</t>
  </si>
  <si>
    <t>Zuo, YB; Han, DY; Wang, YY; Yang, QX; Ren, Q; Liu, XZ; Wei, XL; Paukov, AG; Davydov, E; Potenza, G</t>
  </si>
  <si>
    <t>Zuo, Ya-Bo; Han, Da-Yong; Wang, Yan-Yan; Yang, Qiu-Xia; Ren, Qiang; Liu, Xin-Zhan; Wei, Xin-Li; Paukov, Alexander G.; Davydov, Evgeny; Potenza, Giovanna</t>
  </si>
  <si>
    <t>Fungal-Algal Association Drives Lichens' Mutualistic Symbiosis: A Case Study with Trebouxia-Related Lichens</t>
  </si>
  <si>
    <t>PLANTS-BASEL</t>
  </si>
  <si>
    <t>Trebouxia; lichen; symbiosis; association; coevolution</t>
  </si>
  <si>
    <t>PHYLOGENETIC INFERENCE; SPECIES ABUNDANCE; PCR PRIMERS; HOST; TREBOUXIOPHYCEAE; DIVERSITY; CHLOROPHYTA; SELECTIVITY; SPECIFICITY; PHOTOBIONTS</t>
  </si>
  <si>
    <t>Biotic and abiotic factors influence the formation of fungal-algal pairings in lichen symbiosis. However, the specific determinants of these associations, particularly when distantly related fungi are involved, remain poorly understood. In this study, we investigated the impact of different drivers on the association patterns between taxonomically diverse lichenized fungi and their trebouxioid symbiotic partners. We collected 200 samples from four biomes and identified 41 species of lichenized fungi, associating them with 16 species of trebouxioid green algae, of which 62% were previously unreported. The species identity of both the fungal and algal partners had the most significant effect on the outcome of the symbiosis, compared to abiotic factors like climatic variables and geographic distance. Some obviously specific associations were observed in the temperate zone; however, the nestedness value was lower in arid regions than in cold, polar, and temperate regions according to interaction network analysis. Cophylogenetic analyses revealed congruent phylogenies between trebouxioid algae and associated fungi, indicating a tendency to reject random associations. The main evolutionary mechanisms contributing to the observed phylogenetic patterns were loss and failure to diverge of the algal partners. This study broadens our knowledge of fungal-algal symbiotic patterns in view of Trebouxia-associated fungi.</t>
  </si>
  <si>
    <t>[Zuo, Ya-Bo; Han, Da-Yong; Wang, Yan-Yan; Yang, Qiu-Xia; Ren, Qiang; Liu, Xin-Zhan; Wei, Xin-Li; Paukov, Alexander G.; Davydov, Evgeny; Potenza, Giovanna] Chinese Acad Sci, Inst Microbiol, State Key Lab Mycol, Beijing 100101, Peoples R China</t>
  </si>
  <si>
    <t>Chinese Academy of Sciences; Institute of Microbiology, CAS</t>
  </si>
  <si>
    <t>Liu, XZ; Wei, XL (corresponding author), Chinese Acad Sci, Inst Microbiol, State Key Lab Mycol, Beijing 100101, Peoples R China.</t>
  </si>
  <si>
    <t>liuxinzhan@im.ac.cn; weixl@im.ac.cn</t>
  </si>
  <si>
    <t>Wang, YanYan/0000-0001-8260-5959; Wei, Xinli/0000-0001-5470-9590; liu, xin zhan/0000-0002-6227-1987</t>
  </si>
  <si>
    <t>National Natural Science Foundation of China</t>
  </si>
  <si>
    <t>National Natural Science Foundation of China(National Natural Science Foundation of China (NSFC))</t>
  </si>
  <si>
    <t>We are grateful to the Chinese Arctic and Antarctic Administration for the help in carrying out the project in the Great Wall Station during the 34th Chinese National Antarctic Expedition, and to Enago (https://www.enago.cn/ (accessed on 16 January 2023)) for its linguistic assistance during the preparation of this manuscript.</t>
  </si>
  <si>
    <t>MDPI</t>
  </si>
  <si>
    <t>BASEL</t>
  </si>
  <si>
    <t>ST ALBAN-ANLAGE 66, CH-4052 BASEL, SWITZERLAND</t>
  </si>
  <si>
    <t>2223-7747</t>
  </si>
  <si>
    <t>Plants-Basel</t>
  </si>
  <si>
    <t>10.3390/plants12173172</t>
  </si>
  <si>
    <t>Plant Sciences</t>
  </si>
  <si>
    <t>AY9C2</t>
  </si>
  <si>
    <t>gold, Green Published, Green Submitted</t>
  </si>
  <si>
    <t>WOS:001122114600001</t>
  </si>
  <si>
    <t>Dunn, RJH; Miller, JB; Willett, KM; Gobron, N; Ades, M; Adler, R; Alexe, M; Allan, RP; Anderson, J; Anneville, O; Aono, Y; Arguez, A; Arosio, C; Augustine, JA; Azorin-Molina, C; Barichivich, J; Barnes, JE; Beck, HE; Bellouin, N; Benedetti, A; Blagrave, K; Blenkinsop, S; Bock, O; Bodin, X; Bosilovich, M; Boucher, O; Buechler, D; Buehler, SA; Campos, D; Carrea, L; Chang, KL; Christiansen, HH; Christy, JR; Chung, ES; Ciasto, LM; Clingan, S; Coldewey-Egbers, M; Cooper, OR; Cornes, RC; Covey, C; Créatux, JF; Crimmins, T; Cropper, T; Crotwell, M; Culpepper, J; Cusicanqui, D; Davis, SM; de Jeu, RAM; Degenstein, D; Delaloye, R; Dokulil, MT; Donat, MG; Dorigo, WA; Dugan, HA; Durre, I; Dutton, G; Duveiller, G; Estilow, TW; Estrella, N; Fereday, D; Fioletov, VE; Flemming, J; Foster, MJ; Franz, B; Frith, SM; Froidevaux, L; Füllekrug, M; Garforth, J; Garg, J; Gibbes, B; Goodman, S; Goto, A; Gruber, A; Gu, GJ; Hahn, S; Haimberger, L; Hall, BD; Harris, I; Hemming, DL; Hirschi, M; Ho, SP; Holzworth, R; Hrbácek, F; Hu, GJ; Hurst, DF; Inness, A; Isaksen, K; John, VO; Jones, PD; Junod, R; Kääb, A; Kaiser, JW; Kaufmann, V; Kellerer-Pirklbauer, A; Kent, EC; Kidd, R; Kipling, Z; Koppa, A; Kraemer, BM; Kramarova, N; Kruger, A; La Fuente, S; Laas, A; Lan, X; Lang, T; Lantz, KO; Lavers, DA; Leblanc, T; Leibensperger, EM; Lennard, C; Liu, YK; Loeb, NG; Loyola, D; Maberly, SC; Madelon, R; Magnin, F; Matsuzaki, SI; May, L; Mayer, M; McCabe, MF; McVicar, TR; Mears, CA; Menzel, A; Merchant, CJ; Meyer, MF; Miralles, DG; Moesinger, L; Monet, G; Montzka, SA; Morice, C; Mrekaj, I; Mühle, J; Nance, D; Nicolas, JP; Noetzli, J; Noll, B; O'Keefe, J; Osborn, TJ; Park, T; Parrington, M; Pellet, C; Pelto, MS; Petersen, K; Phillips, C; Pierson, D; Pinto, I; Po-Chedley, S; Pogliotti, P; Polvani, L; Preimesberger, W; Price, C; Pulkkanen, M; Randel, WJ; Rémy, S; Ricciardulli, L; Richardson, AD; Robinson, DA; Rocha, W; Rodell, M; Rodriguez-Fernandez, N; Rosenlof, KH; Rozanov, A; Rozkosny, J; Rusanovskaya, OO; Rutishauser, T; Sabeerali, CT; Sánchez-Lugo, A; Sawaengphokhai, P; Schenzinger, V; Schlegel, RW; Schmid, M; Schneider, U; Sezaki, F; Sharma, S; Shi, L; Shimaraeva, SV; Silow, EA; Simmons, AJ; Smith, SL; Soden, BJ; Sofieva, V; Sparks, TH; Sreejith, OP; Stackhouse, PW ; Stauffer, R; Steinbrecht, W; Steiner, AK; Stradiotti, P; Streletskiy, DA; Surendran, DE; Thackeray, SJ; Thibert, E; Timofeyev, MA; Tourpali, K; Tye, MR; van der A, R; van der Schalie, R; van der Schrier, G; van Vliet, AJH; Verburg, P; Vernier, JP; Vimont, IJ; Virts, K; Vivero, S; Vomel, H; Vose, RS; Wang, RHJ; Wang, XY; Warnock, T; Weber, M; Wiese, DN; Wild, JD; Williams, E; Wong, T; Woolway, RI; Yin, XG; Zeng, ZZ; Zhao, L; Zhou, XJ; Ziemke, JR; Ziese, M; Zotta, RM; Zou, CZ; Allen, J; Camper, AV; Haley, BO; Hammer, G; Love-Brotak, SE; Ohlmann, L; Noguchi, L; Riddle, DB; Veasey, SW</t>
  </si>
  <si>
    <t>Dunn, R. J. H.; Miller, J. B.; Willett, K. M.; Gobron, N.; Ades, Melanie; Adler, Robert; Alexe, Mihai; Allan, Richard P.; Anderson, John; Anneville, Orlane; Aono, Yasuyuki; Arguez, Anthony; Arosio, Carlo; Augustine, John A.; Azorin-Molina, Cesar; Barichivich, Jonathan; Barnes, John E.; Beck, Hylke E.; Bellouin, Nicolas; Benedetti, Angela; Blagrave, Kevin; Blenkinsop, Stephen; Bock, Olivier; Bodin, Xavier; Bosilovich, Michael; Boucher, Olivier; Buechler, Dennis; Buehler, Stefan A.; Campos, Diego; Carrea, Laura; Chang, Kai-Lan; Christiansen, Hanne H.; Christy, John R.; Chung, Eui-Seok; Ciasto, Laura M.; Clingan, Scott; Coldewey-Egbers, Melanie; Cooper, Owen R.; Cornes, Richard C.; Covey, Curt; Creatux, Jean-Francois; Crimmins, Theresa; Cropper, Thomas; Crotwell, Molly; Culpepper, Joshua; Cusicanqui, Diego; Davis, Sean M.; de Jeu, Richard A. M.; Degenstein, Doug; Delaloye, Reynald; Dokulil, Martin T.; Donat, Markus G.; Dorigo, Wouter A.; Dugan, Hilary A.; Durre, Imke; Dutton, Geoff; Duveiller, Gregory; Estilow, Thomas W.; Estrella, Nicole; Fereday, David; Fioletov, Vitali E.; Flemming, Johannes; Foster, Michael J.; Franz, Bryan; Frith, Stacey M.; Froidevaux, Lucien; Fullekrug, Martin; Garforth, Judith; Garg, Jay; Gibbes, Badin; Goodman, Steven; Goto, Atsushi; Gruber, Alexander; Gu, Guojun; Hahn, Sebastian; Haimberger, Leopold; Hall, Bradley D.; Harris, Ian; Hemming, Deborah L.; Hirschi, Martin; Ho, Shu-peng; Holzworth, Robert; Hrbacek, Filip; Hu, Guojie; Hurst, Dale F.; Inness, Antje; Isaksen, Ketil; John, Viju O.; Jones, Philip D.; Junod, Robert; Kääb, Andreas; Kaiser, Johannes W.; Kaufmann, Viktor; Kellerer-Pirklbauer, Andreas; Kent, Elizabeth C.; Kidd, Richard; Kipling, Zak; Koppa, Akash; Kraemer, Benjamin M.; Kramarova, Natalya; Kruger, Andries; La Fuente, Sofia; Laas, Alo; Lan, Xin; Lang, Timothy; Lantz, Kathleen O.; Lavers, David A.; Leblanc, Thierry; Leibensperger, Eric M.; Lennard, Chris; Liu, Yakun; Loeb, Norman G.; Loyola, Diego; Maberly, Stephen C.; Madelon, Remi; Magnin, Florence; Matsuzaki, Shin-Ichiro; May, Linda; Mayer, Michael; McCabe, Matthew F.; McVicar, Tim R.; Mears, Carl A.; Menzel, Annette; Merchant, Christopher J.; Meyer, Michael F.; Miralles, Diego G.; Moesinger, Leander; Monet, Ghislaine; Montzka, Stephan A.; Morice, Colin; Mrekaj, Ivan; Mühle, Jens; Nance, David; Nicolas, Julien P.; Noetzli, Jeannette; Noll, Ben; O'Keefe, John; Osborn, Timothy J.; Park, Taejin; Parrington, Mark; Pellet, Cecile; Pelto, Mauri S.; Petersen, Kyle; Phillips, Coda; Pierson, Don; Pinto, Izidine; Po-Chedley, Stephen; Pogliotti, Paolo; Polvani, Lorenzo; Preimesberger, Wolfgang; Price, Colin; Pulkkanen, Merja; Randel, William J.; Remy, Samuel; Ricciardulli, Lucrezia; Richardson, Andrew D.; Robinson, David A.; Rocha, Willy; Rodell, Matthew; Rodriguez-Fernandez, Nemesio; Rosenlof, Karen H.; Rozanov, Alexei; Rozkosny, Jozef; Rusanovskaya, Olga O.; Rutishauser, This; Sabeerali, C. T.; Sánchez-Lugo, Ahira; Sawaengphokhai, Parnchai; Schenzinger, Verena; Schlegel, Robert W.; Schmid, Martin; Schneider, Udo; Sezaki, Fumi; Sharma, Sapna; Shi, Lei; Shimaraeva, Svetlana V.; Silow, Eugene A.; Simmons, Adrian J.; Smith, Sharon L.; Soden, Brian J.; Sofieva, Viktoria; Sparks, Tim H.; Sreejith, O. P.; Stackhouse, Paul W., Jr.; Stauffer, Ryan; Steinbrecht, Wolfgang; Steiner, Andrea K.; Stradiotti, Pietro; Streletskiy, Dmitry A.; Surendran, Divya E.; Thackeray, Stephen J.; Thibert, Emmanuel; Timofeyev, Maxim A.; Tourpali, Kleareti; Tye, Mari R.; van der A, Ronald; van der Schalie, Robin; van der Schrier, Gerard; van Vliet, Arnold J. H.; Verburg, Piet; Vernier, Jean-Paul; Vimont, Isaac J.; Virts, Katrina; Vivero, Sebastian; Vomel, Holger; Vose, Russell S.; Wang, Ray H. J.; Wang, Xinyue; Warnock, Taran; Weber, Mark; Wiese, David N.; Wild, Jeannette D.; Williams, Earle; Wong, Takmeng; Woolway, Richard Iestyn; Yin, Xungang; Zeng, Zhenzhong; Zhao, Lin; Zhou, Xinjia; Ziemke, Jerry R.; Ziese, Markus; Zotta, Ruxandra M.; Zou, Cheng-Zhi; Allen, Jessicca; Camper, Amy V.; Haley, Bridgette O.; Hammer, Gregory; Love-Brotak, S. Elizabeth; Ohlmann, Laura; Noguchi, Lukas; Riddle, Deborah B.; Veasey, Sara W.</t>
  </si>
  <si>
    <t>Global Climate</t>
  </si>
  <si>
    <t>STRATOSPHERIC WATER-VAPOR; NINO-SOUTHERN-OSCILLATION; ENERGY SYSTEM CERES; VEGETATION OPTICAL DEPTH; GROSS PRIMARY PRODUCTION; WET-BULB TEMPERATURE; TOTAL OZONE; LIGHTNING ACTIVITY; NORTH-ATLANTIC; SURFACE-WATER</t>
  </si>
  <si>
    <t>[Miller, J. B.] NOAA Global Monitoring Lab, Boulder, CO 80305 USA</t>
  </si>
  <si>
    <t>Miller, JB (corresponding author), NOAA Global Monitoring Lab, Boulder, CO 80305 USA.</t>
  </si>
  <si>
    <t>Merchant, Christopher/KHY-0611-2024; Rosenlof, Karen H/B-5652-2008; John, Viju O/A-4558-2008; Miralles, Diego/K-8857-2013; Zhao, Lin/M-9536-2018; Randel, William J/K-3267-2016; LAN, XIN/AAX-4357-2020; Cooper, Owen/H-4875-2013; Zeng, Zhenzhong/GQR-0044-2022; Hu, Guojie/M-5738-2019; Isaksen, Ketil/C-6493-2011; Vivero, Sebastian/AFY-4032-2022; Kent, Elizabeth/C-1281-2011; Lennard, Chris/C-2120-2014</t>
  </si>
  <si>
    <t>Rosenlof, Karen H/0000-0002-0903-8270; Miralles, Diego/0000-0001-6186-5751; Zhao, Lin/0000-0003-0245-8413; LAN, XIN/0000-0001-6327-6950; Cooper, Owen/0000-0001-7391-1161; Hu, Guojie/0000-0002-5428-0445; Isaksen, Ketil/0000-0003-2356-5330; Vivero, Sebastian/0000-0002-1813-9575; Kent, Elizabeth/0000-0002-6209-4247; Lennard, Chris/0000-0001-6085-0320</t>
  </si>
  <si>
    <t>Met Office Hadley Centre Climate Programme - BEIS; European Space Agency [4000125030/18/I-NB]; EU Copernicus Climate Change Service (C3S) programme; Fisheries and Oceans Canada (FOC); Hungarian Meteorological Office; North Temperate Lakes Long-Term Ecological Research (NTL-LTER); Swedish Infrastructure for Ecosystem Science (SITES); King County Water and Land Resources Division, Washington; Natural Environment Research Council [NE/R016429/1]; NERC NC CLASS programme [NE/R015953/1, NE/S015647/2]; U.S. Department of Energy [DE-SC0023332]; DOE [DE-AC52-07NA27344]; US NSF [OPP-1836377]; Swiss Permafrost Monitoring Network (PERMOS); MeteoSwiss (in the framework of GCOS Switzerland); Federal Office for the Environment; Swiss Academy of Sciences; Observatoire des Sciences de l'Univers Grenoble; Czech Antarctic Research Programme; Czech Science Foundation [GM22-28659M]; Chinese National Science Foundation [41931180]; Cryosphere Research Station on Qinghai-Xizang Plateau, CAS; Hohe Tauern National Park Carinthia through its long-term permafrost monitoring program [SOERE/All'envi-OZCAR]; French National Research Agency [ANR-15-IDEX-02]; LabEx OSUG@2020; MeteoSwiss in the framework of GCOS Switzerland; ESA Permafrost_CCI project [4000123681/18/I-NB]; Centro de Estudios Avanzados en Zonas Aridas (CEAZA); Leading House for the Latin American Region (University of St. Gallen) [MOB1829]; NOAA's Climate Data Record (CDR) Program at the National Centers for Environmental Information; National Science Foundation [1852977]; grant SeeWandel: Life in Lake Constance - the Past, Present and Future within the framework of the Interreg V programme Alpenrhein-Bodensee-Hochrhein (Germany/Austria/Switzerland/Liechtenstein); European Regional Development Fund; Swiss Confederation; USGS Mendenhall Fellowship from the Water Mission Area - NASA's GRACE-FO Science Team; European Research Council (ERC) under the Horizon Europe research and innovation programme (ERC-starting grant CATES) [101043214]; UK NERC [NE/S015582/1]; UK National Centre for Atmospheric Science (NCAS); Research and Specialist Computing Support service at the University of East Anglia; European Research Council (ERC) [101088405 HEAT]; King Abdullah University of Science and Technology [AICO/2021/023, INCGLO0023]; INTRAMURAL-CSIC [202230I068]; NASA Ocean Vector Wind Science Team grant [80HQTR19C0003]; National Natural Science Foundation of China [42071022]; Royal Society (UK) [NMG/R1/180252]; Natural Environment Research Council (UK) [NE/L012669/1, NE/H024921/1]; Dynamic Meteorology Program at the National Science Foundation [6942679]; Israel Science Foundation (ISF) [2701/17]; Ministry of Energy [220-17-002]; NASA [80GSFC20C044]; GOES-R Series Science, Demonstration, and Cal/Val Program at Marshall Space Flight Center [NNM11AA01A]; Peter Thorne at Maynooth University in Ireland; NASA Science Mission Directorate; NASA CERES project; EU Copernicus Atmosphere Monitoring Service (CAMS); NASA Long Term Measurement of Ozone program [WBS 479717]; NOAA [NA19NES4320002]; DLR [NA22OAR4320151]; European Union [970.2]; Max Planck Institute for Chemistry, Mainz, Germany; NASA Earth Science Directorate [NNX16AO34H, 80NSSC18K0173-CMS]; National Science Foundation through the Macrosystems Biology [1702697, 1832210]; National Science Foundation through the LTER [1832210]; Nature's Calendar; National Science Foundation through the Division of Biological Infrastructure [2031660]; US Fish and Wildlife Service [F16AC01075, F19AC00168]; US Geological Survey [G14AC00405, G18AC00135]; Bavarian State Ministry of Science and the Arts in the context of the Bavarian Climate Research Network; Vassdragsforbundet for Mjosa med; Data for Lakes Geneva; AnaEE-France; TU Wien Wissenschaftspreis; ESA Climate Change Initiative; Copernicus Climate Change Service (C3S); U.S. Department of Energy (DOE) [DE-SC0023332] Funding Source: U.S. Department of Energy (DOE); European Research Council (ERC) [101043214] Funding Source: European Research Council (ERC)</t>
  </si>
  <si>
    <t>Met Office Hadley Centre Climate Programme - BEIS; European Space Agency(European Space Agency); EU Copernicus Climate Change Service (C3S) programme; Fisheries and Oceans Canada (FOC); Hungarian Meteorological Office; North Temperate Lakes Long-Term Ecological Research (NTL-LTER); Swedish Infrastructure for Ecosystem Science (SITES); King County Water and Land Resources Division, Washington; Natural Environment Research Council(UK Research &amp; Innovation (UKRI)Natural Environment Research Council (NERC)); NERC NC CLASS programme; U.S. Department of Energy(United States Department of Energy (DOE)); DOE(United States Department of Energy (DOE)); US NSF(National Science Foundation (NSF)); Swiss Permafrost Monitoring Network (PERMOS); MeteoSwiss (in the framework of GCOS Switzerland); Federal Office for the Environment; Swiss Academy of Sciences; Observatoire des Sciences de l'Univers Grenoble; Czech Antarctic Research Programme; Czech Science Foundation(Grant Agency of the Czech Republic); Chinese National Science Foundation(National Natural Science Foundation of China (NSFC)); Cryosphere Research Station on Qinghai-Xizang Plateau, CAS; Hohe Tauern National Park Carinthia through its long-term permafrost monitoring program; French National Research Agency(Agence Nationale de la Recherche (ANR)); LabEx OSUG@2020; MeteoSwiss in the framework of GCOS Switzerland; ESA Permafrost_CCI project; Centro de Estudios Avanzados en Zonas Aridas (CEAZA)(Comision Nacional de Investigacion Cientifica y Tecnologica (CONICYT)CONICYT Regional/CEAZA); Leading House for the Latin American Region (University of St. Gallen); NOAA's Climate Data Record (CDR) Program at the National Centers for Environmental Information; National Science Foundation(National Science Foundation (NSF)); grant SeeWandel: Life in Lake Constance - the Past, Present and Future within the framework of the Interreg V programme Alpenrhein-Bodensee-Hochrhein (Germany/Austria/Switzerland/Liechtenstein); European Regional Development Fund(European Union (EU)); Swiss Confederation; USGS Mendenhall Fellowship from the Water Mission Area - NASA's GRACE-FO Science Team; European Research Council (ERC) under the Horizon Europe research and innovation programme (ERC-starting grant CATES)(European Research Council (ERC)); UK NERC(UK Research &amp; Innovation (UKRI)Natural Environment Research Council (NERC)); UK National Centre for Atmospheric Science (NCAS); Research and Specialist Computing Support service at the University of East Anglia; European Research Council (ERC)(European Research Council (ERC)Spanish Government); King Abdullah University of Science and Technology(King Abdullah University of Science &amp; Technology); INTRAMURAL-CSIC; NASA Ocean Vector Wind Science Team grant; National Natural Science Foundation of China(National Natural Science Foundation of China (NSFC)); Royal Society (UK)(Royal Society); Natural Environment Research Council (UK)(UK Research &amp; Innovation (UKRI)Natural Environment Research Council (NERC)); Dynamic Meteorology Program at the National Science Foundation; Israel Science Foundation (ISF)(Israel Science Foundation); Ministry of Energy; NASA(National Aeronautics &amp; Space Administration (NASA)); GOES-R Series Science, Demonstration, and Cal/Val Program at Marshall Space Flight Center; Peter Thorne at Maynooth University in Ireland; NASA Science Mission Directorate(National Aeronautics &amp; Space Administration (NASA)); NASA CERES project; EU Copernicus Atmosphere Monitoring Service (CAMS); NASA Long Term Measurement of Ozone program; NOAA(National Oceanic Atmospheric Admin (NOAA) - USA); DLR(Helmholtz AssociationGerman Aerospace Centre (DLR)); European Union(European Union (EU)); Max Planck Institute for Chemistry, Mainz, Germany; NASA Earth Science Directorate; National Science Foundation through the Macrosystems Biology; National Science Foundation through the LTER; Nature's Calendar; National Science Foundation through the Division of Biological Infrastructure; US Fish and Wildlife Service(US Fish &amp; Wildlife Service); US Geological Survey(United States Geological Survey); Bavarian State Ministry of Science and the Arts in the context of the Bavarian Climate Research Network; Vassdragsforbundet for Mjosa med; Data for Lakes Geneva; AnaEE-France; TU Wien Wissenschaftspreis; ESA Climate Change Initiative; Copernicus Climate Change Service (C3S); U.S. Department of Energy (DOE)(United States Department of Energy (DOE)); European Research Council (ERC)(European Research Council (ERC)Spanish Government)</t>
  </si>
  <si>
    <t>2.a.1 Overviewr The editors thank the BAMS special editor, Mike Alexander, the five anonymous reviewers, as well as David Parker, John Kennedy, Katrina MacNeill, and Josh Blannin for their insight, thoughts, and suggestions when developing this chapter. We also thank Fumi Sezaki (JMA), Julien Nicolas (ECMWF), and Mike Bosilovich (NASA) for their help in providing the reanalysis data used in this chapter. R. J. H. Dunn and K. M. Willett were supported by the Met Office Hadley Centre Climate Programme funded by BEIS. R. J. H. Dunn also thanks Bill Little for his assistance with the plots.r 2.b.2 Lake surface water temperaturer Lake surface water temperatures from satellite data have been generated within the Climate Change Initiative Lakes project funded by the European Space Agency (4000125030/18/I-NB) with adaptation and extensions funded by the EU Copernicus Climate Change Service (C3S) programme. Part of the in situ data used for the validation of the satellite data and for this report have kindly been made publicly available by the Fisheries and Oceans Canada (FOC), the National Data Buoy Center from NOAA, the Hungarian Meteorological Office, the Upper Great Lakes Observing System (UGLOS), the North Temperate Lakes Long-Term Ecological Research (NTL-LTER), and the Swedish Infrastructure for Ecosystem Science (SITES), and the King County Water and Land Resources Division, Washington. The authors gratefully acknowledge the late Alon Rimmer for always supplying data for Lake Kinneret. The in situ temperature measurements for Lake Baikal were supported by Foundation for support of applied ecological studies Lake Baikal (https://baikalfoundation.ru/project/tochka-1/).Temperature data for the UK lakes were supported by the Natural Environment Research Council award number NE/R016429/1 as part of the UK-SCaPE program delivering National Capability.r 2.b.3 Night marine air temperaturer R. C. Cornes, T. Cropper and E. C. Kent were supported by the NERC NC CLASS programme (NE/R015953/1) and the NERC GloSAT project (NE/S015647/2). R. Junod was supported by funding from the U.S. Department of Energy (DE-SC0023332).r 2.b.4 Surface temperature extremesr R. J. H. Dunn was supported by the Met Office Hadley Centre Climate Programme funded by BEIS.r 2.b.5 Tropospheric temperaturer Work performed by Stephen Po-Chedley at Lawrence Livermore National Laboratory (LLNL) was supported by LDRD 23-FS-009 and performed under the auspices of the DOE under Contract DE-AC52-07NA27344.r 2.c.1 Permafrost temperatures and active layer thicknessr The Circumpolar Active Layer Monitoring (CALM) program is funded by the US NSF Project OPP-1836377. The Swiss Permafrost Monitoring Network (PERMOS) is financially supported by MeteoSwiss (in the framework of GCOS Switzerland), the Federal Office for the Environment, and the Swiss Academy of Sciences and acknowledges the important contribution of its partner institutions and principal investigators. The French Network PermaFRANCE is financially supported by the Observatoire des Sciences de l'Univers Grenoble and the French Research Infrastructure OZCAR. Research on James Ross Island was supported by the Czech Antarctic Research Programme and the Czech Science Foundation project (GM22-28659M). The Chinese Permafrost Monitoring Network is financially supported by the Chinese National Science Foundation (41931180) and the Cryosphere Research Station on Qinghai-Xizang Plateau, CAS.r 2.c.; 2 Rock glacier velocityr Rock glacier monitoring at Hinteres Langtalkar and Dosen rock glaciers (AT) is supported by the Hohe Tauern National Park Carinthia through its long-term permafrost monitoring program. The Laurichard (FR) survey is supported by CryobsClim Long-term Observation and Experimentation System for Environmental Research (SOERE/All'envi-OZCAR Research Infrastructure) and the PermaFrance observatory monitoring the mountain permafrost in the French Alps as well as French National Research Agency in the framework of the Investissements d'Avenir programs: Risk@UGA (ANR-15-IDEX-02) and LabEx OSUG@2020 (ANR10 LABX56). The Ecrins National Park helps field surveys since the early 2000s. The Swiss Permafrost Monitoring Network (PERMOS) is financially supported by MeteoSwiss in the framework of GCOS Switzerland, the Federal Office for the Environment and the Swiss Academy of Sciences. PERMOS acknowledges the important contribution of the partner institutions and principal investigators. The time series for Central Asian rock glaciers was compiled with the ESA Permafrost_CCI project (4000123681/18/I-NB). The time series for the Dry Andes was supported by the Centro de Estudios Avanzados en Zonas Aridas (CEAZA) and the Leading House for the Latin American Region (University of St. Gallen), grant number MOB1829.r 2.c.5 Northern Hemisphere snow cover extentr This work is funded in part by NOAA's Climate Data Record (CDR) Program at the National Centers for Environmental Information.r 2.d.1 Surface humidityr Kate Willett was supported by the Met Office Hadley Centre Climate Programme funded by BEIS. Adrian Simmons and David Lavers were supported by the Copernicus Climate Change Service implemented by ECMWF on behalf of the European Commission.r 2.d.5 Precipitation extremesr The National Center for Atmospheric Research is sponsored by the National Science Foundation under Cooperative Agreement No. 1852977.r 2.d.6 Cloudinessr CERES EBAF data were obtained from the NASA Langley Research Center CERES ordering tool at https://ceres.larc.nasa.gov/data/.r 2.d.7 Lake water levelr B. M. Kraemer recognizes support from the grant SeeWandel: Life in Lake Constance - the Past, Present and Future within the framework of the Interreg V programme Alpenrhein-Bodensee-Hochrhein (Germany/Austria/Switzerland/Liechtenstein) whose funds are provided by the European Regional Development Fund as well as the Swiss Confederation and cantons. M.F. Meyer was supported by a USGS Mendenhall Fellowship from the Water Mission Area. The funders had no role in study design, data collection and analysis, decision to publish, or preparation of the manuscript. Any use of trade, firm, or product names is for descriptive purposes only and does not imply endorsement by the U.S. Government.r 2.d.8 Groundwater and terrestrial water storager Work on the Groundwater and Terrestrial Water Storage section was funded by NASA's GRACE-FO Science Team.r 2.d.10 Droughtr Jonathan Barichivich was supported by the European Research Council (ERC) under the Horizon Europe research and innovation programme (ERC-starting grant CATES, grant agreement No. 101043214). Tim Osborn received funding from UK NERC (NE/S015582/1). Ian Harris received funding from UK National Centre for Atmospheric Science (NCAS). The research presented in the drought section was carried out on the High-Performance Computing Cluster supported by the Research and Specialist Computing Support service at the University of East Anglia.r 2.d.11 Land evaporationr D. G.; Miralles acknowledges support from the European Research Council (ERC) under grant agreement no. 101088405 HEAT). M.F. McCabe and H.E. Beck are supported by the King Abdullah University of Science and Technology.r 2.e.2 Surface windsr C. Azorin-Molina was supported by CSIC-UV-GVA and funded by AICO/2021/023, LINCGLOBAL-CSIC ref. INCGLO0023, INTRAMURAL-CSIC ref. 202230I068, and PTI-CLIMA.R. J. H. Dunn was supported by the Met Office Hadley Centre Climate Programme funded by BEIS. L. Ricciardulli was supported by NASA Ocean Vector Wind Science Team grant 80HQTR19C0003. Z. Zeng was supported by the National Natural Science Foundation of China grant 42071022.r 2.e.4 Lightningr The work of M. Fullekrug was sponsored by the Royal Society (UK) grant NMG/R1/180252 and the Natural Environment Research Council (UK) under grants NE/L012669/1 and NE/H024921/1.r E. Williams is supported for studies on global circuit response to climate change from the Physical and Dynamic Meteorology Program at the National Science Foundation on grant no. 6942679.r C. Price was supported in his lightning research by the Israel Science Foundation (ISF) grant 2701/17, and the Ministry of Energy grant no. 220-17-002. S. Goodman was supported by NASA Grant 80NSSC21K0923 and NASA Contract 80GSFC20C044. K.Virts is supported in part by the GOES-R Series Science, Demonstration, and Cal/Val Program at Marshall Space Flight Center. D. Buechler is supported by the NASA MSFC/UAH Cooperative Agreement NNM11AA01A. The authors wish to thank Peter Thorne at Maynooth University in Ireland and at the European Centre for Medium Range Weather Forecast (ECMWF) for suggesting and initiating this work and for recommending that lightning be made an essential climate variable. ISS LIS acknowledges support from the NASA Science Mission Directorate.r 2.f.1 Earth radiation budget at top of atmospherer This research has been supported by the NASA CERES project. The NASA Langley Atmospheric Sciences Data Center processed the instantaneous Single Scanner Footprint (SSF) data used as input to EBAF Ed4.2 and processes the FLASHFlux TISA version 4A.r 2.g.3 Aerosolsr Samuel Remy, Melanie Ades, and Mihai Alexe are grateful to the EU Copernicus Atmosphere Monitoring Service (CAMS), which supports the CAMS reanalysis used in the aerosols section.r 2.g.4 Stratospheric ozoner Carlo Arosio, Melanie Coldewey-Egbers, Diego Loyola, Viktoria Sofieva, Alexei Rozanov, and Mark Weber are grateful to the EU Copernicus Climate Change Service, 312b Lot4 Ozone and to ESA's Climate Change Initiative Ozone (CCI+) projects for supporting the generation and extension of the GTO-ECV total ozone and SAGE-CCI-OMPS data records. Mark Weber, Carlo Arosio, Kleareti Tourpali, and Alexei Rozanov are grateful for the support by the ESA project Ozone Recovery from Merged Observational Data and Model Analysis (OREGANO). Stacey M. Frith is supported by the NASA Long Term Measurement of Ozone program WBS 479717. Lucien Froidevaux's contribution, with the assistance of Ryan Fuller, was performed at the Jet Propulsion Laboratory, California Institute of Technology, under contract with NASA. Jeannette Wild was supported by NOAA grant NA19NES4320002 (Cooperative Institute for Satellite Earth System Studies CISESS) at the University of Maryland/ESSIC. Melanie Coldewey-Egbers and Diego Loyola acknowledge the partial support by the DLR projects MABAK and INPULS.r 2.g.6 Tropospheric ozoner O. R. Cooper and K.-L. Chang were supported by NOAA cooperative agreement NA22OAR4320151.r 2.g.; 7 Carbon monoxider The Copernicus Atmosphere Monitoring Service is funded by the European Union.r 2.h.2 Terrestrial vegetation dynamicsr N. Gobron thanks Mirko Marioni for his technical support and the providers of the remote sensing dataset needed to perform this research, i.e. the SeaWiFS Project (Code 970.2) and the Goddard Earth Sciences Data and Information Services Center/Distributed Active Archive Center (Code 902) at the Goddard Space Flight Center, Greenbelt, MD 20771. MERIS products were processed at the Grid On Demand facility of the European Space Agency (ESA/ESRIN) using JRC software code.r 2.h.1 Albedor The authors thank Mirko Marioni for his technical support and NASA's Land Processes Distributed Active Archive Center (LP DAAC) for providing access to the remote sensing data.r 2.h.3 Biomass burningr J. W Kaiser and M. Parrington were supported by the Copernicus Atmosphere Monitoring Service implemented by ECMWF on behalf of the European Commission. Data processing facilities were provided by the Max Planck Institute for Chemistry, Mainz, Germany.r 2.h.4 Phenology of primary producersr Debbie Hemming acknowledges support from the Met Office Hadley Centre Climate Programme funded by BEIS, and thanks all co-authors for their interesting and helpful contributions. Taejin Park acknowledges support from the NASA Earth Science Directorate (grants NNX16AO34H and 80NSSC18K0173-CMS). Andrew Richardson acknowledges support from the National Science Foundation through the Macrosystems Biology (award 1702697) and LTER (award 1832210) programs. John O'Keefe also acknowledges support from the National Science Foundation through the LTER (award 1832210) program. Nature's Calendar (Woodland Trust) in the UK thanks all its volunteer recorders and support from players of People's Postcode Lottery. Theresa Crimmins and the USA-NPN acknowledge support from the National Science Foundation through the Division of Biological Infrastructure (award 2031660), the US Fish and Wildlife Service (agreements F16AC01075 and F19AC00168), and the US Geological Survey (G14AC00405 and G18AC00135). The USA National Phenology Network thanks the many participants contributing phenology observations to Nature's Notebook. De Natuurkalender (Nature's Calendar) program in the Netherlands thanks all the volunteers and school children in the GLOBE program for their many observations. Annette Menzel and Nicole Estrella acknowledge support from the Bavarian State Ministry of Science and the Arts in the context of the Bavarian Climate Research Network (BayKlif) (Bavarian Citizen Science Portal for Climate Research and Science Communication [BAYSICS project]). The Slovak Hydrometeorological Institute thanks all its volunteer observers for participating in the phenological observation program. Orlane Anneville acknowledges support from INRAE. Stephen Thackeray thanks Werner Eckert, Heidrun Feuchtmayr, Shin-Ichiro Matsuzaki, Linda May, Ryuichiro Shinohara, Jan-Erik Thrane, Piet Verburg, Tamar Zohary and all field and lab workers associated with the provision of the lake chlorophyll-a data. We acknowledge funding from Vassdragsforbundet for Mjosa med tillopselver (https://www.vassdragsforbundet.no/om-oss/) and Natural Environment Research Council award number NE/R016429/1 as part of the UK-SCAPE programme delivering National Capability. Data for Lakes Geneva and Bourget were contributed by the Observatory of alpine LAkes (OLA), (c) SOERE OLA-IS, AnaEE-France, INRAE of Thonon-les-Bains, CIPEL, CISALB.r 2.h.5 Vegetation optical depthr R. M. Zotta and W.; Dorigo acknowledge the TU Wien Wissenschaftspreis 2015, a personal grant awarded to W. Dorigo.r We also acknowledge support from the ESA Climate Change Initiative and the Copernicus Climate Change Service (C3S).r Sidebar 2.1 Humid heat extremesr Kate Willett was supported by the Met Office Hadley Centre Climate Programme funded by BEIS.</t>
  </si>
  <si>
    <t>S20</t>
  </si>
  <si>
    <t>S145</t>
  </si>
  <si>
    <t>Y4DJ1</t>
  </si>
  <si>
    <t>WOS:001104782100001</t>
  </si>
  <si>
    <t>Xu, K; Kemp, DB; Ren, JY; Qian, WD</t>
  </si>
  <si>
    <t>Xu, Ke; Kemp, David B.; Ren, Jianye; Qian, Wendao</t>
  </si>
  <si>
    <t>Astronomically forced climate variability across the Eocene-Oligocene transition from a low latitude terrestrial record (Luhe Basin, South China)</t>
  </si>
  <si>
    <t>GEOLOGICAL SOCIETY OF AMERICA BULLETIN</t>
  </si>
  <si>
    <t>WEATHERING RESPONSE; ISOTOPE RECORDS; ASIAN MONSOONS; XINING BASIN; RB/SR RECORD; LATE MIOCENE; ARIDIFICATION; TEMPERATURE; MA; GLACIATION</t>
  </si>
  <si>
    <t>Across the late Eocene to early Oligocene, Earth's climate underwent a dramatic shift from Greenhouse to Icehouse, known as the Eocene-Oligocene transition (EOT). This globally synchronous climatic event is well-documented in marine records. However, there is a relative paucity of terrestrial records, particularly at low latitudes. In this study, we present a continuous and highresolution terrestrial record across the EOT from the low-latitude Luhe Basin, Yunnan Province, South China. Combined with published magnetostratigraphy and Ar-40/Ar-39 dating of volcanic ashes in the Luhe Basin, we have constrained this record with a robust astronomical timescale. Our results, combined with previously published data from the region, reveal that the Luhe Basin experienced significant environmental and climate changes, from humid/warm to semi-humid/cool conditions, across the EOT. Cyclostratigraphic analysis of high-resolution elemental data reveal a significant switch in orbital forcing, from dominant eccentricity before ca. 34 Ma to combined eccentricity-obliquity-precession cycles after ca. 34 Ma. Atmospheric CO2 decline and subsequent Antarctic glaciation may have been a contributing factor in driving this orbital transition.</t>
  </si>
  <si>
    <t>[Xu, Ke; Ren, Jianye; Qian, Wendao] China Univ Geosci, Hubei Key Lab Marine Geol Resources, Wuhan 430074, Peoples R China; [Xu, Ke; Qian, Wendao] China Univ Geosci, Coll Marine Sci &amp; Technol, Wuhan 430074, Peoples R China; [Kemp, David B.] China Univ Geosci, Sch Earth Sci, State Key Lab Biogeol &amp; Environm Geol, Wuhan 430074, Peoples R China; [Kemp, David B.] China Univ Geosci, Sch Earth Sci, Hubei Key Lab Crit Zone Evolut, Wuhan 430074, Peoples R China; [Ren, Jianye] China Univ Geosci, State Key Lab Geol Proc &amp; Mineral Resources, Wuhan 430074, Peoples R China; [Qian, Wendao] Xichang Univ, Sch Civil &amp; Hydraul Engn, Xichang 615000, Peoples R China</t>
  </si>
  <si>
    <t>China University of Geosciences; China University of Geosciences; China University of Geosciences; China University of Geosciences; China University of Geosciences</t>
  </si>
  <si>
    <t>Ren, JY (corresponding author), China Univ Geosci, Hubei Key Lab Marine Geol Resources, Wuhan 430074, Peoples R China.;Ren, JY (corresponding author), China Univ Geosci, State Key Lab Geol Proc &amp; Mineral Resources, Wuhan 430074, Peoples R China.</t>
  </si>
  <si>
    <t>jyren@cug.edu.cn</t>
  </si>
  <si>
    <t>Xu, Ke/0000-0001-5033-8737</t>
  </si>
  <si>
    <t>National Natural Science Foundation of China [41830537, 41888101]; China Postdoctoral Science Foundation [2022M712956]; Open Funds for Hubei Key Laboratory of Marine Geological Resources, China University of Geosciences [MGR202205, MGR202212]</t>
  </si>
  <si>
    <t>National Natural Science Foundation of China(National Natural Science Foundation of China (NSFC)); China Postdoctoral Science Foundation(China Postdoctoral Science Foundation); Open Funds for Hubei Key Laboratory of Marine Geological Resources, China University of Geosciences</t>
  </si>
  <si>
    <t>We thank Boxu Liu for help with X-ray fluorescence analysis. We are also grateful to the associate editor and two anonymous reviewers for their many valuable reviews of this paper. The project was supported by the National Natural Science Foundation of China (grant numbers 41830537 and 41888101) and China Postdoctoral Science Foundation (2022M712956). This work was also supported by the Open Funds for Hubei Key Laboratory of Marine Geological Resources, China University of Geosciences, numbers MGR202205 and MGR202212.</t>
  </si>
  <si>
    <t>GEOLOGICAL SOC AMER, INC</t>
  </si>
  <si>
    <t>BOULDER</t>
  </si>
  <si>
    <t>PO BOX 9140, BOULDER, CO 80301-9140 USA</t>
  </si>
  <si>
    <t>0016-7606</t>
  </si>
  <si>
    <t>1943-2674</t>
  </si>
  <si>
    <t>GEOL SOC AM BULL</t>
  </si>
  <si>
    <t>Geol. Soc. Am. Bull.</t>
  </si>
  <si>
    <t>9-10</t>
  </si>
  <si>
    <t>10.1130/B36588.1</t>
  </si>
  <si>
    <t>X9LA7</t>
  </si>
  <si>
    <t>Green Submitted</t>
  </si>
  <si>
    <t>WOS:001101571800028</t>
  </si>
  <si>
    <t>Clarke, LJ; Shaw, JD; Suter, L; Atalah, J; Bergstrom, DM; Biersma, E; Convey, P; Greve, M; Holland, O; Houghton, MJ; Hughes, KA; Johnston, EL; King, CK; McCarthy, AH; McGaughran, A; Pertierra, LR; Robinson, SA; Sherman, CDH; Stark, JS; Stevens, MI; Strugnell, JM; von Ammon, U; Wilson, NG; Zaiko, A; MacDonald, AJ</t>
  </si>
  <si>
    <t>Clarke, Laurence J.; Shaw, Justine D.; Suter, Leonie; Atalah, Javier; Bergstrom, Dana M.; Biersma, Elisabeth; Convey, Peter; Greve, Michelle; Holland, Oakes; Houghton, Melissa J.; Hughes, Kevin A.; Johnston, Emma L.; King, Catherine K.; McCarthy, Arlie H.; McGaughran, Angela; Pertierra, Luis R.; Robinson, Sharon A.; Sherman, Craig D. H.; Stark, Jonathan S.; Stevens, Mark I.; Strugnell, Jan M.; von Ammon, Ulla; Wilson, Nerida G.; Zaiko, Anastasija; MacDonald, Anna J.</t>
  </si>
  <si>
    <t>An expert-driven framework for applying eDNA tools to improve biosecurity in the Antarctic</t>
  </si>
  <si>
    <t>MANAGEMENT OF BIOLOGICAL INVASIONS</t>
  </si>
  <si>
    <t>Review</t>
  </si>
  <si>
    <t>biofouling; environmental DNA; non-native species; marine; Southern Ocean; terrestrial; risk assessment</t>
  </si>
  <si>
    <t>SOUTHERN-OCEAN; MANAGEMENT; TERRESTRIAL; COMMUNITIES; ASSEMBLAGES; ERADICATION; DIVERSITY; KNOWLEDGE; RISKS; PLANT</t>
  </si>
  <si>
    <t>Signatories to the Antarctic Treaty System's Environmental Protocol are committed to preventing incursions of non-native species into Antarctica, but systematic surveillance is rare. Environmental DNA (eDNA) methods provide new opportunities for enhancing detection of non-native species and biosecurity monitoring. To be effective for Antarctic biosecurity, eDNA tests must have appropriate sensitivity and specificity to distinguish non-native from native Antarctic species, and be fit-for-purpose. This requires knowledge of the priority risk species or taxonomic groups for which eDNA surveillance will be informative, validated eDNA assays for those species or groups, and reference DNA sequences for both target non-native and related native Antarctic species. Here, we used an expert elicitation process and decision-by-consensus approach to identify and assess priority biosecurity risks for the Australian Antarctic Program (AAP) in East Antarctica, including identifying high priority non-native species and their potential transport pathways. We determined that the priority targets for biosecurity monitoring were not individual species, but rather broader taxonomic groups such as mussels (Mytilus species), tunicates (Ascidiacea), springtails (Collembola), and grasses (Poaceae). These groups each include multiple species with high risks of introduction to and/or establishment in Antarctica. The most appropriate eDNA methods for the AAP must be capable of detecting a range of species within these high-risk groups (e.g., eDNA metabarcoding). We conclude that the most beneficial Antarctic eDNA biosecurity applications include surveillance of marine species in nearshore environments, terrestrial invertebrates, and biofouling species on vessels visiting Antarctica. An urgent need exists to identify suitable genetic markers for detecting priority species groups, establish baseline terrestrial and marine biodiversity for Antarctic stations, and develop eDNA sampling methods for detecting biofouling organisms.</t>
  </si>
  <si>
    <t>[Clarke, Laurence J.; Shaw, Justine D.; Suter, Leonie; King, Catherine K.; MacDonald, Anna J.] Australian Antarctic Div, Kingston, Tas, Australia; [Clarke, Laurence J.] Univ Tasmania, Inst Marine &amp; Antarctic Studies, Hobart, Tas, Australia; [Shaw, Justine D.; Holland, Oakes] Queensland Univ Technol, Sch Biol &amp; Environm Sci, Securing Antarcticas Environm Future, Brisbane, Qld, Australia; [Atalah, Javier; von Ammon, Ulla; Zaiko, Anastasija] Cawthron Inst, Biosecur Grp, Nelson, New Zealand; [Atalah, Javier] Univ Alicante, Dept Marine Sci &amp; Appl Biol, Alicante, Spain; [Bergstrom, Dana M.] Univ Wollongong, Global Challenges Program, Wollongong, NSW, Australia; [Biersma, Elisabeth] Univ Copenhagen, Nat Hist Museum Denmark, Copenhagen, Denmark; [Convey, Peter; Hughes, Kevin A.] British Antarctic Survey, Cambridge, England; [Convey, Peter] Univ Johannesburg, Dept Zool, Auckland Pk, South Africa; [Convey, Peter] Millennium Inst, Biodivers Antarctic &amp; Subantarctic Ecosyst BASE, Las Palmeras 3425, Santiago, Chile; [Convey, Peter] Cape Horn Int Ctr CHIC, Puerto Williams, Chile; [Greve, Michelle] Univ Pretoria, Dept Plant &amp; Soil Sci, Pretoria, South Africa; [Houghton, Melissa J.] Dept Nat Resources &amp; Environm Tasmania, New Town, Tas, Australia; [Johnston, Emma L.] Univ Sydney, Sch Life &amp; Environm Sci, Sydney, NSW, Australia; [McCarthy, Arlie H.] Carl von Ossietzky Univ Oldenburg, Helmholtz Inst Funct Marine Biodivers HIFMB, Oldenburg, Germany; [McCarthy, Arlie H.] Alfred Wegener Inst, Helmholtz Zentrum Polar &amp; Meeresforsch, Wilhelmshaven, Germany; [McGaughran, Angela] Univ Waikato, Te Aka Matuatua Sch Sci, Hamilton, New Zealand; [Robinson, Sharon A.] Univ Wollongong, Sch Earth Atmospher &amp; Life Sci, Securing Antarcticas Environm Future, Wollongong, NSW, Australia; [Sherman, Craig D. H.] Deakin Univ, Sch Life &amp; Environm Sci, Geelong, Vic, Australia; [Stevens, Mark I.] South Australian Museum, Securing Antarcticas Environm Future, Adelaide, SA, Australia; [Stevens, Mark I.] Univ Adelaide, Sch Biol Sci, Adelaide, SA, Australia; [Strugnell, Jan M.] James Cook Univ, Ctr Sustainable Trop Fisheries &amp; Aquaculture, Townsville, Qld, Australia; [Strugnell, Jan M.] James Cook Univ, Coll Sci &amp; Engn, Townsville, Qld, Australia; [Strugnell, Jan M.] James Cook Univ, Securing Antarcticas Environm Future, Townsville, Qld, Australia; [Strugnell, Jan M.] Trobe Univ, Dept Ecol Environm &amp; Evolut, Melbourne, Vic, Australia; [Wilson, Nerida G.] Western Australian Museum, Res &amp; Collect, Perth, WA, Australia; [Wilson, Nerida G.] Univ Western Australia, Sch Biol Sci, Crawley, WA, Australia; [Wilson, Nerida G.] Western Australian Museum, Securing Antarcticas Environm Future, Welshpool, WA, Australia</t>
  </si>
  <si>
    <t>Australian Antarctic Division; University of Tasmania; Queensland University of Technology (QUT); Cawthron Institute; Universitat d'Alacant; University of Wollongong; University of Copenhagen; UK Research &amp; Innovation (UKRI); Natural Environment Research Council (NERC); NERC British Antarctic Survey; University of Johannesburg; University of Pretoria; University of Sydney; Carl von Ossietzky Universitat Oldenburg; Helmholtz Association; Alfred Wegener Institute, Helmholtz Centre for Polar &amp; Marine Research; University of Waikato; University of Wollongong; Deakin University; South Australian Museum; University of Adelaide; James Cook University; James Cook University; James Cook University; Melbourne Genomics Health Alliance; La Trobe University; Western Australian Museum; University of Western Australia; Western Australian Museum</t>
  </si>
  <si>
    <t>Clarke, LJ (corresponding author), Australian Antarctic Div, Kingston, Tas, Australia.;Clarke, LJ (corresponding author), Univ Tasmania, Inst Marine &amp; Antarctic Studies, Hobart, Tas, Australia.</t>
  </si>
  <si>
    <t>laurence.clarke09@gmail.com</t>
  </si>
  <si>
    <t>Biersma, Elisabeth Machteld/JKI-1084-2023; Hughes, Kevin/JVZ-0793-2024; Sherman, Craig DH/A-2484-2010; Johnston, Emma L/B-7210-2009; Zaiko, Anastasija/J-2665-2014; Strugnell, Jan M/P-9921-2016; Biersma, Elisabeth Machteld/AAL-9818-2020; Pertierra, Luis R./K-3727-2017; Atalah, Javier/AFX-4822-2022; Wilson, Nerida/G-8433-2011</t>
  </si>
  <si>
    <t>Biersma, Elisabeth Machteld/0000-0002-9877-2177; Pertierra, Luis R./0000-0002-2232-428X; Strugnell, Jan/0000-0003-2994-637X; Zaiko, Anastasija/0000-0003-4037-1861; Atalah, Javier/0000-0003-0625-3431; Wilson, Nerida/0000-0002-0784-0200; McCarthy, Arlie/0000-0001-7423-4342</t>
  </si>
  <si>
    <t>Science Innovation Project by the Department of Agriculture, Water and the Environment's Science Innovation Program; Australian Research Council SRIEAS; NERC; Biodiversa ASICS funding; [SR200100005]</t>
  </si>
  <si>
    <t>Science Innovation Project by the Department of Agriculture, Water and the Environment's Science Innovation Program; Australian Research Council SRIEAS(Australian Research Council); NERC(UK Research &amp; Innovation (UKRI)Natural Environment Research Council (NERC)); Biodiversa ASICS funding;</t>
  </si>
  <si>
    <t>This work was supported as a Science Innovation Project by the Department of Agriculture, Water and the Environment's Science Innovation Program funding 2021-22 (project team: A.J.M., L.J.C., D.M.B., C.K.K., J.S.S. and L.S.) . Support was also provided (to J.D.S, E.L.J., S.A.R., J.S.S., M.I.S., J.M.S., N.G.W.) from Australian Research Council SRIEAS grant SR200100005. P.C. and K.A.H. are supported by NERC core funding to the BAS Biodiversity, Evolution and Adaptation Team and Environment Office, respectively. L.R.P. and M.G. are supported by Biodiversa ASICS funding. The funders had no role in study design, data collection and analysis, decision to publish, or preparation of the manuscript.</t>
  </si>
  <si>
    <t>REGIONAL EURO-ASIAN BIOLOGICAL INVASIONS CENTRE-REABIC</t>
  </si>
  <si>
    <t>HELSINKI</t>
  </si>
  <si>
    <t>PO BOX 3, HELSINKI, 00981, FINLAND</t>
  </si>
  <si>
    <t>1989-8649</t>
  </si>
  <si>
    <t>MANAG BIOL INVASION</t>
  </si>
  <si>
    <t>Manag. Biol. Invasion</t>
  </si>
  <si>
    <t>10.3391/mbi.2023.14.3.01</t>
  </si>
  <si>
    <t>Biodiversity Conservation</t>
  </si>
  <si>
    <t>Biodiversity &amp; Conservation</t>
  </si>
  <si>
    <t>Y3LZ6</t>
  </si>
  <si>
    <t>Green Published, gold, Green Accepted</t>
  </si>
  <si>
    <t>WOS:001104330300009</t>
  </si>
  <si>
    <t>Piva, E; Schumann, S; Pacchini, S; Stoilova, V; Irato, P; Papetti, C; Pellegrino, D; Santovito, G</t>
  </si>
  <si>
    <t>Piva, Elisabetta; Schumann, Sophia; Pacchini, Sara; Stoilova, Velizara; Irato, Paola; Papetti, Chiara; Pellegrino, Daniela; Santovito, Gianfranco</t>
  </si>
  <si>
    <t>Investigating the influence of rising seawater temperatures on fish heart: Exploring the physiological impact of climate change on Antarctic fish</t>
  </si>
  <si>
    <t>ACTA PHYSIOLOGICA</t>
  </si>
  <si>
    <t>[Piva, Elisabetta; Schumann, Sophia; Pacchini, Sara; Irato, Paola; Papetti, Chiara; Santovito, Gianfranco] Univ Padua, Padua, Italy; [Stoilova, Velizara] Univ Karlstad, Karlstad, Sweden; [Pellegrino, Daniela] Univ Calabria, Arcavacata Di Rende, Italy</t>
  </si>
  <si>
    <t>University of Padua; Karlstad University; University of Calabria</t>
  </si>
  <si>
    <t>Pacchini, Sara/JVZ-1594-2024; Santovito, Gianfranco/ABB-9484-2021</t>
  </si>
  <si>
    <t>Pacchini, Sara/0000-0001-5430-2301; Santovito, Gianfranco/0000-0001-8260-7006</t>
  </si>
  <si>
    <t>Italian National Program for Antarctic Research (PNRA) [2018/B2Z1.01]</t>
  </si>
  <si>
    <t>Italian National Program for Antarctic Research (PNRA)</t>
  </si>
  <si>
    <t>Funded by the Italian National Program for Antarctic Research (PNRA), project No. 2018/B2Z1.01.</t>
  </si>
  <si>
    <t>WILEY</t>
  </si>
  <si>
    <t>HOBOKEN</t>
  </si>
  <si>
    <t>111 RIVER ST, HOBOKEN 07030-5774, NJ USA</t>
  </si>
  <si>
    <t>1748-1708</t>
  </si>
  <si>
    <t>1748-1716</t>
  </si>
  <si>
    <t>ACTA PHYSIOL</t>
  </si>
  <si>
    <t>Acta Physiol.</t>
  </si>
  <si>
    <t>Physiology</t>
  </si>
  <si>
    <t>U6JS2</t>
  </si>
  <si>
    <t>WOS:001085852300013</t>
  </si>
  <si>
    <t>Blázquez-Sánchez, P; Vargas, JA; Furtado, AA; Griñen, A; Leonardo, DA; Sculaccio, SA; Pereira, HD; Sonnendecker, C; Zimmermann, W; Díez, B; Garratt, RC; Ramírez-Sarmiento, CA</t>
  </si>
  <si>
    <t>Blazquez-Sanchez, Paula; Vargas, Jhon A.; Furtado, Adriano A.; Grinen, Aransa; Leonardo, Diego A.; Sculaccio, Susana A.; Pereira, Humberto D'Muniz; Sonnendecker, Christian; Zimmermann, Wolfgang; Diez, Beatriz; Garratt, Richard C.; Ramirez-Sarmiento, Cesar A.</t>
  </si>
  <si>
    <t>Engineering the catalytic activity of an Antarctic PET-degrading enzyme by loop exchange</t>
  </si>
  <si>
    <t>PROTEIN SCIENCE</t>
  </si>
  <si>
    <t>mesophilic enzymes; PET hydrolases; plastics; polyethylene terephthalate; protein engineering</t>
  </si>
  <si>
    <t>DEGRADATION; HYDROLYSIS; SAKAIENSIS</t>
  </si>
  <si>
    <t>Several hydrolases have been described to degrade polyethylene terephthalate (PET) at moderate temperatures ranging from 25 degrees C to 40 degrees C. These mesophilic PET hydrolases (PETases) are less efficient in degrading this plastic polymer than their thermophilic homologs and have, therefore, been the subject of many protein engineering campaigns. However, enhancing their enzymatic activity through rational design or directed evolution poses a formidable challenge due to the need for exploring a large number of mutations. Additionally, evaluating the improvements in both activity and stability requires screening numerous variants, either individually or using high-throughput screening methods. Here, we utilize instead the design of chimeras as a protein engineering strategy to increase the activity and stability of Mors1, an Antarctic PETase active at 25 degrees C. First, we obtained the crystal structure of Mors1 at 1.6 A resolution, which we used as a scaffold for structure- and sequence-based chimeric design. Then, we designed a Mors1 chimera via loop exchange of a highly divergent active site loop from the thermophilic leaf-branch compost cutinase (LCC) into the equivalent region in Mors1. After restitution of an active site disulfide bond into this chimera, the enzyme exhibited a shift in optimal temperature for activity to 45 degrees C and an increase in fivefold in PET hydrolysis when compared with wild-type Mors1 at 25 degrees C. Our results serve as a proof of concept of the utility of chimeric design to further improve the activity and stability of PETases active at moderate temperatures.</t>
  </si>
  <si>
    <t>[Blazquez-Sanchez, Paula; Grinen, Aransa; Ramirez-Sarmiento, Cesar A.] Pontificia Univ Catolica Chile, Inst Biol &amp; Med Engn, Sch Engn, Av Vicuna Mackenna 4860, Santiago 7820436, Chile; [Blazquez-Sanchez, Paula; Grinen, Aransa; Ramirez-Sarmiento, Cesar A.] Pontificia Univ Catolica Chile, Inst Biol &amp; Med Engn, Sch Med, Av Vicuna Mackenna 4860, Santiago 7820436, Chile; [Blazquez-Sanchez, Paula; Grinen, Aransa; Ramirez-Sarmiento, Cesar A.] Pontificia Univ Catolica Chile, Inst Biol &amp; Med Engn, Sch Biol Sci, Av Vicuna Mackenna 4860, Santiago 7820436, Chile; [Blazquez-Sanchez, Paula; Grinen, Aransa; Ramirez-Sarmiento, Cesar A.] Millennium Inst Integrat Biol iBio, ANID Millennium Sci Initiat Program, Santiago, Chile; [Blazquez-Sanchez, Paula; Sonnendecker, Christian; Zimmermann, Wolfgang] Univ Leipzig, Inst Analyt Chem, Leipzig, Germany; [Vargas, Jhon A.; Furtado, Adriano A.; Leonardo, Diego A.; Sculaccio, Susana A.; Pereira, Humberto D'Muniz; Garratt, Richard C.] Univ Sao Paulo, Sao Carlos Inst Phys, Av Trabalhador Sao Carlense 400, BR-13566590 Sao Carlos, SP, Brazil; [Diez, Beatriz] Pontificia Univ Catolica Chile, Sch Biol Sci, Dept Mol Genet &amp; Microbiol, Santiago, Chile; [Diez, Beatriz] Ctr Climate &amp; Resilience Res CR 2, Santiago, Chile; [Diez, Beatriz] Millennium Inst Ctr Genome Regulat CGR, Santiago, Chile</t>
  </si>
  <si>
    <t>Pontificia Universidad Catolica de Chile; Pontificia Universidad Catolica de Chile; Pontificia Universidad Catolica de Chile; Leipzig University; Universidade de Sao Paulo; Pontificia Universidad Catolica de Chile</t>
  </si>
  <si>
    <t>Ramírez-Sarmiento, CA (corresponding author), Pontificia Univ Catolica Chile, Inst Biol &amp; Med Engn, Sch Engn, Av Vicuna Mackenna 4860, Santiago 7820436, Chile.;Ramírez-Sarmiento, CA (corresponding author), Pontificia Univ Catolica Chile, Inst Biol &amp; Med Engn, Sch Med, Av Vicuna Mackenna 4860, Santiago 7820436, Chile.;Ramírez-Sarmiento, CA (corresponding author), Pontificia Univ Catolica Chile, Inst Biol &amp; Med Engn, Sch Biol Sci, Av Vicuna Mackenna 4860, Santiago 7820436, Chile.;Garratt, RC (corresponding author), Univ Sao Paulo, Sao Carlos Inst Phys, Av Trabalhador Sao Carlense 400, BR-13566590 Sao Carlos, SP, Brazil.</t>
  </si>
  <si>
    <t>richard@ifsc.usp.br</t>
  </si>
  <si>
    <t>Leonardo, Diego Antonio/JAN-4449-2023</t>
  </si>
  <si>
    <t>Leonardo, Diego Antonio/0000-0003-4264-3074; Ramirez, Cesar/0000-0003-4647-903X; Blazquez-Sanchez, Paula/0000-0003-3232-909X; Sonnendecker, Christian/0000-0001-7904-7343; Alves Furtado, Adriano/0009-0009-7565-3413; Vargas Santillan, Jhon Antoni/0000-0002-4946-1807; Sculaccio, Susana Andrea/0009-0008-1495-4813</t>
  </si>
  <si>
    <t>National Agency for Research and Development (ANID); Sao Paulo Research Foundation (FAPESP) PCI ANID-FAPESP [2019/13259-9]; ANID Millennium Science Initiative Program [ICN17_022, ICN2021_044]; Instituto Antartico Chileno (INACH) [DG_11_18, RT_04_19]; ANID doctoral scholarships [21220450, 21191979]; CAPES Masters' scholarship [88887.635854/2021-00]; Supercomputing infrastructure of the NLHPC [ECM-02]</t>
  </si>
  <si>
    <t>National Agency for Research and Development (ANID); Sao Paulo Research Foundation (FAPESP) PCI ANID-FAPESP; ANID Millennium Science Initiative Program; Instituto Antartico Chileno (INACH); ANID doctoral scholarships; CAPES Masters' scholarship(Coordenacao de Aperfeicoamento de Pessoal de Nivel Superior (CAPES)); Supercomputing infrastructure of the NLHPC</t>
  </si>
  <si>
    <t>National Agency for Research and Development (ANID) and Sao Paulo Research Foundation (FAPESP) PCI ANID-FAPESP, Grant/Award Number:2019/13259-9; ANID Millennium Science Initiative Program, Grant/Award Numbers: ICN17_022, ICN2021_044;Instituto Antartico Chileno (INACH), Grant/Award Numbers: DG_11_18, RT_04_19; ANID doctoral scholarships, Grant/Award Numbers: 21220450, 21191979; CAPES Masters' scholarship, Grant/Award Number 88887.635854/2021-00; Supercomputing infrastructure of the NLHPC, Grant/Award Number: ECM-02</t>
  </si>
  <si>
    <t>0961-8368</t>
  </si>
  <si>
    <t>1469-896X</t>
  </si>
  <si>
    <t>PROTEIN SCI</t>
  </si>
  <si>
    <t>Protein Sci.</t>
  </si>
  <si>
    <t>e4757</t>
  </si>
  <si>
    <t>10.1002/pro.4757</t>
  </si>
  <si>
    <t>Q6EI9</t>
  </si>
  <si>
    <t>WOS:001058430700002</t>
  </si>
  <si>
    <t>Chen, XY; Li, SL; Zhang, C</t>
  </si>
  <si>
    <t>Chen, Xueyang; Li, Shuanglin; Zhang, Chao</t>
  </si>
  <si>
    <t>Distinct impacts of two kinds of El Nino on precipitation over the Antarctic Peninsula and West Antarctica in austral spring</t>
  </si>
  <si>
    <t>ATMOSPHERIC AND OCEANIC SCIENCE LETTERS</t>
  </si>
  <si>
    <t>Precipitation; Antarctic Peninsula; ENSO types; Tropical heating; Rossby wave train</t>
  </si>
  <si>
    <t>INDIAN-OCEAN DIPOLE</t>
  </si>
  <si>
    <t>Based on multiple reanalysis data, the authors investigated the distinct impacts of central Pacific (CP) and eastern Pacific (EP) El Nino events on precipitation over West Antarctica and the Antarctic Peninsula in austral spring (September-November). The results demonstrate that EP and CP events have similar impacts on precipitation over the Amundsen-Bellingshausen seas, but opposite impacts on that over the Weddell Sea, especially the Antarctic Peninsula. Mechanistically, the tropical heat sources associated with EP events drive two branches of Rossby wave trains, causing an anomalous anticyclone and cyclone over the Ross-Amundsen-Bellingshausen seas and the Weddell Sea, respectively. Anomalous southerly winds to the east (west) of the anomalous anticyclone (cyclone) advect colder and drier air into the Bellingshausen-Weddell seas and the Antarctic Peninsula, which jointly result in negative precipitation anomalies there. CP events, however, trigger only one weak and westward-shifted Rossby wave train, which induces an anomalous anticyclone and cyclone in the Ross-Amundsen seas and Bellingshausen- Weddell seas, respectively, both 20 degrees-30 degrees west of those generated by EP events. Consequently, anomalous northerly (southerly) winds to the east (west) of the anomalous cyclone cause an increase (a decrease) in precipitation over the Weddell Sea (Amundsen-Bellingshausen seas).</t>
  </si>
  <si>
    <t>[Chen, Xueyang; Li, Shuanglin; Zhang, Chao] China Univ Geosci, Sch Environm Studies, Dept Atmospher Sci, Wuhan, Peoples R China; [Li, Shuanglin] Chinese Acad Sci, Inst Atmospher Phys, Climate Change Res Ctr, Beijing, Peoples R China; [Li, Shuanglin] Univ Chinese Acad Sci, Coll Earth &amp; Planetary Sci, Beijing, Peoples R China</t>
  </si>
  <si>
    <t>China University of Geosciences; Chinese Academy of Sciences; Institute of Atmospheric Physics, CAS; Chinese Academy of Sciences; University of Chinese Academy of Sciences, CAS</t>
  </si>
  <si>
    <t>Li, SL (corresponding author), China Univ Geosci, Sch Environm Studies, Dept Atmospher Sci, Wuhan, Peoples R China.;Li, SL (corresponding author), Chinese Acad Sci, Inst Atmospher Phys, Climate Change Res Ctr, Beijing, Peoples R China.;Li, SL (corresponding author), Univ Chinese Acad Sci, Coll Earth &amp; Planetary Sci, Beijing, Peoples R China.</t>
  </si>
  <si>
    <t>shuanglin.li@mail.iap.ac.cn</t>
  </si>
  <si>
    <t>Li, Shuanglin/D-5695-2013</t>
  </si>
  <si>
    <t>Zhang, Chao/0000-0003-1701-775X; Chen, Xueyang/0000-0002-9101-8219</t>
  </si>
  <si>
    <t>Strategic Project of the Chinese Academy of Sciences [XDA19070402]; National Natural Science Foundation of China [41790473]</t>
  </si>
  <si>
    <t>Strategic Project of the Chinese Academy of Sciences; National Natural Science Foundation of China(National Natural Science Foundation of China (NSFC))</t>
  </si>
  <si>
    <t>Funding This work was jointly supported by the Strategic Project of the Chinese Academy of Sciences [grant number XDA19070402] and the National Natural Science Foundation of China [grant number 41790473] .</t>
  </si>
  <si>
    <t>KEAI PUBLISHING LTD</t>
  </si>
  <si>
    <t>BEIJING</t>
  </si>
  <si>
    <t>16 DONGHUANGCHENGGEN NORTH ST, Building 5, Room 411, BEIJING, DONGCHENG DISTRICT 100009, PEOPLES R CHINA</t>
  </si>
  <si>
    <t>1674-2834</t>
  </si>
  <si>
    <t>2376-6123</t>
  </si>
  <si>
    <t>ATMOS OCEAN SCI LETT</t>
  </si>
  <si>
    <t>Atmos. Ocean. Sci. Lett.</t>
  </si>
  <si>
    <t>10.1016/j.aosl.2023.100387</t>
  </si>
  <si>
    <t>Emerging Sources Citation Index (ESCI)</t>
  </si>
  <si>
    <t>W1YA8</t>
  </si>
  <si>
    <t>WOS:001089646700001</t>
  </si>
  <si>
    <t>Smith, JE; Dietz, C; Keane, J; Mundy, C; Oellermann, M; Gardner, C</t>
  </si>
  <si>
    <t>Smith, Jennifer E.; Dietz, Christian; Keane, John; Mundy, Craig; Oellermann, Michael; Gardner, Caleb</t>
  </si>
  <si>
    <t>Trophic discrimination factors and stable isotope variability in a captive feeding trial of the southern rock lobster Jasus edwardsii (Hutton, 1875) (Decapoda: Palinuridae) in Tasmania, Australia</t>
  </si>
  <si>
    <t>JOURNAL OF CRUSTACEAN BIOLOGY</t>
  </si>
  <si>
    <t>Crustacea; southern rock lobster; spiny lobsters; stable isotope analysis; trophic discrimination factors (TDFs)</t>
  </si>
  <si>
    <t>DELTA-N-15; DELTA-C-13</t>
  </si>
  <si>
    <t>Trophic discrimination or fractionation factors (TDFs), such as Delta 15N and Delta 13C, are used in stable isotope mixing models to account for differences between source tissues (diet/prey) and consumer tissues (predator). We aimed firstly to obtain TDF values for a spiny lobster, the southern rock lobster Jasus edwardsii (Hutton, 1875), to better understand lobster diet in the wild and secondly to investigate variability in isotope signature within tissues of individuals and across a temporal scale to test if non-lethal sampling can be used in an ecological context. We conducted an 18-mo captive feeding trial with juvenile lobsters using three diet treatments and analysed dorsal and leg muscle, along with dorsal and leg exoskeleton for delta C-13 and delta N-15 values. Average TDFs for the three diet treatments were 3.86 +/- 0.98%o (Delta 13C) and 5.06 +/- 0.65%o (Delta 15N) for leg muscle, and 4.45 +/- 1.04%o (Delta 13C) and 4.36 +/- 0.6%o (Delta 15N) for dorsal muscle. When tested against wild lobsters and prey, these TDFs outperformed multi-taxa TDFs found in the literature. Isotope values from lobster leg muscle were not identical to associated dorsal muscle but the two were highly correlated, indicating that non-lethal sampling is acceptable. Values for exoskeleton isotope were significantly different from muscle, likely due to the exoskeleton not being in a constant state of growth and replacement, unlike the muscle tissue, which constantly incorporates new material. We conclude that our experimentally derived TDFs are suitable for mixing model analysis for J. edwardsii and when tested on a wild sample of lobsters they outperformed other TDFs reported in the literature. We show that non-lethal sampling using leg muscle is an appropriate sampling method, since this tissue is highly correlated to the commonly used dorsal muscle. This option for non-lethal sampling enhances the potential to widely sample wild populations or sample during industrial processing without the need to sacrifice whole animals.</t>
  </si>
  <si>
    <t>[Smith, Jennifer E.; Keane, John; Mundy, Craig; Oellermann, Michael; Gardner, Caleb] Univ Tasmania, Inst Marine &amp; Antarctic Studies, Hobart, Tas 7005, Australia; [Dietz, Christian] Univ Tasmania, Cent Sci Lab, Hobart, Tas 7005, Australia; [Oellermann, Michael] Univ Bremen, Ctr Marine Environm Sci MARUM, D-28359 Bremen, Germany; [Oellermann, Michael] Helmholtz Ctr Polar &amp; Marine Res, Alfred Wegener Inst, D-27570 Bremerhaven, Germany</t>
  </si>
  <si>
    <t>University of Tasmania; University of Tasmania; University of Bremen; Helmholtz Association; Alfred Wegener Institute, Helmholtz Centre for Polar &amp; Marine Research</t>
  </si>
  <si>
    <t>Smith, JE (corresponding author), Univ Tasmania, Inst Marine &amp; Antarctic Studies, Hobart, Tas 7005, Australia.</t>
  </si>
  <si>
    <t>je.smith@utas.edu.au</t>
  </si>
  <si>
    <t>Oellermann, Michael/G-7073-2011; Mundy, Craig/G-3390-2014</t>
  </si>
  <si>
    <t>Mundy, Craig/0000-0002-1945-3750; Smith, Jennifer/0000-0001-5051-3769; DIETZ, CHRISTIAN/0000-0002-6755-0491; Keane, John Patrick/0000-0001-8950-5176</t>
  </si>
  <si>
    <t>Fisheries Research and Development Corporation (FRDC project) [326692763]; German Research Foundation (DFG) fellowship</t>
  </si>
  <si>
    <t>Fisheries Research and Development Corporation (FRDC project); German Research Foundation (DFG) fellowship(German Research Foundation (DFG))</t>
  </si>
  <si>
    <t>We acknowledge the palawa, traditional custodians of lutruwita (Tasmania), in which this study took place. JS would like to thank Shenae Willis for laboratory assistance. Funding for stable-isotope analysis was provided by the Fisheries Research and Development Corporation (FRDC project 2021-020 Stable isotopes: a rapid method to determine lobster diet and trace lobster origin?) MO was supported by the German Research Foundation (DFG) fellowship 326692763 [https://gepris. dfg.de/gepris/projekt/326692763?language=en]. The authors would like to thank the Derwent Estuary Program for providing water quality data. The authors would also like to thank the anonymous reviewers. The contribution by the authors was as follows: conception: JS, JK; Data collection/analysis: JS; writing: JS, CD; review: JS, CD, JK, MO, CM, CG.</t>
  </si>
  <si>
    <t>OXFORD UNIV PRESS</t>
  </si>
  <si>
    <t>OXFORD</t>
  </si>
  <si>
    <t>GREAT CLARENDON ST, OXFORD OX2 6DP, ENGLAND</t>
  </si>
  <si>
    <t>0278-0372</t>
  </si>
  <si>
    <t>1937-240X</t>
  </si>
  <si>
    <t>J CRUSTACEAN BIOL</t>
  </si>
  <si>
    <t>J. Crustac. Biol.</t>
  </si>
  <si>
    <t>SEP 1</t>
  </si>
  <si>
    <t>ruad055</t>
  </si>
  <si>
    <t>10.1093/jcbiol/ruad055</t>
  </si>
  <si>
    <t>Marine &amp; Freshwater Biology; Zoology</t>
  </si>
  <si>
    <t>T1FO7</t>
  </si>
  <si>
    <t>hybrid</t>
  </si>
  <si>
    <t>WOS:001075516500001</t>
  </si>
  <si>
    <t>Cukier, S; Raczka, R; Kamaszewski, M</t>
  </si>
  <si>
    <t>Cukier, Stanislaw; Raczka, Rafal; Kamaszewski, Maciej</t>
  </si>
  <si>
    <t>Large branchiopods in extensive carp ponds - morphometric analysis of Triops cancriformis (Bosc, 1801) and Streptocephalus torvicornis (Waga, 1842)</t>
  </si>
  <si>
    <t>OCEANOLOGICAL AND HYDROBIOLOGICAL STUDIES</t>
  </si>
  <si>
    <t>large branchiopods; fairy shrimp; nature conservation; ephemeral ponds</t>
  </si>
  <si>
    <t>ANOSTRACA; CRUSTACEA; NOTOSTRACA; DISPERSAL; MORPHOLOGY; DIVERSITY; CONSERVATION; STURGEON; SHAPE</t>
  </si>
  <si>
    <t>Large branchiopods is a group of poorly understood crustaceans which is highly threatened by the impact of human activities. Currently, their protection is difficult due to large deficiencies in documentation of their places of occurrence and not well researched ecology. After rediscovery of Streptocephalus torvicornis in Poland by Cukier in 2019, we conducted a survey to identify the species found at the Laki Jaktorowskie Fisheries Research Station, Poland. This study consisted of observations and measurements of animals reared from cysts which had been obtained from soil samples taken at the nursery ponds in the study area. The following species were found: Limnadia lenticularis, Triops cancriformis, and S. torvicornis. We are presenting results of the morphometric measurements of T. cancriformis and the morphometric measurements of S. torvicornis from their only known population in Poland. Males were found in the T. cancriformis population, contrary to what has been documented previously. Large branchiopods have been repeatedly found in fishponds, and this work confirms the potentially high importance of ponds in the conservation of large branchiopods. With this study, we are drawing attention to the necessity of research about the distribution of large branchiopods in Poland.</t>
  </si>
  <si>
    <t>[Cukier, Stanislaw] Polish Acad Sci, Inst Biochem &amp; Biophys, Dept Antarctic Biol, Pawinskiego, Poland; [Raczka, Rafal] Envinit Rafal Raczka, Warsaw, Poland; [Kamaszewski, Maciej] Warsaw Univ Life Sci, Inst Anim Sci, Dept Ichthyol &amp; Biotechnol Aquaculture, Warsaw, Poland</t>
  </si>
  <si>
    <t>Polish Academy of Sciences; Institute of Biochemistry &amp; Biophysics - Polish Academy of Sciences; Warsaw University of Life Sciences</t>
  </si>
  <si>
    <t>Cukier, S (corresponding author), Polish Acad Sci, Inst Biochem &amp; Biophys, Dept Antarctic Biol, Pawinskiego, Poland.</t>
  </si>
  <si>
    <t>info@branchiopoda.org</t>
  </si>
  <si>
    <t>WALTER DE GRUYTER GMBH</t>
  </si>
  <si>
    <t>GENTHINER STRASSE 13, D-10785 BERLIN, GERMANY</t>
  </si>
  <si>
    <t>1730-413X</t>
  </si>
  <si>
    <t>1897-3191</t>
  </si>
  <si>
    <t>OCEANOL HYDROBIOL ST</t>
  </si>
  <si>
    <t>Oceanol. Hydrobiol. Stud.</t>
  </si>
  <si>
    <t>10.26881/oahs-2023.3.10</t>
  </si>
  <si>
    <t>Marine &amp; Freshwater Biology; Oceanography</t>
  </si>
  <si>
    <t>U2XS6</t>
  </si>
  <si>
    <t>WOS:001083488700010</t>
  </si>
  <si>
    <t>McClymont, EL; Ho, SL; Ford, HL; Bailey, I; Berke, MA; Bolton, CT; De Schepper, S; Grant, GR; Groeneveld, J; Inglis, GN; Karas, C; Patterson, MO; Swann, GEA; Thirumalai, K; White, SM; Alonso-Garcia, M; Anand, P; Hoogakker, BA; Littler, K; Petrick, BF; Risebrobakken, B; Abell, JT; Crocker, AJ; de Graaf, F; Feakins, SJ; Hargreaves, JC; Jones, CL; Markowska, M; Ratnayake, AS; Stepanek, C; Tangunan, D</t>
  </si>
  <si>
    <t>McClymont, E. L.; Ho, S. L.; Ford, H. L.; Bailey, I.; Berke, M. A.; Bolton, C. T.; De Schepper, S.; Grant, G. R.; Groeneveld, J.; Inglis, G. N.; Karas, C.; Patterson, M. O.; Swann, G. E. A.; Thirumalai, K.; White, S. M.; Alonso-Garcia, M.; Anand, P.; Hoogakker, B. A. A.; Littler, K.; Petrick, B. F.; Risebrobakken, B.; Abell, J. T.; Crocker, A. J.; de Graaf, F.; Feakins, S. J.; Hargreaves, J. C.; Jones, C. L.; Markowska, M.; Ratnayake, A. S.; Stepanek, C.; Tangunan, D.</t>
  </si>
  <si>
    <t>Climate Evolution Through the Onset and Intensification of Northern Hemisphere Glaciation</t>
  </si>
  <si>
    <t>REVIEWS OF GEOPHYSICS</t>
  </si>
  <si>
    <t>paleoclimate; paleoceanography; climate proxies; data synthesis</t>
  </si>
  <si>
    <t>SEA-SURFACE TEMPERATURES; ANTARCTIC ICE-SHEET; MERIDIONAL OVERTURNING CIRCULATION; LATE PLIOCENE INTENSIFICATION; EASTERN TROPICAL PACIFIC; SOUTH CHINA SEA; PLANKTONIC-FORAMINIFERA; MIDPLEISTOCENE TRANSITION; GREENLAND GLACIATION; NORTHWEST PACIFIC</t>
  </si>
  <si>
    <t>The Pliocene Epoch (&amp; SIM;5.3-2.6 million years ago, Ma) was characterized by a warmer than present climate with smaller Northern Hemisphere ice sheets, and offers an example of a climate system in long-term equilibrium with current or predicted near-future atmospheric CO2 concentrations (pCO(2)). A long-term trend of ice-sheet expansion led to more pronounced glacial (cold) stages by the end of the Pliocene (&amp; SIM;2.6 Ma), known as the intensification of Northern Hemisphere Glaciation (iNHG). We assessed the spatial and temporal variability of ocean temperatures and ice-volume indicators through the late Pliocene and early Pleistocene (from 3.3 to 2.4 Ma) to determine the character of this climate transition. We identified asynchronous shifts in long-term means and the pacing and amplitude of shorter-term climate variability, between regions and between climate proxies. Early changes in Antarctic glaciation and Southern Hemisphere ocean properties occurred even during the mid-Piacenzian warm period (&amp; SIM;3.264-3.025 Ma) which has been used as an analog for future warming. Increased climate variability subsequently developed alongside signatures of larger Northern Hemisphere ice sheets (iNHG). Yet, some regions of the ocean felt no impact of iNHG, particularly in lower latitudes. Our analysis has demonstrated the complex, non-uniform and globally asynchronous nature of climate changes associated with the iNHG. Shifting ocean gateways and ocean circulation changes may have pre-conditioned the later evolution of ice sheets with falling atmospheric pCO(2). Further development of high-resolution, multi-proxy reconstructions of climate is required so that the full potential of the rich and detailed geological records can be realized.</t>
  </si>
  <si>
    <t>[McClymont, E. L.] Univ Durham, Dept Geog, Durham, England; [Ho, S. L.; De Schepper, S.] Natl Taiwan Univ, Inst Oceanog, Taipei, Taiwan; [Ford, H. L.; de Graaf, F.] Queen Mary Univ London, Sch Geog, London, England; [Bailey, I.] Univ Exeter, Camborne Sch Mines, Penryn, England; [Berke, M. A.] Univ Notre Dame, Dept Civil &amp; Environm Engn &amp; Earth Sci, Notre Dame, IN USA; [Bolton, C. T.] Aix Marseille Univ, CNRS, INRAE, IRD,CEREGE,IRD, Aix En Provence, France; [De Schepper, S.; Risebrobakken, B.] Bjerknes Ctr Climate Res, NORCE Climate &amp; Environm, NORCE Norwegian Res Ctr, Bergen, Norway; [Grant, G. R.] GNS Sci, Dept Surface Geosci, Lower Hutt, New Zealand; [Groeneveld, J.] Hamburg Univ, Dept Geol, Hamburg, Germany; [Inglis, G. N.; Crocker, A. J.; Jones, C. L.] Univ Southampton, Sch Ocean &amp; Earth Sci, Natl Oceanog Ctr Southampton, Southampton, England; [Karas, C.] Univ Santiago Chile, Santiago, Chile; [Patterson, M. O.] Binghamton Univ, Dept Geol Sci &amp; Environm Studies, Binghamton, NY USA; [Swann, G. E. A.] Univ Nottingham, Sch Geog, Nottingham, England; [Thirumalai, K.; Abell, J. T.] Univ Arizona, Dept Geosci, Tucson, AZ USA; [White, S. M.] Univ Calif Santa Cruz, Dept Earth &amp; Planetary Sci, Santa Cruz, CA USA; [Alonso-Garcia, M.] Univ Salamanca, Dept Geol, Salamanca, Spain; [Anand, P.] Open Univ, Sch Environm Earth &amp; Ecosyst Sci, Milton Keynes, England; [Hoogakker, B. A. A.] Heriot Watt Univ, Lyell Ctr, Edinburgh, Scotland; [Littler, K.] Univ Exeter, Dept Earth &amp; Environm Sci, Penryn, England; [Littler, K.] Univ Exeter, Environm &amp; Sustainabil Inst, Penryn, England; [Petrick, B. F.] Univ Kiel, Inst Geosci, Kiel, Germany; [Risebrobakken, B.] Univ Southern Calif, Dept Earth Sci, Los Angeles, CA USA; [Hargreaves, J. C.] Blue Skies Res Ltd, Settle, England; [Markowska, M.] Max Planck Inst Chem, Climate Geochem, Mainz, Germany; [Ratnayake, A. S.] Uva Wellassa Univ, Dept Appl Earth Sci, Badulla, Sri Lanka; [Stepanek, C.] Helmholtz Ctr Polar &amp; Marine Res, Dept Paleoclimate Dynam, Alfred Wegener Inst, Bremerhaven, Germany; Cardiff Univ, Sch Earth &amp; Environm Sci, Cardiff, Wales</t>
  </si>
  <si>
    <t>Durham University; National Taiwan University; University of London; Queen Mary University London; University of Exeter; University of Notre Dame; INRAE; Aix-Marseille Universite; Centre National de la Recherche Scientifique (CNRS); Institut de Recherche pour le Developpement (IRD); Bjerknes Centre for Climate Research; Norwegian Research Centre (NORCE); GNS Science - New Zealand; University of Hamburg; University of Southampton; NERC National Oceanography Centre; Universidad de Santiago de Chile; State University of New York (SUNY) System; State University of New York (SUNY) Binghamton; University of Nottingham; University of Arizona; University of California System; University of California Santa Cruz; University of Salamanca; Open University - UK; Heriot Watt University; University of Exeter; University of Exeter; University of Kiel; University of Southern California; Max Planck Society; Uva Wellassa University; Helmholtz Association; Alfred Wegener Institute, Helmholtz Centre for Polar &amp; Marine Research; Cardiff University</t>
  </si>
  <si>
    <t>McClymont, EL (corresponding author), Univ Durham, Dept Geog, Durham, England.;Ho, SL (corresponding author), Natl Taiwan Univ, Inst Oceanog, Taipei, Taiwan.</t>
  </si>
  <si>
    <t>erin.mcclymont@durham.ac.uk; slingho@ntu.edu.tw</t>
  </si>
  <si>
    <t>Ratnayake, Amila Sandaruwan/ABD-8541-2021; IPO, PAGES/JXY-7546-2024; Petrick, Benjamin F/JWP-5723-2024; Feakins, Sarah/K-4149-2012; McClymont, Erin/AAX-3657-2020; Alonso-Garcia, Montserrat/AAB-5338-2021; Thirumalai, Kaustubh/N-2511-2014</t>
  </si>
  <si>
    <t>Ratnayake, Amila Sandaruwan/0000-0001-7871-2401; Petrick, Benjamin F/0000-0002-4211-0625; Feakins, Sarah/0000-0003-3434-2423; McClymont, Erin/0000-0003-1562-8768; Alonso-Garcia, Montserrat/0000-0002-0241-2178; Grant, Georgia Rose/0000-0002-2615-9322; Hoogakker, Babette/0000-0002-8171-9679; Patterso, Molly/0000-0002-5058-9269; Bolton, Clara/0000-0002-3078-1253; Abell, Jordan/0000-0002-2458-8844; Karas, Cyrus/0000-0002-7436-5016; Ho, Sze Ling/0000-0002-4898-9036; Thirumalai, Kaustubh/0000-0002-7875-4182; de Graaf, Friso/0000-0002-4712-9309; Inglis, Gordon/0000-0002-0032-4668; Groeneveld, Jeroen/0000-0002-8382-8019</t>
  </si>
  <si>
    <t>UK Natural Environment Research Council [NE/N015045/1]; Past Global Changes (PAGES); UK Natural Environment Research Council; Leverhulme Trust (Philip Leverhulme Prize); Ministry of Science and Technology in Taiwan; MICIN [NE/N015045/1]; Royal Society Dorothy Hodgkin Fellowship; Research Council of Norway [110-2611-M-002-028-, 111-2611-M-002-027-]; German Research Foundation [PID2021-128322NB-I00]; Agencia Nacional de Investigacion y Desarrollo, Anillo [DHF\R1\191178]; Universidad de Santiago de Chile [221712]; UKRI Future Leaderships Fellowship [DePacGR 3528/8-1]; USA National Science Foundation [ACT210046]; Agence Nationale de la Recherche in France [DICYT 092112KSSA]; IODP in the UK and France [MR/S034293/1]; [2126500]; [ANR-16-CE01-0004]</t>
  </si>
  <si>
    <t>UK Natural Environment Research Council(UK Research &amp; Innovation (UKRI)Natural Environment Research Council (NERC)); Past Global Changes (PAGES); UK Natural Environment Research Council(UK Research &amp; Innovation (UKRI)Natural Environment Research Council (NERC)); Leverhulme Trust (Philip Leverhulme Prize)(Leverhulme Trust); Ministry of Science and Technology in Taiwan(Ministry of Science and Technology, Taiwan); MICIN; Royal Society Dorothy Hodgkin Fellowship(Royal Society); Research Council of Norway(Research Council of Norway); German Research Foundation(German Research Foundation (DFG)); Agencia Nacional de Investigacion y Desarrollo, Anillo; Universidad de Santiago de Chile; UKRI Future Leaderships Fellowship; USA National Science Foundation(National Science Foundation (NSF)); Agence Nationale de la Recherche in France(Agence Nationale de la Recherche (ANR)); IODP in the UK and France; ;</t>
  </si>
  <si>
    <t>We thank the Past Global Changes (PAGES) programme for their financial and logistical support of the working group on Pliocene Climate Variability over glacial-interglacial timescales (PlioVAR), and we thank all workshop participants and members of the PlioVAR steering committee for their discussions. Funding support has also been provided by the UK Natural Environment Research Council (PA, HLF [NE/N015045/1]), the Leverhulme Trust (Philip Leverhulme Prize, ELM), the Ministry of Science and Technology in Taiwan (SLH, Grants 110-2611-M-002-028-, 111-2611-M-002-027-), MICIN (MAG, the Grant PICTURE, PID2021-128322NB-I00), a Royal Society Dorothy Hodgkin Fellowship (GNI, DHF\R1\191178), the Research Council of Norway (BR, Grant 221712), the German Research Foundation (JG, project DePac-GR 3528/8-1), the Agencia Nacional de Investigacion y Desarrollo, Anillo (CK, Grant ACT210046), the Universidad de Santiago de Chile (CK, Grant DICYT 092112KSSA), a UKRI Future Leaderships Fellowship (BH, MR/S034293/1), the USA National Science Foundation (JA, Grant NSF-OCE-PRF #2126500) and the Agence Nationale de la Recherche in France (CTB, ANR-16-CE01-0004) and the IODP in the UK (PA) and France (CTB). This research used samples and/or data provided by the International Ocean Discovery Program (IODP), Ocean Drilling Program (ODP), and Deep Sea Drilling Project (DSDP). We also acknowledge PANGAEA and the NOAA Paleoclimatology databases for free access to published data. The work presented here resulted from the efforts of the late Antoni Rosell-Mele to generate a community effort to facilitate a better understanding of Pliocene and Pleistocene climate evolution: we thank him for all of his work and enthusiasm getting PlioVAR up and running, and for contributing to our discussions and assessments over the years that followed.</t>
  </si>
  <si>
    <t>AMER GEOPHYSICAL UNION</t>
  </si>
  <si>
    <t>WASHINGTON</t>
  </si>
  <si>
    <t>2000 FLORIDA AVE NW, WASHINGTON, DC 20009 USA</t>
  </si>
  <si>
    <t>8755-1209</t>
  </si>
  <si>
    <t>1944-9208</t>
  </si>
  <si>
    <t>REV GEOPHYS</t>
  </si>
  <si>
    <t>Rev. Geophys.</t>
  </si>
  <si>
    <t>e2022RG000793</t>
  </si>
  <si>
    <t>10.1029/2022RG000793</t>
  </si>
  <si>
    <t>Geochemistry &amp; Geophysics</t>
  </si>
  <si>
    <t>L8UP6</t>
  </si>
  <si>
    <t>Green Accepted, Green Published, hybrid</t>
  </si>
  <si>
    <t>WOS:001025964000001</t>
  </si>
  <si>
    <t>Glotov, SV</t>
  </si>
  <si>
    <t>Glotov, Sergiy V.</t>
  </si>
  <si>
    <t>Review of the Rove Beetles of the Tribe Lomechusini (Coleoptera: Staphylinidae: Aleocharinae) of Ukraine</t>
  </si>
  <si>
    <t>ACTA ZOOLOGICA BULGARICA</t>
  </si>
  <si>
    <t>rove beetles; subfamily Aleocharinae; tribe Lomechusini; fauna; Ukraine</t>
  </si>
  <si>
    <t>An overview of the tribe Lomechusini (Coleoptera: Staphylinidae) from Ukraine is presented. It summarises all published data and new information on the group. Totally, six genera with 18 species are presented. The genera are: Lomechusa with three species (L. emarginata, L. paradoxa and L. pubicollis), Lomechusoides with one species (L. strumosus strumosus), Drusilla with one species (D. canaliculata), Myrmoecia with one species (M. plicata), Pella with nine species (P. cognata, P. funesta, P. hampei, P. humeralis, P. laticollis, P. limbata, P. lugens, P. ruficollis and P. similis) and Zyras with three species (Z. collaris, Z. fulgidus and Z. haworthi). The information on the distribution of the species recorded from the territory of Ukraine is clarified and supplemented.</t>
  </si>
  <si>
    <t>[Glotov, Sergiy V.] Natl Acad Sci Ukraine, State Museum Nat Hist, 18 Teatralna St, UA-79008 Lvov, Ukraine; [Glotov, Sergiy V.] Minist Educ &amp; Sci Ukraine, State Inst Natl Antarctic Sci Ctr, 16 Taras Shevchenko Blvd, UA-01601 Kiev, Ukraine</t>
  </si>
  <si>
    <t>National Academy of Sciences Ukraine; State Museum of Natural History of the National Academy of Sciences Ukraine; Ministry of Education &amp; Science of Ukraine; State Institution National Antarctic Scientific Center</t>
  </si>
  <si>
    <t>Glotov, SV (corresponding author), Natl Acad Sci Ukraine, State Museum Nat Hist, 18 Teatralna St, UA-79008 Lvov, Ukraine.;Glotov, SV (corresponding author), Minist Educ &amp; Sci Ukraine, State Inst Natl Antarctic Sci Ctr, 16 Taras Shevchenko Blvd, UA-01601 Kiev, Ukraine.</t>
  </si>
  <si>
    <t>sergijglotov@gmail.com</t>
  </si>
  <si>
    <t>National Academy of Sciences of Ukraine [0120U101162]</t>
  </si>
  <si>
    <t>National Academy of Sciences of Ukraine</t>
  </si>
  <si>
    <t>Acknowledgments: I thank M. M. Bilyashivskiy, V. O. Chumak t, L. I. Faly, V. P. Foroshchuk, Yu. V. Geryak, A. Yu. Glotova, G. G. Hushtan, K. V. Hushtan, S. V. Konovalov t, V. O. Korneyev, N. P. Koval, V. V. Martynov, V. B. Rizun, K. Yu. Savchenko, I. H. Severov t, P. N. Sheshurak, A. Yu. Solodovnikov and P. L. Voitko for the opportunity to work with the collections they curate and for their valuable remarks on this manuscript. I am grateful to my colleague Volker Assing (t) for correcting the text of the manuscript and to two anonymous reviewers for their suggestions. This work was supported by the National Academy of Sciences of Ukraine (grant 0120U101162) within the frame-work of the scientific topic Estimation of the biotic diversity of model groups of Arthropoda of the Ukrainian Carpathians with the use of modern information technology.</t>
  </si>
  <si>
    <t>INST ZOOLOGY, BAS</t>
  </si>
  <si>
    <t>SOFIA</t>
  </si>
  <si>
    <t>1000 SOFIA, 1, TSAR OSVOBODITEL BLVD, SOFIA, 00000, BULGARIA</t>
  </si>
  <si>
    <t>0324-0770</t>
  </si>
  <si>
    <t>ACTA ZOOL BULGAR</t>
  </si>
  <si>
    <t>Acta Zool. Bulg.</t>
  </si>
  <si>
    <t>Zoology</t>
  </si>
  <si>
    <t>T9AY8</t>
  </si>
  <si>
    <t>WOS:001080850500001</t>
  </si>
  <si>
    <t>Pandourski, I; Evtimova, V; Kenderov, L; de los Rios-escalante, P</t>
  </si>
  <si>
    <t>Pandourski, Ivan; Evtimova, Vesela; Kenderov, Lyubomir; de Los Rios-Escalante, Patricio</t>
  </si>
  <si>
    <t>Distribution of Boeckella poppei (Mrazek, 1901) (Copepoda: Calanoida) on the Livingston Island, Maritime Antarctic</t>
  </si>
  <si>
    <t>Boeckella; new localities; Antarctic freshwaters; climate change</t>
  </si>
  <si>
    <t>The available data on the localities (including new localities) of the calanoid copepod Boeckella poppei on the Livingston Island, Maritime Antarctic, are summarised. The results suggest a substantial expansion in the distribution of the species, likely owing to recent climate change and the resulting freeing from permanent ice or snow of additional territories during the austral summer.</t>
  </si>
  <si>
    <t>[Pandourski, Ivan; Evtimova, Vesela] Bulgarian Acad Sci, Inst Biodivers &amp; Ecosyst Res, 1 Tsar Osvoboditel Blvd, Sofia 1000, Bulgaria; [Kenderov, Lyubomir] Sofia Univ St Kliment Ohridski, Fac Biol, 8 Dragan Tsankov Blvd, Sofia 1164, Bulgaria; [de Los Rios-Escalante, Patricio] Univ Catolica Temuco, Fac Recursos Nat, Dept Ciencias Biol &amp; Quim, Casilla 15-D, Temuco, Chile</t>
  </si>
  <si>
    <t>Bulgarian Academy of Sciences; University of Sofia; Universidad Catolica de Temuco</t>
  </si>
  <si>
    <t>Pandourski, I (corresponding author), Bulgarian Acad Sci, Inst Biodivers &amp; Ecosyst Res, 1 Tsar Osvoboditel Blvd, Sofia 1000, Bulgaria.</t>
  </si>
  <si>
    <t>prios@uct.cl</t>
  </si>
  <si>
    <t>Evtimova, Vesela/B-2431-2017</t>
  </si>
  <si>
    <t>Evtimova, Vesela/0000-0002-6358-8011</t>
  </si>
  <si>
    <t>National Centre of Polar Research [70.25-178/22.11.2019]</t>
  </si>
  <si>
    <t>National Centre of Polar Research</t>
  </si>
  <si>
    <t>projects #70.25-178/22.11.2019 and 70.25-177/22.11.2019. We are grateful to the National Centre of Polar Research, Bulgarian Antarctic Institute, the staff of the Bulgarian Antarctic Expedi-tion for their help and to Prof. C. Pimpirev and D. Mateev for their support.</t>
  </si>
  <si>
    <t>WOS:001080850500016</t>
  </si>
  <si>
    <t>Hastings, KK; Jemison, LA; Pendleton, GW; Johnson, DS; Gelatt, TS</t>
  </si>
  <si>
    <t>Hastings, Kelly K.; Jemison, Lauri A.; Pendleton, Grey W.; Johnson, Devin S.; Gelatt, Thomas S.</t>
  </si>
  <si>
    <t>Age-specific reproduction in female Steller sea lions in Southeast Alaska</t>
  </si>
  <si>
    <t>ECOLOGY AND EVOLUTION</t>
  </si>
  <si>
    <t>life history; marine heatwave; marine mammal; natality; otariid; pinniped; population dynamics; population models; reproduction; reproductive rate</t>
  </si>
  <si>
    <t>ANTARCTIC FUR SEALS; POPULATION-DYNAMICS; TEMPORAL VARIATION; BODY-SIZE; SURVIVAL; GROWTH; RECAPTURE; RATES; PARTURITION; FITNESS</t>
  </si>
  <si>
    <t>Age-, region-, and year-specific estimates of reproduction are needed for monitoring wildlife populations during periods of ecosystem change. Population dynamics of Steller sea lions (Eumetopias jubatus) in Southeast Alaska varied regionally (with high population growth and survival in the north vs. the south) and annually (with reduced adult female survival observed following a severe marine heatwave event), but reproductive performance is currently unknown. We used mark-resighting data from 1006 Steller sea lion females marked as pups at similar to 3 weeks of age from 1994 to 1995 and from 2001 to 2005 and resighted from 2002 to 2019 (to a maximum age of 25) to examine age-, region-, and year-specific reproduction. In the north versus the south, age of first reproduction was earlier (beginning at age 4 vs. age 5, respectively) but annual birth probabilities of parous females were reduced by 0.05. In an average year pre-heatwave, the proportion of females with pup at the end of the pupping season peaked at ages 12-13 with similar to 0.60/0.65 (north/south) with pup, similar to 0.30/0.25 with juvenile, and similar to 0.10 (both regions) without a dependent. In both regions, reproductive senescence was gradual after age 12: similar to 0.40, 0.40, and 0.20 of females were in these reproductive states, respectively, by age 20. Correcting for neonatal mortality, true birth probabilities at peak ages were 0.66/0.72 (north/south). No cost of reproduction on female survival was detected, but pup production remained lower (-0.06) after the heatwave event, which if sustained could result in population decline in the south. Reduced pup production and greater retention of juveniles during periods of poor prey conditions may be an important strategy for Steller sea lions in Southeast Alaska, where fine-tuning reproduction based on nutritional status may improve the lifetime probability of producing pups under good conditions in a variable and less productive environment.</t>
  </si>
  <si>
    <t>[Hastings, Kelly K.; Jemison, Lauri A.; Pendleton, Grey W.] Alaska Dept Fish &amp; Game, Juneau, AK 99802 USA; [Johnson, Devin S.] Pacific Isl Fisheries Sci Ctr, Natl Marine Fisheries Serv, Protected Resources Div, Honolulu, HI USA; [Gelatt, Thomas S.] Alaska Fisheries Sci Ctr, Natl Marine Fisheries Serv, Marine Mammal Lab, Seattle, WA USA</t>
  </si>
  <si>
    <t>Alaska Department of Fish &amp; Game; National Aeronautics &amp; Space Administration (NASA); National Oceanic Atmospheric Admin (NOAA) - USA; National Oceanic Atmospheric Admin (NOAA) - USA</t>
  </si>
  <si>
    <t>Hastings, KK (corresponding author), Alaska Dept Fish &amp; Game, Juneau, AK 99802 USA.</t>
  </si>
  <si>
    <t>kelly.hastings@alaska.gov</t>
  </si>
  <si>
    <t>We especially thank Jeff Laake for statistical guidance during the initial phase of this study, and Ken Pitcher for initiating and expanding reproductive surveys in Alaska. This work was made possible by the many individuals who marked and resighted Stelle [358-1564, 358-1888, 14325, 18537, 22298]; Marine Mammal Laboratory; US National Park Service; Department of Fisheries and Oceans Canada [NA17FX1079, NA04NMF4390170, NA08NMF4390544, NA11NMF4390200, NA15NMF4390170, NA16NMF4390029, NA19NMF4390084, NA21NMF4720035]; NMFS, Alaska Region; State of Alaska</t>
  </si>
  <si>
    <t>We especially thank Jeff Laake for statistical guidance during the initial phase of this study, and Ken Pitcher for initiating and expanding reproductive surveys in Alaska. This work was made possible by the many individuals who marked and resighted Stelle; Marine Mammal Laboratory; US National Park Service; Department of Fisheries and Oceans Canada; NMFS, Alaska Region; State of Alaska</t>
  </si>
  <si>
    <t>We especially thank Jeff Laake for statistical guidance during the initial phase of this study, and Ken Pitcher for initiating and expanding reproductive surveys in Alaska. This work was made possible by the many individuals who marked and resighted Steller sea lions in Alaska over several decades, especially T. Gage, S. Goodglick, J. Jenniges, C. Kaplan, J. King, S. Lewis, D. McCallister, K. Raum-Suryan, L. Rea, M. Rehberg, G. Snedgen, B. Van Burgh, J. Westlund, and dedicated Lowrie Island field crews. We are grateful for resighting data provided by the members of the public and collaborating agencies, including Glacier Bay National Park, Alaska SeaLife Center, and the Marine Mammal Laboratory. We are grateful to anonymous reviewers for suggestions which improved this manuscript. This research was conducted under permits issued by the NMFS to the ADFG (US Marine Mammal Permits 358-1564, 358-1888, 14325, 18537, and 22298), with additional permits granted by the US National Park Service, the US Fish and Wildlife Service-Alaska Maritime National Wildlife Refuge, and the Department of Fisheries and Oceans Canada. Funding was provided by the NMFS, Alaska Region, through awards: NA17FX1079, NA04NMF4390170, NA08NMF4390544, NA11NMF4390200, NA15NMF4390170, NA16NMF4390029, NA19NMF4390084, and NA21NMF4720035 to the ADFG. Funding was also provided by the State of Alaska. The findings and conclusions in this paper are those of the author(s) and do not necessarily represent the views of the NMFS.</t>
  </si>
  <si>
    <t>2045-7758</t>
  </si>
  <si>
    <t>ECOL EVOL</t>
  </si>
  <si>
    <t>Ecol. Evol.</t>
  </si>
  <si>
    <t>e10515</t>
  </si>
  <si>
    <t>10.1002/ece3.10515</t>
  </si>
  <si>
    <t>Ecology; Evolutionary Biology</t>
  </si>
  <si>
    <t>Environmental Sciences &amp; Ecology; Evolutionary Biology</t>
  </si>
  <si>
    <t>S9SO0</t>
  </si>
  <si>
    <t>WOS:001074493300001</t>
  </si>
  <si>
    <t>Pan, YW; Chen, FN; Luo, DG; Sun, L; Wang, Y; Ji, F; Chen, JJ; Hong, J</t>
  </si>
  <si>
    <t>Pan Yuwei; Chen Feinan; Luo Donggen; Sun Liang; Wang Yi; Ji Feng; Chen Jingjing; Hong Jin</t>
  </si>
  <si>
    <t>Research on On-Orbit Radiometric Calibration Method for Remote Sensors with Large Fields of View Based on Snow and Ice Scenes</t>
  </si>
  <si>
    <t>ACTA OPTICA SINICA</t>
  </si>
  <si>
    <t>Chinese</t>
  </si>
  <si>
    <t>on-orbit radiation calibration; snow and ice scenes; radiative transfer; surface bidirectional reflectance distribution function model</t>
  </si>
  <si>
    <t>RADIATIVE-TRANSFER CODE; ATMOSPHERIC CORRECTION; SPACE MEASUREMENTS; VECTOR VERSION; SATELLITE DATA; 6S; VALIDATION</t>
  </si>
  <si>
    <t>Objective Radiation calibration is a necessary prerequisite for the quantification of remote sensing data from laboratory calibration before launch to on-orbit calibration after launch throughout the entire life cycle of remote sensors. Site calibration is a common method for on-orbit alternative calibration of remote sensors with large fields of view. When a remote sensor is operating normally, it is calibrated with a large area of uniform ground objects as the calibration source, which has the advantages of a high calibration frequency and no need for synchronous measurement. The Greenland ice sheet (- 75 degrees S, 123 degrees E) and the Antarctic ice sheet (73. 375 degrees N, -40 degrees W) are commonly used as targets for snow and ice scenes, whose surfaces are covered with evenly distributed snow. Due to their high altitudes (usually greater than 2 km), they are less affected by the atmosphere and help obtain calibration samples with better data quality. Furthermore, ice and snow have a relatively flat spectrum in the visible range, which makes band transfer easier with other calibration methods. Thus, using the Greenland ice sheet and the Antarctic ice sheet as the calibration source of snow and ice scenes has many advantages for the calibration and verification of remote sensors. Methods The research method in this paper is based on the previous study of polar scene calibration methods. First, we choose Greenland as the calibration target of snow and ice scenes and select the calibration sample in the directional polarimetric camera (DPC) level 1 data. The area interfered with by cloud pixels is then eliminated after spectral channel traversal and angle traversal through the calibration sample's rows and columns. After substituting the surface bidirectional reflectance distribution function (BRDF) and atmospheric parameters ( aerosol, water vapor, ozone, and other profiles) of the snow and ice scene into the radiative transfer model to obtain the zenith reflectivity and radiance, we test the on-orbit radiation response changes of the payload of the DPC on Gaofen-5 satellite. In addition, the obtained conclusions are in good agreement with the calibration results of the desert and ocean scenes, and the dispersion of the calibration results is smaller. Results and Discussions We compare the measured results of the DPC with the calibration results and obtain the following findings. 1) When the view zenith angle is less than 50 degrees, the measured reflectance values of each band of the DPC have good consistency with the calibrated reflectance values. The standard deviations of their ratios are within 3%, and the root-mean-square errors were both lower than 2% (Fig. 4 and Table 3). 2) When the view zenith angle is less than 30 degrees, the measured top-of-atmosphere (TOA) radiance values in each band of the DPC are compared with the calibrated TOA radiance values. The results show that the DPC data in the visible light band are relatively stable and have low uncertainty (Fig. 5 and Table 4). 3) The influence of the atmosphere (aerosol, water vapor, and ozone) and the surface BRDF on TOA reflectivity is analyzed. The uncertainty of the BRDF model of the snow and ice scene is 2%. Finally, we synthesize the uncertainty of each factor, and the synthetic uncertainty of each band is 2% ( Table 5). 4) The research on the size of ice and snow shows that the average relative error of fine snow in each band is within 4%, and the relative error standard deviation of bands from 443 nm to 765 nm is within 2%, so the data of fine snow in each band is relatively stable (Fig. 9 and Table 6). 5) The results obtained in this paper are compared with the calibration results of the desert scene and the ocean scene. The comparison results show that the calibration coefficient of the Greenland snow and ice scene deviates from the average value of the calibration coefficients of the ocean scene and the desert scene within 5%, and the standard deviation of the Greenland polar scene is within 2% (Table 7 and Table 8). Conclusions Inspired by the idea of on-orbit alternative calibration, we propose an on-orbit radiometric calibration method based on the glacier scenes in the North and South Poles. We choose Greenland for research and analysis and conduct radiometric calibration of the remote sensor DPC with a large field of view. The measurement results of the DPC are compared with the calibration results. The comparison results show that the measured value and the calibrated value in each band of DPC are in good agreement. The standard deviation of the ratio of the measured value to the calibrated value is within 3%, and the root-mean-square error is lower than 2%, which proves that DPC has a good performance in snow and ice scenes. Moreover, through the error analysis of the atmosphere and the surface, it is shown that the BRDF on the surface has the greatest influence, and the final synthetic uncertainty in the visible light band is 2%. Finally, the comparison of the calibration results of this paper with the calibration results of the desert scene and the ocean scene also proves the stability of the calibration results of the Greenland snow and ice scene and the validity and reliability of the calibration method. The method described in this paper can provide long-term monitoring and calibration of the detection data while the payload is on orbit and contribute to the quality improvement of products for operational application.</t>
  </si>
  <si>
    <t>[Pan Yuwei; Chen Feinan; Luo Donggen; Sun Liang; Wang Yi; Hong Jin] Chinese Acad Sci, Hefei Inst Phys Sci, Anhui Inst Opt &amp; Fine Mech, Hefei 230031, Anhui, Peoples R China; [Pan Yuwei; Ji Feng; Chen Jingjing] Hefei Univ Technol, Sch Instrument Sci &amp; Opto Elect Engn, Hefei 230009, Anhui, Peoples R China</t>
  </si>
  <si>
    <t>Chinese Academy of Sciences; Hefei Institutes of Physical Science, CAS; Anhui Institute of Optics &amp; Fine Mechanics (AIOFM), CAS; Hefei University of Technology</t>
  </si>
  <si>
    <t>Luo, DG (corresponding author), Chinese Acad Sci, Hefei Inst Phys Sci, Anhui Inst Opt &amp; Fine Mech, Hefei 230031, Anhui, Peoples R China.</t>
  </si>
  <si>
    <t>dgluo@aiofm.ac.cn</t>
  </si>
  <si>
    <t>chen, jingjing/A-7204-2019; Pan, Yvette/ITU-1421-2023</t>
  </si>
  <si>
    <t>CHINESE LASER PRESS</t>
  </si>
  <si>
    <t>SHANGHAI</t>
  </si>
  <si>
    <t>PO BOX 800-211, SHANGHAI, 201800, PEOPLES R CHINA</t>
  </si>
  <si>
    <t>0253-2239</t>
  </si>
  <si>
    <t>ACTA OPT SIN</t>
  </si>
  <si>
    <t>Acta Opt. Sin.</t>
  </si>
  <si>
    <t>10.3788/AOS222106</t>
  </si>
  <si>
    <t>Optics</t>
  </si>
  <si>
    <t>R4CN5</t>
  </si>
  <si>
    <t>WOS:001063844200011</t>
  </si>
  <si>
    <t>Feng, ZQ; Wang, YY; Ma, LB; Huang, SZ; Wang, LM; He, JG; Guo, CJ</t>
  </si>
  <si>
    <t>Feng, Zhengqi; Wang, Yuanyuan; Ma, Lingbo; Huang, Shanzi; Wang, Lumin; He, Jianguo; Guo, Changjun</t>
  </si>
  <si>
    <t>Genomic Characteristics and Functional Analysis of Brucella sp. Strain WY7 Isolated from Antarctic Krill</t>
  </si>
  <si>
    <t>MICROORGANISMS</t>
  </si>
  <si>
    <t>Antarctic krill; microorganism; extremophiles; Brucella; whole genome</t>
  </si>
  <si>
    <t>BACTERIAL COMMUNITIES; RAPID ANNOTATION; WEB SERVER; SP-NOV; IDENTIFICATION; SIDEROPHORES; ASSEMBLIES</t>
  </si>
  <si>
    <t>Antarctic krill (Euphausia superba) is a key species of the Antarctic ecosystem whose unique ecological status and great development potential have attracted extensive attention. However, the genomic characteristics and potential biological functions of the symbiotic microorganisms of Antarctic krill remain unknown. In this study, we cultured and identified a strain of Brucella sp. WY7 from Antarctic krill using whole-genome sequencing and assembly, functional annotation, and comparative genomics analysis. First, based on 16S rDNA sequence alignment and phylogenetic tree analysis, we identified strain WY7 as Brucella. The assembled genome of strain WY7 revealed that it has two chromosomes and a plasmid, with a total genome length of 4,698,850 bp and an average G + C content of 57.18%. The DNA-DNA hybridization value and average nucleotide identity value of strain WY7 and Brucella anthropi ATCC (R) 49188 (TM), a type strain isolated from human clinical specimens, were 94.8% and 99.07%, respectively, indicating that strain WY7 is closely related to Brucella anthropi. Genomic island prediction showed that the strain has 60 genomic islands, which may produce HigB and VapC toxins. AntiSMASH analysis results showed that strain WY7 might produce many secondary metabolites, such as terpenes, siderophores and ectoine. Moreover, the genome contains genes involved in the degradation of aromatic compounds, suggesting that strain WY7 can use aromatic compounds in its metabolism. Our work will help to understand the genomic characteristics and metabolic potential of bacterial strains isolated from Antarctic krill, thereby revealing their roles in Antarctic krill and marine ecosystems.</t>
  </si>
  <si>
    <t>[Feng, Zhengqi; Wang, Yuanyuan; Huang, Shanzi; He, Jianguo; Guo, Changjun] Sun Yat Sen Univ, Sch Marine Sci, State Key Lab Biocontrol &amp; Southern Marine Sci &amp; E, Guangdong Lab Zhuhai, 135 Xingang Rd West, Guangzhou 510275, Peoples R China; [Ma, Lingbo; Wang, Lumin] Minist Agr, East China Sea Fisheries Res Inst, Key Lab East China Sea &amp; Ocean Fishery Resources E, Shanghai 116023, Peoples R China; [He, Jianguo; Guo, Changjun] Sun Yat Sen Univ, Guangdong Prov Key Lab Aquat Econ Anim, 135 Xingang Rd West, Guangzhou 510275, Peoples R China; [He, Jianguo; Guo, Changjun] Sun Yat Sen Univ, Guangdong Prov Key Lab Marine Resources &amp; Coastal, 135 Xingang Rd West, Guangzhou 510275, Peoples R China</t>
  </si>
  <si>
    <t>Sun Yat Sen University; Ministry of Agriculture &amp; Rural Affairs; Chinese Academy of Fishery Sciences; East China Sea Fisheries Research Institute, CAFS; Sun Yat Sen University; Sun Yat Sen University</t>
  </si>
  <si>
    <t>Guo, CJ (corresponding author), Sun Yat Sen Univ, Sch Marine Sci, State Key Lab Biocontrol &amp; Southern Marine Sci &amp; E, Guangdong Lab Zhuhai, 135 Xingang Rd West, Guangzhou 510275, Peoples R China.;Guo, CJ (corresponding author), Sun Yat Sen Univ, Guangdong Prov Key Lab Aquat Econ Anim, 135 Xingang Rd West, Guangzhou 510275, Peoples R China.;Guo, CJ (corresponding author), Sun Yat Sen Univ, Guangdong Prov Key Lab Marine Resources &amp; Coastal, 135 Xingang Rd West, Guangzhou 510275, Peoples R China.</t>
  </si>
  <si>
    <t>fengzhq6@mail2.sysu.edu.cn; wangyy373@mail.sysu.edu.cn; malingbo@vip.sina.com; huangshz7@mail2.sysu.edu.cn; lmwang@eastfishery.ac.cn; lsshjg@mail.sysu.edu.cn; gchangj@mail.sysu.edu.cn</t>
  </si>
  <si>
    <t>Guo, Chang Jun/0000-0002-2402-3923</t>
  </si>
  <si>
    <t>National Key Research and Development Program of China [2021B0202040002]; Guangdong Key Research and Development Program [2022YFE0203900, 2022B1111030001]; Guangdong Basic and Applied Basic Research Foundation [2021A1515010647]; Guangdong Laboratory for Lingnan Modern Agriculture [NZ2021018]; China Agriculture Research System [CARS-46]; Innovation Group Project of Southern Marine Science and Engineering Guangdong Laboratory (Zhuhai) [311021006]; Guangdong Provincial Special Fund for Modern Agriculture Industry Technology Innovation Teams [2022KJ143]</t>
  </si>
  <si>
    <t>National Key Research and Development Program of China; Guangdong Key Research and Development Program; Guangdong Basic and Applied Basic Research Foundation; Guangdong Laboratory for Lingnan Modern Agriculture; China Agriculture Research System; Innovation Group Project of Southern Marine Science and Engineering Guangdong Laboratory (Zhuhai); Guangdong Provincial Special Fund for Modern Agriculture Industry Technology Innovation Teams</t>
  </si>
  <si>
    <t>This work was supported by the National Key Research and Development Program of China (No.2022YFE0203900), the Guangdong Key Research and Development Program(Nos. 2022B1111030001 and 2021B0202040002), the Guangdong Basic and Applied Basic Research Foundation (No. 2021A1515010647), Guangdong Laboratory for Lingnan Modern Agriculture(No. NZ2021018), the China Agriculture Research System (No. CARS-46), Innovation Group Project of Southern Marine Science and Engineering Guangdong Laboratory (Zhuhai) (No. 311021006), and Guangdong Provincial Special Fund for Modern Agriculture Industry Technology Innovation Teams(No. 2022KJ143).</t>
  </si>
  <si>
    <t>2076-2607</t>
  </si>
  <si>
    <t>Microorganisms</t>
  </si>
  <si>
    <t>10.3390/microorganisms11092281</t>
  </si>
  <si>
    <t>Microbiology</t>
  </si>
  <si>
    <t>T3BZ5</t>
  </si>
  <si>
    <t>WOS:001076783100001</t>
  </si>
  <si>
    <t>Zeng, T; Shi, LJ; Huang, L; Zhang, Y; Zhu, HT; Yang, XT</t>
  </si>
  <si>
    <t>Zeng, Tao; Shi, Lijian; Huang, Lei; Zhang, Ying; Zhu, Haitian; Yang, Xiaotong</t>
  </si>
  <si>
    <t>A Color Matching Method for Mosaic HY-1 Satellite Images in Antarctica</t>
  </si>
  <si>
    <t>REMOTE SENSING</t>
  </si>
  <si>
    <t>HY-1; CZI; satellite image mosaic; color matching; Antarctic</t>
  </si>
  <si>
    <t>NORMALIZATION; CONSISTENCY</t>
  </si>
  <si>
    <t>Antarctic mapping with satellite images is an important basic task for polar environmental monitoring. Since the first Chinese marine satellite was launched in 2002, China has formed three series of more than 10 marine satellites in orbit. As global operational monitoring satellites of ocean color series, HY-1C and HY-1D have good coverage characteristics and imaging performance in polar regions, and they provide an effective tool for Antarctic monitoring and mapping. In this paper, Antarctic images acquired by the HY-1 satellite Coastal Zone Imager (CZI) sensor were used to study color matching in the mosaic process. According to the CZI characteristics for Antarctic imaging, experiments were carried out on the illuminance nonuniformity of a single image and color registration of multiple images. A gray-level segmentation color-matching method is proposed to solve the problem of image overstretching in the Antarctic image color-matching process. The results and statistical analysis show that the proposed method can effectively eliminate the color deviation between HY-1 Antarctic images, and the mosaic results have a good effect.</t>
  </si>
  <si>
    <t>[Zeng, Tao; Shi, Lijian; Huang, Lei; Zhang, Ying; Zhu, Haitian] Natl Satellite Ocean Applicat Serv, Beijing 100081, Peoples R China; [Zeng, Tao; Shi, Lijian; Huang, Lei; Zhang, Ying; Zhu, Haitian] MNR, Key Lab Space Ocean Remote Sensing &amp; Applicat, Beijing 100081, Peoples R China; [Yang, Xiaotong] Natl Marine Data Informat Serv, Tianjin 300012, Peoples R China</t>
  </si>
  <si>
    <t>National Satellite Ocean Application Service; National Marine Data &amp; Information Service</t>
  </si>
  <si>
    <t>Shi, LJ (corresponding author), Natl Satellite Ocean Applicat Serv, Beijing 100081, Peoples R China.;Shi, LJ (corresponding author), MNR, Key Lab Space Ocean Remote Sensing &amp; Applicat, Beijing 100081, Peoples R China.</t>
  </si>
  <si>
    <t>tao10@mail.nsoas.org.cn; shilj@mail.nsoas.org.cn</t>
  </si>
  <si>
    <t>Shi, Lijian/0000-0003-1046-3984</t>
  </si>
  <si>
    <t>National Key Research and Development Program of China [2021YFC2803300]; Antarctic Geographic Information Investigation</t>
  </si>
  <si>
    <t>National Key Research and Development Program of China; Antarctic Geographic Information Investigation</t>
  </si>
  <si>
    <t>This research was funded by the National Key Research and Development Program of China under Grant 2021YFC2803300 and the Antarctic Geographic Information Investigation.</t>
  </si>
  <si>
    <t>2072-4292</t>
  </si>
  <si>
    <t>REMOTE SENS-BASEL</t>
  </si>
  <si>
    <t>Remote Sens.</t>
  </si>
  <si>
    <t>10.3390/rs15184399</t>
  </si>
  <si>
    <t>Environmental Sciences; Geosciences, Multidisciplinary; Remote Sensing; Imaging Science &amp; Photographic Technology</t>
  </si>
  <si>
    <t>Environmental Sciences &amp; Ecology; Geology; Remote Sensing; Imaging Science &amp; Photographic Technology</t>
  </si>
  <si>
    <t>T6BN2</t>
  </si>
  <si>
    <t>WOS:001078822000001</t>
  </si>
  <si>
    <t>Mattern, T; Pütz, K; Mattern, HL; Houston, DM; Long, RB; Keys, BC; White, JW; Ellenberg, U; Garcia-Borboroglu, P</t>
  </si>
  <si>
    <t>Mattern, Thomas; Putz, Klemens; Mattern, Hannah L.; Houston, David M.; Long, Robin; Keys, Bianca C.; White, Jeff W.; Ellenberg, Ursula; Garcia-Borboroglu, Pablo</t>
  </si>
  <si>
    <t>Accurate abundance estimation of cliff-breeding Bounty Island shags using drone-based 2D and 3D photogrammetry</t>
  </si>
  <si>
    <t>AVIAN CONSERVATION AND ECOLOGY</t>
  </si>
  <si>
    <t>Bounty Island shag; Bounty Islands; Leucocarbo ranfurlyi; drone surveys; New Zealand; population counts; seabirds; sub-Antarctic islands; UAV</t>
  </si>
  <si>
    <t>POPULATION; BIOLOGY; TRENDS</t>
  </si>
  <si>
    <t>Effective seabird management strategies rely on accurate population estimates, with previous methods typically employing ground counts of a target species. However, difficult and often inaccessible breeding habitats are now able to be explored due to recent technological advancements in Unoccupied Aerial Vehicles (UAVs). This study tested a novel approach by combining high-resolution orthomosaics and 3D models to provide population estimates of the remote cliff-breeding Bounty Island shag (Leucocarbo ranfurlyi) on the sub-Antarctic Bounty Islands in November 2022. Our results report 573 breeding pairs, estimating a total population of approximately 1733 birds, breeding on 13 of the 14 main islands. Given the topographical constraints of surveying the islands by boat, the most comparable assessment in 1978 shows a similar count of breeding pairs, proposing the Bounty Island shag population is stable. However, long-term monitoring and additional research surrounding foraging strategies is crucial for developing conservation efforts for one of the rarest and spatially restricted shag species in the world. Our study demonstrates a reproducible method for estimating elusive wildlife populations that can be used across species with wider applications.</t>
  </si>
  <si>
    <t>[Mattern, Thomas; Keys, Bianca C.; Ellenberg, Ursula] Univ Otago, Dept Zool, Dunedin, New Zealand; [Mattern, Thomas; Ellenberg, Ursula] Tawaki Trust, Dunedin, New Zealand; [Mattern, Thomas; Garcia-Borboroglu, Pablo] Global Penguin Soc, Puerto Madryn, Chubut, Argentina; [Mattern, Thomas; Putz, Klemens] Antarctic Res Trust, Bremervorde, Germany; [Mattern, Hannah L.] Logan Pk High Sch, Dunedin, New Zealand; [Houston, David M.] Dept Conservat, Auckland, New Zealand; [Long, Robin] West Coast Penguin Trust, Hokitika, New Zealand; [White, Jeff W.] Univ Miami, Coral Gables, FL USA; [Ellenberg, Ursula] Univ Otago, Dept Marine Sci, Dunedin, New Zealand; [Garcia-Borboroglu, Pablo] CESIMAR CONICET Argentina, Puerto Madryn, Chubut, Argentina</t>
  </si>
  <si>
    <t>University of Otago; University of Miami; University of Otago</t>
  </si>
  <si>
    <t>Mattern, T (corresponding author), Univ Otago, Dept Zool, Dunedin, New Zealand.;Mattern, T (corresponding author), Tawaki Trust, Dunedin, New Zealand.;Mattern, T (corresponding author), Global Penguin Soc, Puerto Madryn, Chubut, Argentina.;Mattern, T (corresponding author), Antarctic Res Trust, Bremervorde, Germany.</t>
  </si>
  <si>
    <t>t.mattern@eudyptes.net</t>
  </si>
  <si>
    <t>Keys, Bianca/0000-0002-9082-8420</t>
  </si>
  <si>
    <t>Vontobel Foundation, Switzerland</t>
  </si>
  <si>
    <t>This project was carried out under a Wildlife Authority issued by the New Zealand Department of Conservation (86101-FAU) . All wildlife interactions were reviewed and approved by the Animal Ethics committee of the University of Otago (AUP-21-43) . We are extremely grateful for the financial support of the Vontobel Foundation, Switzerland, to the Antarctic Research Trust, Switzerland, which enabled us to conduct this study. We want to thank Steve Kafka and his crew of the research vessel Evohe for getting us safely across the treacherous waters of the roaring forties to the sub -Antarctic islands and particularly ashore at the Bounty Islands. Special thanks also to Graeme Taylor, Igor Debski, Johannes Fischer, and Hendrik Schultz (Conservation Services Programme, Department of Conservation, Wellington) for their support and efforts to get us the research permits for this study. Thanks also to Sanjay Thakur (Department of Conservation, Dunedin) for handling our permits and, most importantly, keeping us informed about the progress of the drawn-out permitting process. Further thanks to Ros Cole, Sharon Trainor, and Janice Kevern (Department of Conservation, Murihiku) for getting our gear through the DOC biosecurity checks and providing us with logistic assistance. A huge Thank You to Peter Ersts from the American Museum of Natural History for putting together a georeferencing function for DotDotGoose within a matter of hours after we submitted our request from the sub -Antarctic islands.</t>
  </si>
  <si>
    <t>Resilience Alliance</t>
  </si>
  <si>
    <t>Dedham</t>
  </si>
  <si>
    <t>231 Bussey St., Beckwith and Brown, Dedham, Massachusetts, UNITED STATES</t>
  </si>
  <si>
    <t>1712-6568</t>
  </si>
  <si>
    <t>AVIAN CONSERV ECOL</t>
  </si>
  <si>
    <t>Avian Conserv. Ecol.</t>
  </si>
  <si>
    <t>10.5751/ACE-02496-180206</t>
  </si>
  <si>
    <t>Biodiversity Conservation; Ecology; Ornithology</t>
  </si>
  <si>
    <t>Biodiversity &amp; Conservation; Environmental Sciences &amp; Ecology; Zoology</t>
  </si>
  <si>
    <t>T1MX3</t>
  </si>
  <si>
    <t>WOS:001075707500001</t>
  </si>
  <si>
    <t>Tsuji, M</t>
  </si>
  <si>
    <t>Tsuji, Masaharu</t>
  </si>
  <si>
    <t>Survey on Fungi in Antarctica and High Arctic Regions, and Their Impact on Climate Change</t>
  </si>
  <si>
    <t>CLIMATE</t>
  </si>
  <si>
    <t>antarctica; high arctic; fungi; climate change</t>
  </si>
  <si>
    <t>MANNOSYLERYTHRITOL LIPIDS; ICE ISLAND; SP NOV.; YEASTS; BIOSURFACTANTS; AREA</t>
  </si>
  <si>
    <t>The Antarctica and High Arctic regions are extreme environments, with average maximum temperatures below 0 degrees C for most days of the year. Interestingly, fungi inhabit these regions. This review describes the history of fungal surveys near the Syowa Station and the fungal diversity in this region. In the High Arctic region, I summarize the changes in the fungal communities of the glacial retreat areas of Ny-angstrom lesund, Norway and Ellesmere Island, Canada, in response to climate change. In addition, the ability of Antarctic and Arctic fungi to secrete enzymes at sub-zero temperatures is presented. Finally, the future directions of Antarctic and Arctic fungal research are provided.</t>
  </si>
  <si>
    <t>[Tsuji, Masaharu] Asahikawa Coll, Natl Inst Technol KOSEN, Dept Mat Chem, Asahikawa 0718142, Japan; [Tsuji, Masaharu] Natl Inst Polar Res NIPR, Tachikawa 1908158, Japan</t>
  </si>
  <si>
    <t>Research Organization of Information &amp; Systems (ROIS); National Institute of Polar Research (NIPR) - Japan</t>
  </si>
  <si>
    <t>Tsuji, M (corresponding author), Asahikawa Coll, Natl Inst Technol KOSEN, Dept Mat Chem, Asahikawa 0718142, Japan.;Tsuji, M (corresponding author), Natl Inst Polar Res NIPR, Tachikawa 1908158, Japan.</t>
  </si>
  <si>
    <t>spindletuber@gmail.com</t>
  </si>
  <si>
    <t>Tsuji, Masaharu/0000-0002-9375-7998</t>
  </si>
  <si>
    <t>National Institute of Polar Research, Japan; Asahikawa College, Japan; International Arctic Science Committee (IASC)</t>
  </si>
  <si>
    <t>The author would like to thank the National Institute of Polar Research, Japan, and The National Institute of Technology, Asahikawa College, Japan, for their support in obtaining these research results. This work contributes to the National Institute of Polar Research, Japan mission and the International Arctic Science Committee (IASC) project T-MOSAiC (Terrestrial Multidisciplinary distributed Observatories for the Study of Arctic Connections).</t>
  </si>
  <si>
    <t>2225-1154</t>
  </si>
  <si>
    <t>Climate</t>
  </si>
  <si>
    <t>10.3390/cli11090195</t>
  </si>
  <si>
    <t>S5AA1</t>
  </si>
  <si>
    <t>Green Submitted, gold</t>
  </si>
  <si>
    <t>WOS:001071278900001</t>
  </si>
  <si>
    <t>Nikanorova, AA; Barashkov, NA; Pshennikova, VG; Teryutin, FM; Nakhodkin, SS; Solovyev, AV; Romanov, GP; Burtseva, TE; Fedorova, SA</t>
  </si>
  <si>
    <t>Nikanorova, Alena A.; Barashkov, Nikolay A.; Pshennikova, Vera G.; Teryutin, Fedor M.; Nakhodkin, Sergey S.; Solovyev, Aisen V.; Romanov, Georgii P.; Burtseva, Tatiana E.; Fedorova, Sardana A.</t>
  </si>
  <si>
    <t>A Systematic Review and Meta-Analysis of Free Triiodothyronine (FT3) Levels in Humans Depending on Seasonal Air Temperature Changes: Is the Variation in FT3 Levels Related to Nonshivering Thermogenesis?</t>
  </si>
  <si>
    <t>INTERNATIONAL JOURNAL OF MOLECULAR SCIENCES</t>
  </si>
  <si>
    <t>free triiodothyronine (FT3); seasonal variations; air temperature; polar T3 syndrome; nonshivering thermogenesis; brown adipose tissue (BAT); uncoupling protein 1 (UCP1)</t>
  </si>
  <si>
    <t>BROWN ADIPOSE-TISSUE; BODY-MASS INDEX; PROLONGED ANTARCTIC RESIDENCE; THYROID-HORMONE; SERUM TSH; COLD-EXPOSURE; WHITE FAT; INSULIN-RESISTANCE; METABOLIC-RATES; BLOOD-PRESSURE</t>
  </si>
  <si>
    <t>Thyroid hormones play a crucial role in regulating normal development, growth, and metabolic function. However, the controversy surrounding seasonal changes in free triiodothyronine (FT3) levels remains unresolved. Therefore, the aim of this study was to conduct a systematic review and meta-analysis of variations in FT3 levels in relation to seasonal air temperatures in the context of current knowledge about its role in nonshivering thermogenesis. Ten eligible articles with a total of 336,755 participants were included in the meta-analysis. The studies were categorized into two groups based on the air temperature: Cold winter, where the winter temperature fell below 0 C-degrees, and Warm winter, where the winter temperature was above 0 C-degrees. The analysis revealed that in cold regions, FT3 levels decreased in winter compared to summer (I2 = 57%, p &lt; 0.001), whereas in warm regions, FT3 levels increased during winter (I2 = 28%, p &lt; 0.001). These findings suggest that seasonal variations in FT3 levels are likely to be influenced by the winter temperature. Considering the important role of the FT3 in the nonshivering thermogenesis process, we assume that this observed pattern is probably related to the differences in use of thyroid hormones in the brown adipose tissue during adaptive thermogenesis, which may depend on intensity of cold exposure.</t>
  </si>
  <si>
    <t>[Nikanorova, Alena A.; Barashkov, Nikolay A.; Pshennikova, Vera G.; Teryutin, Fedor M.; Burtseva, Tatiana E.; Fedorova, Sardana A.] Yakut Sci Ctr Complex Med Problems, Yaroslavskogo 6-3, Yakutsk 677000, Russia; [Nakhodkin, Sergey S.; Solovyev, Aisen V.; Romanov, Georgii P.; Burtseva, Tatiana E.; Fedorova, Sardana A.] MK Ammosov North Eastern Fed Univ, Klakovskogo 42, Yakutsk 677013, Russia</t>
  </si>
  <si>
    <t>Yakut Science Centre of Complex Medical Problems; North-Eastern Federal University in Yakutsk</t>
  </si>
  <si>
    <t>Barashkov, NA (corresponding author), Yakut Sci Ctr Complex Med Problems, Yaroslavskogo 6-3, Yakutsk 677000, Russia.</t>
  </si>
  <si>
    <t>nikanorova.alena@mail.ru; barashkov2004@mail.ru; psennikovavera@mail.ru; rest26@mail.ru; sergnahod@mail.ru; nelloann@mail.ru; gpromanov@gmail.com; bourtsevat@yandex.ru; sardaanafedorova@mail.ru</t>
  </si>
  <si>
    <t>Barashkov, Nikolay A/F-1499-2017; Teryutin, Fedor M/K-5104-2017; Tatyana, Burtseva Yegorovna/K-8024-2017; Fedorova, Sardana A/K-5445-2017; Romanov, Georgii Prokopievich/E-6367-2017; Nikanorova, Alena A./L-1260-2017; Pshennikova, Vera/F-4031-2017</t>
  </si>
  <si>
    <t>Tatyana, Burtseva Yegorovna/0000-0002-5490-2072; Romanov, Georgii Prokopievich/0000-0002-2936-5818; Nikanorova, Alena A./0000-0002-7129-6633; Fedorova, Sardana/0000-0002-6952-3868; Barashkov, Nikolay A/0000-0002-6984-7934; Pshennikova, Vera/0000-0001-6866-9462</t>
  </si>
  <si>
    <t>YSC CMP project Study of the genetic structure and burden of hereditary pathology of the populations of the Republic of Sakha (Yakutia); Ministry of Science and Higher Education of the Russian Federation [FSRG-2023-0003]</t>
  </si>
  <si>
    <t>YSC CMP project Study of the genetic structure and burden of hereditary pathology of the populations of the Republic of Sakha (Yakutia); Ministry of Science and Higher Education of the Russian Federation</t>
  </si>
  <si>
    <t>This study was supported by the YSC CMP project Study of the genetic structure and burden of hereditary pathology of the populations of the Republic of Sakha (Yakutia) (to A.A.N.,V.G.P., F.M.T. and N.A.B.), by the Ministry of Science and Higher Education of the Russian Federation (FSRG-2023-0003) (S.S.N., A.V.S., G.P.R., T.E.B. and S.A.F.).</t>
  </si>
  <si>
    <t>1661-6596</t>
  </si>
  <si>
    <t>1422-0067</t>
  </si>
  <si>
    <t>INT J MOL SCI</t>
  </si>
  <si>
    <t>Int. J. Mol. Sci.</t>
  </si>
  <si>
    <t>10.3390/ijms241814052</t>
  </si>
  <si>
    <t>Biochemistry &amp; Molecular Biology; Chemistry, Multidisciplinary</t>
  </si>
  <si>
    <t>Biochemistry &amp; Molecular Biology; Chemistry</t>
  </si>
  <si>
    <t>T2VF2</t>
  </si>
  <si>
    <t>WOS:001076605100001</t>
  </si>
  <si>
    <t>De Castro-Fernández, P; Angulo-Preckler, C; García-Aljaro, C; Avila, C; Cutignano, A</t>
  </si>
  <si>
    <t>De Castro-Fernandez, Paula; Angulo-Preckler, Carlos; Garcia-Aljaro, Cristina; Avila, Conxita; Cutignano, Adele</t>
  </si>
  <si>
    <t>A Chemo-Ecological Investigation of Dendrilla antarctica Topsent, 1905: Identification of Deceptionin and the Effects of Heat Stress and Predation Pressure on Its Terpene Profiles</t>
  </si>
  <si>
    <t>MARINE DRUGS</t>
  </si>
  <si>
    <t>marine benthic invertebrates; Antarctic benthos; natural products; diterpenoids; chemical ecology; sponges; global change</t>
  </si>
  <si>
    <t>CHEMICAL DEFENSES; NATURAL-PRODUCTS; ISLAND; SPONGES; PALATABILITY; CONSTITUENTS; VARIABILITY; METABOLITES; MACROALGAE; DITERPENES</t>
  </si>
  <si>
    <t>Marine sponges usually host a wide array of secondary metabolites that play crucial roles in their biological interactions. The factors that influence the intraspecific variability in the metabolic profile of organisms, their production or ecological function remain generally unknown. Understanding this may help predict changes in biological relationships due to environmental variations as a consequence of climate change. The sponge Dendrilla antarctica is common in shallow rocky bottoms of the Antarctic Peninsula and is known to produce diterpenes that are supposed to have defensive roles. Here we used GC-MS to determine the major diterpenes in two populations of D. antarctica from two islands, Livingston and Deception Island (South Shetland Islands). To assess the potential effect of heat stress, we exposed the sponge in aquaria to a control temperature (similar to local), heat stress (five degrees higher) and extreme heat stress (ten degrees higher). To test for defence induction by predation pressure, we exposed the sponges to the sea star Odontaster validus and the amphipod Cheirimedon femoratus. Seven major diterpenes were isolated and identified from the samples. While six of them were already reported in the literature, we identified one new aplysulphurane derivative that was more abundant in the samples from Deception Island, so we named it deceptionin (7). The samples were separated in the PCA space according to the island of collection, with 9,11-dihydrogracilin A (1) being more abundant in the samples from Livingston, and deceptionin (7) in the samples from Deception. We found a slight effect of heat stress on the diterpene profiles of D. antarctica, with tetrahydroaplysulphurin-1 (6) and the gracilane norditerpene 2 being more abundant in the group exposed to heat stress. Predation pressure did not seem to influence the metabolite production. Further research on the bioactivity of D. antarctica secondary metabolites, and their responses to environmental changes will help better understand the functioning and fate of the Antarctic benthos.</t>
  </si>
  <si>
    <t>[De Castro-Fernandez, Paula; Avila, Conxita] Univ Barcelona UB, Fac Biol, Dept Evolutionary Biol Ecol &amp; Environm Sci BEECA, Barcelona 08028, Catalonia, Spain; [De Castro-Fernandez, Paula; Avila, Conxita] Univ Barcelona UB, Inst Recerca Biodiversitat IRBio, Barcelona 08028, Catalonia, Spain; [De Castro-Fernandez, Paula; Garcia-Aljaro, Cristina] Univ Barcelona UB, Fac Biol, Dept Genet Microbiol &amp; Stat, Barcelona 08028, Catalonia, Spain; [De Castro-Fernandez, Paula; Cutignano, Adele] Consiglio Nazl Ric CNR, Ist Chim Biomol ICB, I-80078 Pozzuoli, Napoli, Italy; [Angulo-Preckler, Carlos] King Abdullah Univ Sci &amp; Technol KAUST, Red Sea Res Ctr, Thuwal 239556900, Saudi Arabia; [De Castro-Fernandez, Paula] King Abdullah Univ Sci &amp; Technol KAUST, Computat Biosci Res Ctr, Thuwal 239556900, Saudi Arabia</t>
  </si>
  <si>
    <t>University of Barcelona; University of Barcelona; University of Barcelona; Consiglio Nazionale delle Ricerche (CNR); Istituto di Chimica Biomolecolare (ICB-CNR); King Abdullah University of Science &amp; Technology; King Abdullah University of Science &amp; Technology</t>
  </si>
  <si>
    <t>De Castro-Fernández, P (corresponding author), Univ Barcelona UB, Fac Biol, Dept Evolutionary Biol Ecol &amp; Environm Sci BEECA, Barcelona 08028, Catalonia, Spain.;De Castro-Fernández, P (corresponding author), Univ Barcelona UB, Inst Recerca Biodiversitat IRBio, Barcelona 08028, Catalonia, Spain.;De Castro-Fernández, P (corresponding author), Univ Barcelona UB, Fac Biol, Dept Genet Microbiol &amp; Stat, Barcelona 08028, Catalonia, Spain.;De Castro-Fernández, P (corresponding author), Consiglio Nazl Ric CNR, Ist Chim Biomol ICB, I-80078 Pozzuoli, Napoli, Italy.;De Castro-Fernández, P (corresponding author), King Abdullah Univ Sci &amp; Technol KAUST, Computat Biosci Res Ctr, Thuwal 239556900, Saudi Arabia.</t>
  </si>
  <si>
    <t>p.decastro@ub.edu; carlos.preckler@kaust.edu.sa; crgarcia@ub.edu; conxita.avila@ub.edu; acutignano@icb.cnr.it</t>
  </si>
  <si>
    <t>Angulo_Preckler, Carlos/A-6456-2011</t>
  </si>
  <si>
    <t>Angulo_Preckler, Carlos/0000-0001-9028-274X; Cutignano, Adele/0000-0003-3035-9252</t>
  </si>
  <si>
    <t>Spanish government [CTM2013-42667/ANT, CTM2016-78901/ANT]</t>
  </si>
  <si>
    <t>Spanish government(Spanish Government)</t>
  </si>
  <si>
    <t>This research was funded by the Spanish government, grant number CTM2013-42667/ANT(BLUEBIO); CTM2016-78901/ANT (CHALLENGE). The APC was funded by the Spanish government,grant number CTM2013-42667/ANT (BLUEBIO); CTM2016-78901/ANT (CHALLENGE)</t>
  </si>
  <si>
    <t>1660-3397</t>
  </si>
  <si>
    <t>MAR DRUGS</t>
  </si>
  <si>
    <t>Mar. Drugs</t>
  </si>
  <si>
    <t>10.3390/md21090499</t>
  </si>
  <si>
    <t>Chemistry, Medicinal; Pharmacology &amp; Pharmacy</t>
  </si>
  <si>
    <t>Pharmacology &amp; Pharmacy</t>
  </si>
  <si>
    <t>T2NA1</t>
  </si>
  <si>
    <t>gold, Green Published</t>
  </si>
  <si>
    <t>WOS:001076388700001</t>
  </si>
  <si>
    <t>Parker, CW; Vu, TH; Kim, T; Johnson, PV</t>
  </si>
  <si>
    <t>Parker, Ceth W.; Vu, Tuan H.; Kim, Taewoo; Johnson, Paul V.</t>
  </si>
  <si>
    <t>Vitreous Magnesium Sulfate Hydrate as a Potential Mechanism for Preservation of Microbial Viability on Europa</t>
  </si>
  <si>
    <t>PLANETARY SCIENCE JOURNAL</t>
  </si>
  <si>
    <t>WATER-VAPOR; RELEVANT; OCEAN; CRYSTALLIZATION; PROTEINS; PLUMES; BRINES</t>
  </si>
  <si>
    <t>Europa's subsurface ocean is postulated to contain appreciable amounts of Mg2+ and SO42- ions, among other species. Recent laboratory experiments have shown that when solutions containing these species freeze to Europa-relevant temperatures, they can form vitreous MgSO4 hydrate, which can remain stable at these temperatures. Since vitreous phases can protect cells from physical damage that can occur during crystallization, their presence on Europa could potentially preserve entrained microorganisms from the ocean below. However, to date, it remains unclear whether such materials actually impact microbial survival. In this work, experiments were performed in which the motile nonspore-forming Antarctic isolate Pseudoalteromonas haloplanktis in solutions of 0.1 M MgSO4 were frozen to Europa surface temperatures (100 K) under conditions that resulted in the formation of either vitreous or crystalline salt hydrates. We found that cells survived in both cases, exhibiting a 3-log reduction in viable cells in the crystalline salt hydrate case while only a 1.5-log reduction in the vitreous salt hydrate case. Scanning electron microscopy accordingly showed much higher degrees of membrane lysis and cellular damage in the crystalline salt hydrate than the vitreous case. Our results demonstrate the ability of a terrestrial oceanic microorganism to survive in MgSO4 solutions frozen to Europa surface temperatures, with enhanced viability in vitreous salt-hydrate-producing conditions versus crystalline. These findings suggest that future missions should target vitrified salt-rich environments for life detection due to this potential for preserving viable microorganisms that may be present and trapped in ocean world ices.</t>
  </si>
  <si>
    <t>[Parker, Ceth W.; Vu, Tuan H.; Kim, Taewoo; Johnson, Paul V.] CALTECH, Jet Prop Lab, 4800 Oak Grove Dr, Pasadena, CA 91109 USA</t>
  </si>
  <si>
    <t>National Aeronautics &amp; Space Administration (NASA); NASA Jet Propulsion Laboratory (JPL); California Institute of Technology</t>
  </si>
  <si>
    <t>Johnson, PV (corresponding author), CALTECH, Jet Prop Lab, 4800 Oak Grove Dr, Pasadena, CA 91109 USA.</t>
  </si>
  <si>
    <t>Paul.V.Johnson@jpl.nasa.gov</t>
  </si>
  <si>
    <t>Johnson, Paul/D-4001-2009</t>
  </si>
  <si>
    <t>Johnson, Paul/0000-0002-0186-8456; Parker, Ceth/0000-0002-4328-490X; Kim, Taewoo/0000-0002-1531-3873</t>
  </si>
  <si>
    <t>This research was carried out at the Jet Propulsion Laboratory, California Institute of Technology under a contract with the National Aeronautics and Space Administration (80NM0018D0004) and funded through the internal Research and Technology Development p [80NM0018D0004]; National Aeronautics and Space Administration; internal Research and Technology Development program; Kavli Nanoscience Institute</t>
  </si>
  <si>
    <t>This research was carried out at the Jet Propulsion Laboratory, California Institute of Technology under a contract with the National Aeronautics and Space Administration (80NM0018D0004) and funded through the internal Research and Technology Development p; National Aeronautics and Space Administration(National Aeronautics &amp; Space Administration (NASA)); internal Research and Technology Development program; Kavli Nanoscience Institute</t>
  </si>
  <si>
    <t>This research was carried out at the Jet Propulsion Laboratory, California Institute of Technology under a contract with the National Aeronautics and Space Administration (80NM0018D0004) and funded through the internal Research and Technology Development program. The authors gratefully acknowledge the critical support and infrastructure provided for this work by The Kavli Nanoscience Institute (KNI) at the California Institute of Technology. Government sponsorship is acknowledged.</t>
  </si>
  <si>
    <t>IOP Publishing Ltd</t>
  </si>
  <si>
    <t>BRISTOL</t>
  </si>
  <si>
    <t>TEMPLE CIRCUS, TEMPLE WAY, BRISTOL BS1 6BE, ENGLAND</t>
  </si>
  <si>
    <t>2632-3338</t>
  </si>
  <si>
    <t>PLANET SCI J</t>
  </si>
  <si>
    <t>Planet. Sci. J.</t>
  </si>
  <si>
    <t>10.3847/PSJ/aceefa</t>
  </si>
  <si>
    <t>Astronomy &amp; Astrophysics</t>
  </si>
  <si>
    <t>T1PV7</t>
  </si>
  <si>
    <t>WOS:001075783900001</t>
  </si>
  <si>
    <t>Andersen, OB; Rose, SK; Hart-Davis, MG</t>
  </si>
  <si>
    <t>Andersen, Ole Baltazar; Rose, Stine Kildegaard; Hart-Davis, Michael G.</t>
  </si>
  <si>
    <t>Polar Ocean Tides-Revisited Using Cryosat-2</t>
  </si>
  <si>
    <t>ocean tides; satellite altimetry; polar oceans</t>
  </si>
  <si>
    <t>ACCURACY ASSESSMENT; MODEL</t>
  </si>
  <si>
    <t>With the availability of more than 9 years of Cryosat-2, it is possible to revisit polar ocean tides, which have traditionally been difficult to determine from satellite altimetry. The SAMOSA+ physical retracker is a stable retracker developed particularly for Cryosat-2. Being a physical retracker, it enables the determination of the sea state bias. Correcting for the sea state bias enables more reliable sea level estimates compared with traditional empirical retrackers used before. Cryosat-2 data have been analyzed for residual ocean tides to the FES2014 ocean tide model in the Arctic Ocean and Antarctic Ocean using the response formalism. We utilize data from the sub-cycle of Cryosat-2, which follows a repeating pattern of approximately 28.33 days. This sub-repeat period makes it an advantageous alias period for the majority of significant constituents. This allowed for the estimation and mapping of the major tidal constituents in the open ocean and also in floating ice shelves from data extracted from leads in the sea ice. A novel empirical ocean tide model designed specifically for the polar region, DTU22, is introduced. Our findings reveal substantial enhancements in semi-diurnal tides within the Arctic Ocean and improvement in diurnal constituents within the Southern Ocean. In the Southern Ocean, the diurnal constituents are particularly improved using the empirical model by more than a factor of two to around 3 cm for both constituents compared with FES2014b. These outcomes underscore the significance of incorporating the reprocessed and retracted Cryosat-2 data into tidal modeling, highlighting its pivotal role in advancing the field.</t>
  </si>
  <si>
    <t>[Andersen, Ole Baltazar; Rose, Stine Kildegaard] Natl Space Inst, DTU Space, Elektrovej 327-328, DK-2800 Lyngby, Denmark; [Hart-Davis, Michael G.] Tech Univ Munich, Deutsch Geodat Forschungsinstitut, D-80333 Munich, Germany</t>
  </si>
  <si>
    <t>Technical University of Denmark; Technical University of Munich</t>
  </si>
  <si>
    <t>Andersen, OB (corresponding author), Natl Space Inst, DTU Space, Elektrovej 327-328, DK-2800 Lyngby, Denmark.</t>
  </si>
  <si>
    <t>oa@space.dtu.dk; stine@space.dtu.dk; michael.hart-davis@tum.de</t>
  </si>
  <si>
    <t>Andersen, Ole Baltazar/H-7481-2016</t>
  </si>
  <si>
    <t>Andersen, Ole Baltazar/0000-0002-6685-3415; Rose, Stine Kildegaard/0000-0003-4902-9093</t>
  </si>
  <si>
    <t>We would like to acknowledge ESA-RSS (Research and Service Support for their assistance in processing the data with G-POD. This service is now hosted on the EarthConsole platform, https://earthconsole.eu (accessed on 1 July 2023), as a P-PRO ser</t>
  </si>
  <si>
    <t>We would like to acknowledge ESA-RSS (Research and Service Support for their assistance in processing the data with G-POD. This service is now hosted on the EarthConsole platform, (accessed on 1 July 2023), as a P-PRO service. We would like to acknowledge Ed Zaron for inspiration to the work. We acknowledge the work by M. Jensen and C. Bang-Hansen in preparing</t>
  </si>
  <si>
    <t>10.3390/rs15184479</t>
  </si>
  <si>
    <t>T0NW2</t>
  </si>
  <si>
    <t>WOS:001075050700001</t>
  </si>
  <si>
    <t>Rodenberg, H</t>
  </si>
  <si>
    <t>Rodenberg, Howard</t>
  </si>
  <si>
    <t>South Pole 2020: The Year Without COVID-19</t>
  </si>
  <si>
    <t>AMERICAN JOURNAL OF PUBLIC HEALTH</t>
  </si>
  <si>
    <t>Editorial Material</t>
  </si>
  <si>
    <t>[Rodenberg, Howard] US Antarctic Program, Natl Sci Fdn, Alexandria, VA 22331 USA</t>
  </si>
  <si>
    <t>National Science Foundation (NSF)</t>
  </si>
  <si>
    <t>Rodenberg, H (corresponding author), US Antarctic Program, Natl Sci Fdn, Alexandria, VA 22331 USA.</t>
  </si>
  <si>
    <t>AMER PUBLIC HEALTH ASSOC INC</t>
  </si>
  <si>
    <t>800 I STREET, NW, WASHINGTON, DC 20001-3710 USA</t>
  </si>
  <si>
    <t>0090-0036</t>
  </si>
  <si>
    <t>1541-0048</t>
  </si>
  <si>
    <t>AM J PUBLIC HEALTH</t>
  </si>
  <si>
    <t>Am. J. Public Health</t>
  </si>
  <si>
    <t>10.2105/AJPH.2023.307361</t>
  </si>
  <si>
    <t>Public, Environmental &amp; Occupational Health</t>
  </si>
  <si>
    <t>Science Citation Index Expanded (SCI-EXPANDED); Social Science Citation Index (SSCI)</t>
  </si>
  <si>
    <t>R4OO9</t>
  </si>
  <si>
    <t>Green Published</t>
  </si>
  <si>
    <t>WOS:001064157900001</t>
  </si>
  <si>
    <t>Xu, X; Zhou, C; Chen, LJ; Horne, RB</t>
  </si>
  <si>
    <t>Xu, Xiang; Zhou, Chen; Chen, Lunjin; Horne, Richard B.</t>
  </si>
  <si>
    <t>Modeling the Propagation of Fast Magnetosonic Waves and Their Conversion to Electromagnetic Ion Cyclotron Waves at Low L Shells</t>
  </si>
  <si>
    <t>JOURNAL OF GEOPHYSICAL RESEARCH-SPACE PHYSICS</t>
  </si>
  <si>
    <t>wave propagation; mode conversion; ray tracing; full-wave simulation; fast magnetosonic wave; electromagnetic ion cyclotron wave</t>
  </si>
  <si>
    <t>EMIC WAVES; EQUATORIAL NOISE; LOW-FREQUENCY; SATELLITE AKEBONO; ULF WAVES; PLASMA; PROTON; INSTABILITIES; ABSORPTION; GENERATION</t>
  </si>
  <si>
    <t>The propagation of fast magnetosonic (MS) waves from high to extremely low L shells and their conversion into electromagnetic ion cyclotron (EMIC) waves is investigated with a ray tracing model and a full-wave model. The ray tracing simulations show that MS waves in the vicinity of the local H+-He+ crossover frequency at low L shells have a latitudinal range from -20 degrees to 20 degrees with wave normal angles from -0 degrees to 180 degrees, both of which provide the opportunity for their mode conversion to EMIC waves. Results from ray tracing are fed into the full-wave model as initial conditions. The full-wave simulations show that the incoming MS waves with small ( 20 degrees) and intermediate ( 40 degrees) wave normal angles may be efficiently converted to right-handedly polarized H+ band EMIC waves, which may be further converted to right-handedly polarized He+ band EMIC waves or to guided left-handedly pol....arized H+ band EMIC waves through bi-ion resonance reflection and polarization reversal. With intermediate ( 40 degrees) or larger wave normal angles, via polarization reversal and left-handed polarization cut-off reflection, the incoming MS waves may be efficiently converted to guided left-handedly polarized H+ band EMIC waves and the optimal wave normal angles corresponding to the maximum conversion efficiencies decrease with magnetic latitudes. Our study verifies the mode conversion mechanism of MS waves to EMIC waves proposed with a previous ray tracing study and examines the dependence of the efficiency of the wave energy transfer on the magnetic latitudes and wave normal angles, which may help to understand the wave properties and distribution of MS and EMIC waves observed at extremely low L shells.</t>
  </si>
  <si>
    <t>[Xu, Xiang; Zhou, Chen] Wuhan Univ, Sch Elect Informat, Dept Space Phys, Wuhan, Peoples R China; [Chen, Lunjin] Univ Texas Dallas, William B Hanson Ctr Space Sci, Richardson, TX 75083 USA; [Horne, Richard B.] British Antarctic Survey, Cambridge, England</t>
  </si>
  <si>
    <t>Wuhan University; University of Texas System; University of Texas Dallas; UK Research &amp; Innovation (UKRI); Natural Environment Research Council (NERC); NERC British Antarctic Survey</t>
  </si>
  <si>
    <t>Zhou, C (corresponding author), Wuhan Univ, Sch Elect Informat, Dept Space Phys, Wuhan, Peoples R China.;Chen, LJ (corresponding author), Univ Texas Dallas, William B Hanson Ctr Space Sci, Richardson, TX 75083 USA.</t>
  </si>
  <si>
    <t>chenzhou@whu.edu.cn; lunjin.chen@gmail.com</t>
  </si>
  <si>
    <t>li, li/KHE-5750-2024; chen, chen/KHW-7024-2024; Wang, Yu/KGL-3101-2024; Zhang, Lu/KHE-5879-2024; Zhang, Yi/KHW-2039-2024; zhang, yan/KHC-3163-2024; yan, xu/KCY-8174-2024; zhang, yingying/KGM-8162-2024; Liu, Chang/KGL-6678-2024; Wang, Xin/KGK-9099-2024; wang, jin/KHD-7243-2024; Li, Bo/KHX-7246-2024; Liu, yuqing/KEI-3260-2024; yang, xiao/KHT-9445-2024; Liu, Zhiyuan/KDP-2606-2024; Wang, Yifan/KDO-8319-2024; zhang, lu/KGL-6144-2024; zhou, chen/KBC-4023-2024; Wang, Fei/KEH-6292-2024; li, yf/KHX-1148-2024; li, jing/KHC-8303-2024; ZHANG, JING/KHY-1073-2024; Li, Yang/KFB-5350-2024; Liu, Yining/KHC-6217-2024; Qi, Ling/KHE-3068-2024; zhou, chen/KHW-8121-2024; Shen, Yan/KEJ-4617-2024; Chen, Lunjin/L-1250-2013</t>
  </si>
  <si>
    <t>zhang, yingying/0000-0001-7479-3398; Wang, Xin/0009-0004-7428-3071; Liu, Yining/0000-0002-2218-2349; Chen, Lunjin/0000-0003-2489-3571; Xu, Xiang/0000-0001-5264-3022; Horne, Richard/0000-0002-0412-6407</t>
  </si>
  <si>
    <t>National Natural Science Foundation of China (NSFC) [42104149, 42074187]</t>
  </si>
  <si>
    <t>National Natural Science Foundation of China (NSFC)(National Natural Science Foundation of China (NSFC))</t>
  </si>
  <si>
    <t>This research is supported by National Natural Science Foundation of China (NSFC) (Grants NO. 42104149, 42074187).</t>
  </si>
  <si>
    <t>2169-9380</t>
  </si>
  <si>
    <t>2169-9402</t>
  </si>
  <si>
    <t>J GEOPHYS RES-SPACE</t>
  </si>
  <si>
    <t>J. Geophys. Res-Space Phys.</t>
  </si>
  <si>
    <t>e2022JA031271</t>
  </si>
  <si>
    <t>10.1029/2022JA031271</t>
  </si>
  <si>
    <t>R5AG3</t>
  </si>
  <si>
    <t>WOS:001064469500001</t>
  </si>
  <si>
    <t>Evans, B; Faul, A; Fleming, A; Vaughan, DG; Hosking, JS</t>
  </si>
  <si>
    <t>Evans, Ben; Faul, Anita; Fleming, Andrew; Vaughan, David G.; Hosking, J. Scott</t>
  </si>
  <si>
    <t>Unsupervised machine learning detection of iceberg populations within sea ice from dual-polarisation SAR imagery</t>
  </si>
  <si>
    <t>REMOTE SENSING OF ENVIRONMENT</t>
  </si>
  <si>
    <t>Iceberg; Machine learning; Automated; Bayesian; Classification; Radar</t>
  </si>
  <si>
    <t>PROCESS MIXTURE MODEL; ANTARCTIC ICEBERGS; SOUTHERN-OCEAN; WEDDELL SEA; SEGMENTATION; TRACKING; IDENTIFICATION; DISTRIBUTIONS</t>
  </si>
  <si>
    <t>Accurate quantification of iceberg populations is essential to inform estimates of Southern Ocean freshwater and heat balances as well as shipping hazards. The automated operational monitoring of icebergs remains challenging, largely due to a lack of generality in existing approaches. Previous efforts to map icebergs have often exploited synthetic aperture radar (SAR) data but the majority are designed for open water situations, require significant operator input, and are susceptible to the substantial spatial and temporal variability in backscatter that characterises SAR time-series. We propose an adaptive unsupervised classification procedure based on Sentinel 1 SAR data and a recursive Dirichlet Process implementation of Bayesian Gaussian Mixture Model. The approach is robust to inter-scene variability and can identify icebergs even within complex environments containing mixtures of open water, sea ice and icebergs of various sizes. For the study area in the Amundsen Sea Embayment, close to the calving front of Thwaites Glacier, our classifier achieved a mean pixel-wise F1 score against manual iceberg delineations from the SAR scenes of 0.960 &amp; PLUSMN; 0.018 with a corresponding object-level F1 score of 0.729 &amp; PLUSMN; 0.086. The method provides an excellent basis for estimation of total near-shore iceberg populations and has inherent potential for scalability that other approaches lack.</t>
  </si>
  <si>
    <t>[Evans, Ben; Faul, Anita; Fleming, Andrew; Vaughan, David G.] British Antarctic Survey, Madingley Rd, Cambridge CB3 0ET, Cambs, England; [Hosking, J. Scott] British Lib, Alan Turing Inst, London NW1 2DB, England</t>
  </si>
  <si>
    <t>UK Research &amp; Innovation (UKRI); Natural Environment Research Council (NERC); NERC British Antarctic Survey</t>
  </si>
  <si>
    <t>Evans, B (corresponding author), British Antarctic Survey, Madingley Rd, Cambridge CB3 0ET, Cambs, England.</t>
  </si>
  <si>
    <t>benevans@bas.ac.uk</t>
  </si>
  <si>
    <t>Evans, Ben/0000-0003-0643-526X</t>
  </si>
  <si>
    <t>Wave 1 of The UKRI Strategic Priorities Fund under the EPSRC [EP/T001569/1]; Alan Turing Institute</t>
  </si>
  <si>
    <t>Wave 1 of The UKRI Strategic Priorities Fund under the EPSRC(UK Research &amp; Innovation (UKRI)Engineering &amp; Physical Sciences Research Council (EPSRC)); Alan Turing Institute</t>
  </si>
  <si>
    <t>We dedicate this paper to David Vaughan, a visionary and much missed colleague whose role in this work was pivotal. This work is supported by Wave 1 of The UKRI Strategic Priorities Fund under the EPSRC Grant EP/T001569/1, particularly the 'AI for Science' theme within that grant and The Alan Turing Institute.</t>
  </si>
  <si>
    <t>ELSEVIER SCIENCE INC</t>
  </si>
  <si>
    <t>STE 800, 230 PARK AVE, NEW YORK, NY 10169 USA</t>
  </si>
  <si>
    <t>0034-4257</t>
  </si>
  <si>
    <t>1879-0704</t>
  </si>
  <si>
    <t>REMOTE SENS ENVIRON</t>
  </si>
  <si>
    <t>Remote Sens. Environ.</t>
  </si>
  <si>
    <t>NOV 1</t>
  </si>
  <si>
    <t>10.1016/j.rse.2023.113780</t>
  </si>
  <si>
    <t>SEP 2023</t>
  </si>
  <si>
    <t>Environmental Sciences; Remote Sensing; Imaging Science &amp; Photographic Technology</t>
  </si>
  <si>
    <t>Environmental Sciences &amp; Ecology; Remote Sensing; Imaging Science &amp; Photographic Technology</t>
  </si>
  <si>
    <t>S5HQ4</t>
  </si>
  <si>
    <t>Green Accepted, hybrid</t>
  </si>
  <si>
    <t>WOS:001071480100001</t>
  </si>
  <si>
    <t>Zhang, HF; Xia, YY; Pan, JM</t>
  </si>
  <si>
    <t>Zhang, Haifeng; Xia, Yinyue; Pan, Jianming</t>
  </si>
  <si>
    <t>Polar Monitoring CHINARE's Submerged Buoys Enable Long-Term Polar Observation</t>
  </si>
  <si>
    <t>SEA TECHNOLOGY</t>
  </si>
  <si>
    <t>[Zhang, Haifeng; Pan, Jianming] Minist Nat Resources, Inst Oceanog 2, Key Lab Marine Ecosyst Dynam, Beijing, Peoples R China; [Xia, Yinyue] Minist Nat Resources, Vessel &amp; Aircraft Management Div, Polar Res Inst China, Beijing, Peoples R China</t>
  </si>
  <si>
    <t>Ministry of Natural Resources of the People's Republic of China; Polar Research Institute of China; Ministry of Natural Resources of the People's Republic of China</t>
  </si>
  <si>
    <t>Zhang, HF (corresponding author), Minist Nat Resources, Inst Oceanog 2, Key Lab Marine Ecosyst Dynam, Beijing, Peoples R China.</t>
  </si>
  <si>
    <t>zhanghf@sio.org.cn</t>
  </si>
  <si>
    <t>Scientific Research Fund of the Second Institute of Oceanography, MNR [JG2211, JG2212]; National Natural Science Foundation [41506223]; National Polar Special Program Impact and Response of Antarctic Seas to Climate Change [IRASCC 0101-02A, IRASCC 02-02]</t>
  </si>
  <si>
    <t>Scientific Research Fund of the Second Institute of Oceanography, MNR; National Natural Science Foundation(National Natural Science Foundation of China (NSFC)); National Polar Special Program Impact and Response of Antarctic Seas to Climate Change</t>
  </si>
  <si>
    <t>The authors appreciate the financial support of the Scientific Research Fund of the Second Institute of Oceanography, MNR (grants JG2211, JG2212), National Natural Science Foundation (grant 41506223), and the National Polar Special Program Impact and Response of Antarctic Seas to Climate Change (grants IRASCC 0101-02A, IRASCC 02-02). We would also like to thank: Bing Zhu, Jun Zhao, Quan Shen and all the cruise members of CHINARE.</t>
  </si>
  <si>
    <t>COMPASS PUBLICATIONS, INC</t>
  </si>
  <si>
    <t>ARLINGTON</t>
  </si>
  <si>
    <t>1501 WILSON BLVD., STE 1001, ARLINGTON, VA 22209-2403 USA</t>
  </si>
  <si>
    <t>0093-3651</t>
  </si>
  <si>
    <t>SEA TECHNOL</t>
  </si>
  <si>
    <t>Sea Technol.</t>
  </si>
  <si>
    <t>Engineering, Ocean</t>
  </si>
  <si>
    <t>S0FG1</t>
  </si>
  <si>
    <t>WOS:001068008700005</t>
  </si>
  <si>
    <t>Zhao, YX; Tao, J; Li, H; Zuo, QT; He, YX; Du, WB</t>
  </si>
  <si>
    <t>Zhao, Yuxiang; Tao, Jie; Li, He; Zuo, Qiting; He, Yinxing; Du, Weibing</t>
  </si>
  <si>
    <t>Influence of Teleconnection Factors on Extreme Precipitation in Henan Province under Urbanization</t>
  </si>
  <si>
    <t>WATER</t>
  </si>
  <si>
    <t>teleconnection factors; Henan Province; urban extreme precipitation; Granger causality test; urbanization indicators</t>
  </si>
  <si>
    <t>ZHENGZHOU CITY; RAINFALL; PATTERNS; IMPACT</t>
  </si>
  <si>
    <t>Urban extreme precipitation is a typical destructive hydrological event. However, the disaster-causing factors of urban extreme precipitation in Henan Province have rarely been discussed. In this study, daily precipitation data of 11 stations covering a disaster-affected area in 21.7 rainstorm event from 1951 to 2021 and hundreds of climatic indexes set were selected. First, the Granger causality test was adopted to identify the dominant teleconnection factors of extreme precipitation. Then, the effects of teleconnection factors on extreme precipitation in four design frequencies of 10%, 1%, 0.1%, and 0.001% in typical cities of Henan Province were analyzed by using regression and frequency analysis. Finally, the future variation was predicted based on CMIP6. The results show that: (1) The West Pacific 850 mb Trade Wind Index, Antarctic oscillation index, and other factors exert common influence on disaster-affected cities. (2) Teleconnection factors are the dominant force of urban extreme precipitation in most cities (50.3-99.8%), and area of built-up districts, length of roads, area of roads, and botanical garden areas are the key urbanization indicators affecting extreme precipitation. (3) In the future scenarios, the duration and intensity characteristics of urban extreme precipitation will increase, and the growth rate will increase monotonically with the recurrence period.</t>
  </si>
  <si>
    <t>[Zhao, Yuxiang; Tao, Jie; Li, He; Zuo, Qiting] Zhengzhou Univ, Sch Water Conservancy &amp; Transportat, Zhengzhou 450001, Peoples R China; [Zhao, Yuxiang; Tao, Jie; Li, He; Zuo, Qiting] Zhengzhou Univ, Yellow River Ecol Protect &amp; Reg Coordinated Dev Re, Zhengzhou 450001, Peoples R China; [He, Yinxing] Water Conservancy Secur Ctr East Henan, Kaifeng 475000, Peoples R China; [Du, Weibing] Henan Water Divers Engn Co Ltd, Zhengzhou 450003, Peoples R China</t>
  </si>
  <si>
    <t>Zhengzhou University; Zhengzhou University</t>
  </si>
  <si>
    <t>Li, H (corresponding author), Zhengzhou Univ, Sch Water Conservancy &amp; Transportat, Zhengzhou 450001, Peoples R China.;Li, H (corresponding author), Zhengzhou Univ, Yellow River Ecol Protect &amp; Reg Coordinated Dev Re, Zhengzhou 450001, Peoples R China.</t>
  </si>
  <si>
    <t>zhaoyuxiang1998@126.com; taojie2015@zzu.edu.cn; lihe@zzu.edu.cn; zuoqt@zzu.edu.cn</t>
  </si>
  <si>
    <t>qiting, zuo/B-3022-2017</t>
  </si>
  <si>
    <t>qiting, zuo/0000-0002-9760-2360</t>
  </si>
  <si>
    <t>The authors would like to thank the editor and the anonymous reviewers for their comments, which helped improve the quality of the paper.</t>
  </si>
  <si>
    <t>2073-4441</t>
  </si>
  <si>
    <t>WATER-SUI</t>
  </si>
  <si>
    <t>Water</t>
  </si>
  <si>
    <t>10.3390/w15183264</t>
  </si>
  <si>
    <t>Environmental Sciences; Water Resources</t>
  </si>
  <si>
    <t>Environmental Sciences &amp; Ecology; Water Resources</t>
  </si>
  <si>
    <t>S6XY2</t>
  </si>
  <si>
    <t>WOS:001072588800001</t>
  </si>
  <si>
    <t>Marambio, J; Rodríguez, J; Rosenfeld, S; Méndez, F; Ojeda, J; Ocaranza, P; Bischof, K; Mansilla, A</t>
  </si>
  <si>
    <t>Marambio, Johanna; Pablo Rodriguez, Juan; Rosenfeld, Sebastian; Mendez, Fabio; Ojeda, Jaime; Ocaranza, Paula; Bischof, Kai; Mansilla, Andres</t>
  </si>
  <si>
    <t>New ecophysiological perspectives on the kelp Macrocystis pyrifera: generating a basis for sustainability in the sub-Antarctic region</t>
  </si>
  <si>
    <t>FRONTIERS IN MARINE SCIENCE</t>
  </si>
  <si>
    <t>depth; photosynthesis; pigments; seasonality; sporophylls; vegetative blades</t>
  </si>
  <si>
    <t>L. C. AGARDH; PHOTOSYNTHETIC PERFORMANCE; SPATIOTEMPORAL VARIATION; PIGMENT COMPOSITION; BIOSPHERE RESERVE; MAGELLAN REGION; SOUTHERN CHILE; BEAGLE CHANNEL; CENTRAL COAST; CAPE HORN</t>
  </si>
  <si>
    <t>These extensive kelps forest are among the most productive and diverse habitats on the planet, playing an important ecological role in marine ecosystems. These habitats have been affected by anthropogenic factors worldwide and directly by environmental variations resulting from climate change. The Magellan ecoregion has the southernmost kelp forests in the world, dominated by the species Macrocystis pyrifera. This species presents high ecophysiological plasticity being able to inhabit heterogeneous environments, characteristic of the fjord and channel systems of the region, and has high ecological, sociocultural, and economic importance for local coastal communities. To understand the ecophysiological acclimation strategies of M. pyrifera, samples from different blades were collected at different depths at four locations in the Magellan Ecoregion: Possession Bay, Skyring Sound, Otway Sound, and Puerto del Hambre seasonally. Abiotic measurements (salinity, temperature, and PAR light) were carried out for each location sampled. Measurements of photosynthetic parameters, F v/F m, rETRmax, Ek and a; pigment analysis of Chl a, Chl c, and fucoxanthin; and fecundity analysis of the sporophylls of each population studied were carried out on the M. pyrifera sporophytes. Significant differences were observed between seasons, locality, and depth of blades. Each population generally showed different photoacclimation processes, depending on the local conditions such as salinity values and probably tidal cycles. This is reflected in the photosynthetic, pigment, and fecundity values obtained during this study. The higher F v/F m values in all populations during the winter and autumn seasons and the differences in Chl c and fucoxanthin concentration during the winter period in Otway Sound and Puerto del Hambre population suggest the marked seasonal acclimation of M. pyrifera. In addition, the coastal environmental heterogeneity observed in the Magellan ecoregion related to salinity gradients (Skyring Sound) or wide tidal amplitudes (Possession Bay) influences the acclimation strategy of each population of M. pyrifera. Therefore, the characteristics of each population should be considered in order to promote its sustainability in times of social and climate change.</t>
  </si>
  <si>
    <t>[Marambio, Johanna; Pablo Rodriguez, Juan; Rosenfeld, Sebastian; Mendez, Fabio; Ojeda, Jaime; Mansilla, Andres] Univ Magellan, Fac Sci, Lab Antarctic &amp; Subantarct Marine Ecosyst LEMAS, Punta Arenas, Chile; [Marambio, Johanna; Pablo Rodriguez, Juan; Rosenfeld, Sebastian; Mendez, Fabio; Ojeda, Jaime; Mansilla, Andres] Cape Horn Int Ctr CHIC, Puerto Williams, Chile; [Pablo Rodriguez, Juan; Mendez, Fabio] Univ Magellan, PhD Programme Antarctic &amp; Subantarct Sci, Punta Arenas, Chile; [Rosenfeld, Sebastian] Millenium Inst Biodivers Antarctic &amp; Subantarct Ec, Santiago, Chile; [Rosenfeld, Sebastian] Univ Magellan, Res Ctr Gaia Antarct, Punta Arenas, Chile; [Ojeda, Jaime] Univ Victoria, Sch Environm Studies, Victoria, BC, Canada; [Ocaranza, Paula] Austral Univ, Limnol Inst, Valdivia, Chile; [Bischof, Kai] Univ Bremen, Marine Bot, Bremen, Germany</t>
  </si>
  <si>
    <t>University of Victoria; Universidad Austral de Chile; University of Bremen</t>
  </si>
  <si>
    <t>Rodríguez, J; Rosenfeld, S (corresponding author), Univ Magellan, Fac Sci, Lab Antarctic &amp; Subantarct Marine Ecosyst LEMAS, Punta Arenas, Chile.;Rodríguez, J; Rosenfeld, S (corresponding author), Cape Horn Int Ctr CHIC, Puerto Williams, Chile.;Rodríguez, J (corresponding author), Univ Magellan, PhD Programme Antarctic &amp; Subantarct Sci, Punta Arenas, Chile.;Rosenfeld, S (corresponding author), Millenium Inst Biodivers Antarctic &amp; Subantarct Ec, Santiago, Chile.;Rosenfeld, S (corresponding author), Univ Magellan, Res Ctr Gaia Antarct, Punta Arenas, Chile.</t>
  </si>
  <si>
    <t>sebastian.rosenfeld@umag.cl</t>
  </si>
  <si>
    <t>Project FONDEF IDEA [ID23I10288]; Cape Horn International Center (CHIC) Project ANID/BASAL [FB210018]; Project ANID-Millennium Science Initiative Program [ICN2021_002]; INACH Project [DG-10_22]</t>
  </si>
  <si>
    <t>Project FONDEF IDEA(Comision Nacional de Investigacion Cientifica y Tecnologica (CONICYT)CONICYT FONDEF); Cape Horn International Center (CHIC) Project ANID/BASAL; Project ANID-Millennium Science Initiative Program; INACH Project</t>
  </si>
  <si>
    <t>The authors wish to thank Project FONDEF IDEA ID23I10288 Determination of the spectral footprint of kelp forests and associated flora to quantify and assess carbon pools and fluxes in marine ecosystems in the sub-Antarctic region of Magallanes and the project Funding from the Cape Horn International Center (CHIC) Project ANID/BASAL FB210018. SR would like to thank the Project ANID-Millennium Science Initiative Program-ICN2021_002 and the INACH Project DG-10_22. The present study was part of the Master thesis presented by the first author to the Graduate Program of Science in Management and Conservation of Natural Resources in Sub-Antarctic Environments, Punta Arenas, Chile.</t>
  </si>
  <si>
    <t>FRONTIERS MEDIA SA</t>
  </si>
  <si>
    <t>LAUSANNE</t>
  </si>
  <si>
    <t>AVENUE DU TRIBUNAL FEDERAL 34, LAUSANNE, CH-1015, SWITZERLAND</t>
  </si>
  <si>
    <t>2296-7745</t>
  </si>
  <si>
    <t>FRONT MAR SCI</t>
  </si>
  <si>
    <t>Front. Mar. Sci.</t>
  </si>
  <si>
    <t>10.3389/fmars.2023.1222178</t>
  </si>
  <si>
    <t>Environmental Sciences; Marine &amp; Freshwater Biology</t>
  </si>
  <si>
    <t>Environmental Sciences &amp; Ecology; Marine &amp; Freshwater Biology</t>
  </si>
  <si>
    <t>R9YC7</t>
  </si>
  <si>
    <t>WOS:001067823300001</t>
  </si>
  <si>
    <t>Liu, J; Meucci, A; Young, IR</t>
  </si>
  <si>
    <t>Liu, Jin; Meucci, Alberto; Young, Ian R.</t>
  </si>
  <si>
    <t>A Comparison of Multiple Approaches to Study the Modulation of Ocean Waves Due To Climate Variability</t>
  </si>
  <si>
    <t>JOURNAL OF GEOPHYSICAL RESEARCH-OCEANS</t>
  </si>
  <si>
    <t>wave climate; climate indexes; EOF; ENSO; AAO; AO</t>
  </si>
  <si>
    <t>SURFACE TEMPERATURE VARIABILITY; SOUTHERN ANNULAR MODE; SOURCE TERMS; IMPACTS; WIND; ATLANTIC; ENERGY; OSCILLATION; PERIODICITY; PATTERNS</t>
  </si>
  <si>
    <t>Using multiple approaches, the modulation of climate variability on global ocean waves from 1981 to 2020 is investigated based on a wave hindcast model forced by ERA5 winds. These climate variabilities include El Nino-Southern Oscillation (ENSO), Antarctic Oscillation (AAO), Arctic Oscillation (AO), Pacific Decadal Oscillation (PDO), Atlantic Multidecadal Oscillation (AMO), and Indian Ocean Dipole. Linear regression and composite analysis results indicate that El Nino-induced low-pressure systems in December-February (DJF) generate energetic waves in the Pacific Ocean. Positive AAO events are associated with the southward movement of westerlies in the Southern Hemisphere and thus produce long-period Southern Ocean swell that impacts the South Pacific Ocean. In the Northern Hemisphere, positive AO is associated with strengthening winds which generate larger waves around the Icelandic region. An empirical orthogonal function approach was further undertaken to study interannual variability of significant wave height (H-s) anomalies. In DJF, mode 1 marks the impacts of ENSO and PDO in the Pacific Ocean and AO in the North Atlantic Ocean. Mode 2 is controlled by AO, which is characterized by a dipole pattern in the North Atlantic Ocean. Mode 3 describes the AAO footprints in the Southern Ocean and the eastern Pacific Ocean. In June-August, the leading mode is influenced by AAO and AMO. Mode 2 indicates the importance of ENSO and PDO which exhibit opposite patterns in the Pacific Ocean sector of the Southern Ocean. Finally, a wavelet coherence analysis is conducted on the principal components and climate indexes, which shows their respective evolutions over the time-frequency domain.</t>
  </si>
  <si>
    <t>[Liu, Jin; Meucci, Alberto; Young, Ian R.] Univ Melbourne, Dept Infrastruct Engn, Melbourne, Vic, Australia</t>
  </si>
  <si>
    <t>Melbourne Genomics Health Alliance; University of Melbourne</t>
  </si>
  <si>
    <t>Young, IR (corresponding author), Univ Melbourne, Dept Infrastruct Engn, Melbourne, Vic, Australia.</t>
  </si>
  <si>
    <t>ian.young@unimelb.edu.au</t>
  </si>
  <si>
    <t>Meucci, Alberto/L-6238-2019; Liu, Jin/HJO-8978-2023; Young, Ian/E-7385-2011</t>
  </si>
  <si>
    <t>Meucci, Alberto/0000-0002-0278-756X; Liu, Jin/0000-0001-7415-3729; Young, Ian/0000-0003-2233-9227</t>
  </si>
  <si>
    <t>Melbourne Research Scholarship of the University of Melbourne</t>
  </si>
  <si>
    <t>We wish to thank Torrence and Compo (1998) for access to their wavelet analysis codes (https://paos.colorado.edu/research/wavelets). We acknowledge Q. Liu et al. (2021) for providing access to their global wave hindcast data. This study was financially supported by the Melbourne Research Scholarship of the University of Melbourne. Open access publishing facilitated by The University of Melbourne, as part of the Wiley - The University of Melbourne agreement via the Council of Australian University Librarians.</t>
  </si>
  <si>
    <t>2169-9275</t>
  </si>
  <si>
    <t>2169-9291</t>
  </si>
  <si>
    <t>J GEOPHYS RES-OCEANS</t>
  </si>
  <si>
    <t>J. Geophys. Res.-Oceans</t>
  </si>
  <si>
    <t>e2023JC019843</t>
  </si>
  <si>
    <t>10.1029/2023JC019843</t>
  </si>
  <si>
    <t>R9WO9</t>
  </si>
  <si>
    <t>WOS:001067783500001</t>
  </si>
  <si>
    <t>Stoppiello, GA; Coleine, C; Moeller, R; Ripa, C; Billi, D; Selbmann, L</t>
  </si>
  <si>
    <t>Stoppiello, Gerardo A.; Coleine, Claudia; Moeller, Ralf; Ripa, Caterina; Billi, Daniela; Selbmann, Laura</t>
  </si>
  <si>
    <t>Seasonality Is the Main Determinant of Microbial Diversity Associated to Snow/Ice around Concordia Station on the Antarctic Polar Plateau</t>
  </si>
  <si>
    <t>BIOLOGY-BASEL</t>
  </si>
  <si>
    <t>Antarctic Polar Plateau; extremophiles; life detection; fungi; bacteria; amplicon sequencing; extraterrestrial analogue</t>
  </si>
  <si>
    <t>SP NOV.; COMMUNITY; YEASTS</t>
  </si>
  <si>
    <t>Simple Summary The Antarctic Polar Plateau is one of the most extreme environments on Earth and our knowledge on the microbial diversity inhabiting this region is still limited. The BacFinder project investigated microbial diversity on the snow surface of the Polar Plateau, focusing on the vicinity of the Concordia Antarctic Research Station, to assess the microbial diversity and the potential impact of human presence on such a pristine environment. We found that seasonality was the main driver for both bacterial and fungal assemblages, while biodiversity appeared unaffected by distance from the base. Amplicon sequencing revealed a predominance of Basidiomycota (49%) and Ascomycota (42%) for the fungal component. Bacteroidota (65.8%) is the main representative of the bacterial component. Basidiomycetes are almost exclusively represented by yeast-like fungi. Overall, the study highlighted the impact of human activity on the microbial composition in this environment and may provide critical information on the habitability of extra-terrestrial analogs on our planet and on the possibility to explore the surfaces of icy worlds.Abstract The French-Italian Concordia Research Station, situated on the Antarctic Polar Plateau at an elevation of 3233 m above sea level, offers a unique opportunity to study the presence and variation of microbes introduced by abiotic or biotic vectors and, consequently, appraise the amplitude of human impact in such a pristine environment. This research built upon a previous work, which explored microbial diversity in the surface snow surrounding the Concordia Research Station. While that study successfully characterized the bacterial assemblage, detecting fungal diversity was hampered by the low DNA content. To address this knowledge gap, in the present study, we optimized the sampling by increasing ice/snow collected to leverage the final DNA yield. The V4 variable region of the 16S rDNA and Internal Transcribed Spacer (ITS1) rDNA was used to evaluate bacterial and fungal diversity. From the sequencing, we obtained 3,352,661 and 4,433,595 reads clustered in 930 and 3182 amplicon sequence variants (ASVs) for fungi and bacteria, respectively. Amplicon sequencing revealed a predominance of Basidiomycota (49%) and Ascomycota (42%) in the fungal component; Bacteroidota (65.8%) is the main representative among the bacterial phyla. Basidiomycetes are almost exclusively represented by yeast-like fungi. Our findings provide the first comprehensive overview of both fungal and bacterial diversity in the Antarctic Polar Plateau's surface snow/ice near Concordia Station and to identify seasonality as the main driver of microbial diversity; we also detected the most sensitive microorganisms to these factors, which could serve as indicators of human impact in this pristine environment and aid in planetary protection for future exploration missions.</t>
  </si>
  <si>
    <t>[Stoppiello, Gerardo A.; Coleine, Claudia; Ripa, Caterina; Selbmann, Laura] Univ Tuscia, Dept Ecol &amp; Biol Sci, I-01100 Viterbo, Italy; [Moeller, Ralf] German Aerosp Ctr DLR eV, Inst Aerosp Med, Radiat Biol Dept, Aerosp Microbiol Res Grp, D-51103 Cologne, Germany; [Moeller, Ralf] Univ Appl Sci Bonn Rhein Sieg, Dept Nat Sci, D-53359 Rheinbach, Germany; [Billi, Daniela] Univ Roma Tor Vergata, Dept Biol, I-00133 Rome, Italy; [Selbmann, Laura] Italian Antarctic Natl Museum MNA, Mycol Sect, I-16128 Genoa, Italy</t>
  </si>
  <si>
    <t>Tuscia University; Helmholtz Association; German Aerospace Centre (DLR); Hochschule Bonn Rhein Sieg; University of Rome Tor Vergata</t>
  </si>
  <si>
    <t>Coleine, C (corresponding author), Univ Tuscia, Dept Ecol &amp; Biol Sci, I-01100 Viterbo, Italy.;Billi, D (corresponding author), Univ Roma Tor Vergata, Dept Biol, I-00133 Rome, Italy.</t>
  </si>
  <si>
    <t>stoppiello@unitus.it; coleine@unitus.it; ralf.moeller@dlr.de; cripa@unitus.it; billi@uniroma2.it; selbmann@unitus.it</t>
  </si>
  <si>
    <t>Coleine, Claudia/AAE-1889-2020; Selbmann, Laura/L-3056-2013</t>
  </si>
  <si>
    <t>Coleine, Claudia/0000-0002-9289-6179; Selbmann, Laura/0000-0002-8967-3329; Stoppiello, Gerardo Antonio/0000-0002-2158-3802; BILLI, DANIELA/0000-0002-9363-2415; Moeller, Ralf/0000-0002-2371-0676</t>
  </si>
  <si>
    <t>The authors thank Giuditta Celli and Laura Caiazzo for the sampling campaign.</t>
  </si>
  <si>
    <t>2079-7737</t>
  </si>
  <si>
    <t>Biology-Basel</t>
  </si>
  <si>
    <t>10.3390/biology12091193</t>
  </si>
  <si>
    <t>Biology</t>
  </si>
  <si>
    <t>Life Sciences &amp; Biomedicine - Other Topics</t>
  </si>
  <si>
    <t>S9PL8</t>
  </si>
  <si>
    <t>Green Accepted, gold, Green Published</t>
  </si>
  <si>
    <t>WOS:001074411600001</t>
  </si>
  <si>
    <t>Tersigni, I; Alberello, A; Messori, G; Vichi, M; Onorato, M; Toffoli, A</t>
  </si>
  <si>
    <t>Tersigni, Ippolita; Alberello, Alberto; Messori, Gabriele; Vichi, Marcello; Onorato, Miguel; Toffoli, Alessandro</t>
  </si>
  <si>
    <t>High-Resolution Thermal Imaging in the Antarctic Marginal Ice Zone: Skin Temperature Heterogeneity and Effects on Heat Fluxes</t>
  </si>
  <si>
    <t>EARTH AND SPACE SCIENCE</t>
  </si>
  <si>
    <t>SEA-ICE; SURFACE TEMPERATURES; COASTAL POLYNYAS; COUPLED OCEAN; VARIABILITY; ALGORITHMS; EXCHANGE; EDGE</t>
  </si>
  <si>
    <t>Insufficient in situ observations from the Antarctic marginal ice zone (MIZ) limit our understanding and description of relevant mechanical and thermodynamic processes that regulate the seasonal sea ice cycle. Here we present high-resolution thermal images of the ocean surface and complementary measurements of atmospheric variables that were acquired underway during one austral winter and one austral spring expedition in the Atlantic and Indian sectors of the Southern Ocean. Skin temperature data and ice cover images were used to estimate the partitioning of the heterogeneous surface and calculate the heat fluxes to compare with ERA5 reanalyses. The winter MIZ was composed of different but relatively regularly distributed sea ice types with sharp thermal gradients. The surface-weighted skin temperature compared well with the reanalyses due to a compensation of errors between the sea ice fraction and the ice floe temperature. These uncertainties determine the dominant source of inaccuracy for heat fluxes as computed from observed variables. In spring, the sea ice type distribution was more irregular, with alternation of sea ice cover and large open water fractions even 400 km from the ice edge. The skin temperature distribution was more homogeneous and did not produce substantial uncertainties in heat fluxes. The discrepancies relative to reanalysis data are however larger than in winter and are attributed to biases in the atmospheric variables, with the downward solar radiation being the most critical.</t>
  </si>
  <si>
    <t>[Tersigni, Ippolita; Toffoli, Alessandro] Univ Melbourne, Dept Infrastruct Engn, Parkville, Vic, Australia; [Alberello, Alberto] Univ East Anglia, Sch Math, Norwich, England; [Messori, Gabriele] Uppsala Univ, Dept Earth Sci, Uppsala, Sweden; [Messori, Gabriele] Uppsala Univ, Ctr Nat Hazards &amp; Disaster Sci CNDS, Uppsala, Sweden; [Messori, Gabriele] Stockholm Univ, Dept Meteorol, Stockholm, Sweden; [Messori, Gabriele] Stockholm Univ, Bolin Ctr Climate Res, Stockholm, Sweden; [Vichi, Marcello] Univ Cape Town, Dept Oceanog, Cape Town, South Africa; [Vichi, Marcello] Univ Cape Town, Marine &amp; Antarctic Res Ctr Innovat &amp; Sustainabil, Cape Town, South Africa; [Onorato, Miguel] Univ Torino, Dipartimento Fis, Turin, Italy; [Onorato, Miguel] INFN, Sez Torino, Turin, Italy</t>
  </si>
  <si>
    <t>University of Melbourne; University of East Anglia; Uppsala University; Centre of Natural Hazards &amp; Disaster Science (CNDS); Uppsala University; Stockholm University; University of Cape Town; University of Cape Town; University of Turin; Istituto Nazionale di Fisica Nucleare (INFN)</t>
  </si>
  <si>
    <t>Tersigni, I; Toffoli, A (corresponding author), Univ Melbourne, Dept Infrastruct Engn, Parkville, Vic, Australia.</t>
  </si>
  <si>
    <t>ippolita.tersigni@gmail.com; toffoli.alessandro@gmail.com</t>
  </si>
  <si>
    <t>; Vichi, Marcello/B-8719-2008</t>
  </si>
  <si>
    <t>Toffoli, Alessandro/0000-0003-3112-6856; Vichi, Marcello/0000-0002-0686-9634</t>
  </si>
  <si>
    <t>South African National Antarctic Programme through the National Research Foundation; ACE Foundation; Ferring Pharmaceuticals; Australian Antarctic Science Program [4434]; Japanese Society for the Promotion of Science [PE19055]; London Mathematical Society [552206]; Australia Research Council [DP200102828]; NRF SANAP [UID118745]; Swedish Foundation for International Cooperation in Research and Higher Education [SA2017-7063]</t>
  </si>
  <si>
    <t>South African National Antarctic Programme through the National Research Foundation; ACE Foundation; Ferring Pharmaceuticals(Ferring Pharmaceuticals); Australian Antarctic Science Program; Japanese Society for the Promotion of Science(Ministry of Education, Culture, Sports, Science and Technology, Japan (MEXT)Japan Society for the Promotion of Science); London Mathematical Society; Australia Research Council(Australian Research Council); NRF SANAP; Swedish Foundation for International Cooperation in Research and Higher Education</t>
  </si>
  <si>
    <t>The expeditions were funded by the South African National Antarctic Programme through the National Research Foundation. AA and AT were funded by the ACE Foundation and Ferring Pharmaceuticals and the Australian Antarctic Science Program (project 4434). AA acknowledges support from the Japanese Society for the Promotion of Science (PE19055) and the London Mathematical Society (Scheme 552206). AT acknowledges support from the Australia Research Council (DP200102828). MV was supported by the NRF SANAP contract UID118745. GM acknowledges support from the Swedish Foundation for International Cooperation in Research and Higher Education (project no. SA2017-7063). IT and AT thank Dr J. Bidlot (ECMWF) and Dr L. Aouf (Meteo France) for support with the ERA5 products. We are indebted to Captain Knowledge Bengu and the crew of the SA Agulhas II for their invaluable contribution to data collection We acknowledge Dr L. Fascette for technical support. We also acknowledge the anonymous reviewers for constructive comments and suggestions. Open access publishing facilitated by The University of Melbourne, as part of the Wiley - The University of Melbourne agreement via the Council of Australian University Librarians.</t>
  </si>
  <si>
    <t>2333-5084</t>
  </si>
  <si>
    <t>EARTH SPACE SCI</t>
  </si>
  <si>
    <t>Earth Space Sci.</t>
  </si>
  <si>
    <t>e2023EA003078</t>
  </si>
  <si>
    <t>10.1029/2023EA003078</t>
  </si>
  <si>
    <t>Astronomy &amp; Astrophysics; Geosciences, Multidisciplinary</t>
  </si>
  <si>
    <t>Astronomy &amp; Astrophysics; Geology</t>
  </si>
  <si>
    <t>R8KV9</t>
  </si>
  <si>
    <t>gold, Green Submitted, Green Published, Green Accepted</t>
  </si>
  <si>
    <t>WOS:001066800300001</t>
  </si>
  <si>
    <t>Hidalgo-Arias, A; Muñoz-Hisado, V; Valles, P; Geyer, A; Garcia-Lopez, E; Cid, C</t>
  </si>
  <si>
    <t>Hidalgo-Arias, Andrea; Munoz-Hisado, Victor; Valles, Pilar; Geyer, Adelina; Garcia-Lopez, Eva; Cid, Cristina</t>
  </si>
  <si>
    <t>Adaptation of the Endolithic Biome in Antarctic Volcanic Rocks</t>
  </si>
  <si>
    <t>endolithic microorganisms; Deception Island; extremophiles; volcanic rock; 16S/18S rRNA sequencing; bioinformatics; astrobiology</t>
  </si>
  <si>
    <t>DECEPTION ISLAND; LIFE; PALEOMAGNETISM; MICROORGANISMS; TERRESTRIAL; EVOLUTION; COMMUNITY; HISTORY; FUNGI</t>
  </si>
  <si>
    <t>Endolithic microorganisms, ranging from microeukaryotes to bacteria and archaea, live within the cracks and crevices of rocks. Deception Island in Antarctica constitutes an extreme environment in which endoliths face environmental threats such as intense cold, lack of light in winter, high solar radiation in summer, and heat emitted as the result of volcanic eruptions. In addition, the endolithic biome is considered the harshest one on Earth, since it suffers added threats such as dryness or lack of nutrients. Even so, samples from this hostile environment, collected at various points throughout the island, hosted diverse and numerous microorganisms such as bacteria, fungi, diatoms, ciliates, flagellates and unicellular algae. These endoliths were first identified by Scanning Electron Microscopy (SEM). To understand the molecular mechanisms of adaptation of these endoliths to their environment, genomics techniques were used, and prokaryotic and eukaryotic microorganisms were identified by metabarcoding, sequencing the V3-V4 and V4-V5 regions of the 16S and 18S rRNA genes, respectively. Subsequently, the sequences were analyzed by bioinformatic methods that allow their metabolism to be deduced from the taxonomy. The results obtained concluded that some of these microorganisms have activated the biosynthesis routes of pigments such as prodigiosin or flavonoids. These adaptation studies also revealed that microorganisms defend themselves against environmental toxins by activating metabolic pathways for the degradation of compounds such as ethylbenzene, xylene and dioxins and for the biosynthesis of antioxidant molecules such as glutathione. Finally, these Antarctic endolithic microorganisms are of great interest in astrobiology since endolithic settings are environmentally analogous to the primitive Earth or the surfaces of extraterrestrial bodies.</t>
  </si>
  <si>
    <t>[Hidalgo-Arias, Andrea; Munoz-Hisado, Victor; Garcia-Lopez, Eva; Cid, Cristina] CSIC INTA, Ctr Astrobiol CAB, Madrid 28850, Spain; [Valles, Pilar] Natl Inst Aerosp Technol INTA, Mat &amp; Struct Dept, Madrid 28850, Spain; [Geyer, Adelina] CSIC, Geosci Barcelona GEO3BCN, Lluis Sole Sabaris s-n, Barcelona 08028, Spain</t>
  </si>
  <si>
    <t>Consejo Superior de Investigaciones Cientificas (CSIC); CSIC - Centro de Astrobiologia (INTA); Consejo Superior de Investigaciones Cientificas (CSIC)</t>
  </si>
  <si>
    <t>Cid, C (corresponding author), CSIC INTA, Ctr Astrobiol CAB, Madrid 28850, Spain.</t>
  </si>
  <si>
    <t>andhid01@ucm.es; vmhisado@cab.inta-csic.es; vallesgp@inta.es; ageyer@geo3bcn.csic.es; evanit3@hotmail.com; cidsc@inta.es</t>
  </si>
  <si>
    <t>Geyer, Adelina/C-9490-2011; Cid, Cristina/R-6821-2018; Geyer, Adelina/A-6624-2012</t>
  </si>
  <si>
    <t>Cid, Cristina/0000-0001-5128-4558; Munoz Hisado, Victor Ignacio/0000-0002-5985-5885; Hidalgo-Arias, Andrea/0009-0004-5127-8480; Geyer, Adelina/0000-0002-8803-6504</t>
  </si>
  <si>
    <t>Spanish State Research Agency (AEI) [PID2019-104205GB-C22, CTM2016-79617-P, CGL2015-72629-EXP, PID2020-114876GB-I00, MDM-2017-0737]; Centro de Astrobiologia (CAB); CSIC-INTA; MCIN/AEI; [PTA2016-12325-I]</t>
  </si>
  <si>
    <t>Spanish State Research Agency (AEI)(Spanish Government); Centro de Astrobiologia (CAB); CSIC-INTA; MCIN/AEI;</t>
  </si>
  <si>
    <t>This research has been funded by the Spanish State Research Agency (AEI), Projects No. PID2019-104205GB-C22, POSVOLDEC (CTM2016-79617-P) (AEI/FEDER-UE), VOLCLIMA (CGL2015-72629-EXP), HYDROCAL (PID2020-114876GB-I00) and MDM-2017-0737, Centro de Astrobiologia (CAB), CSIC-INTA, Unidad de Excelencia Maria de Maeztu financed by MCIN/AEI/10.13039/501100011033/. Eva Garcia-Lopez is the recipient of a Fellowship (PTA2016-12325-I).</t>
  </si>
  <si>
    <t>10.3390/ijms241813824</t>
  </si>
  <si>
    <t>S9CP1</t>
  </si>
  <si>
    <t>WOS:001074076200001</t>
  </si>
  <si>
    <t>Lim, SM; van Dijken, GL; Arrigo, KR</t>
  </si>
  <si>
    <t>Lim, Stephanie M.; van Dijken, Gert L.; Arrigo, Kevin R.</t>
  </si>
  <si>
    <t>Spatial and Interannual Variability of Antarctic Sea Ice Bottom Algal Habitat, 2004-2019</t>
  </si>
  <si>
    <t>sea ice; algae; habitat; Antarctic; Southern Ocean</t>
  </si>
  <si>
    <t>TERRA-NOVA BAY; OCEAN HEAT-FLUX; ROSS SEA; SOUTHERN-OCEAN; MCMURDO SOUND; SNOW; COMMUNITIES; DISTRIBUTIONS; TEMPERATURE; BIOMASS</t>
  </si>
  <si>
    <t>In the Antarctic, sea ice algae use the highly dynamic sea ice as a platform for growth. Antarctic sea ice extent has recently been highly variable, first showing a slight increase and then a record decrease starting in 2016. We investigated the response of Antarctic ice algal habitat to variations in sea ice and other environmental forcings during 2004-2019. Combining an ice growth model, remote sensing and reanalysis data, and a radiative transfer model, we assessed whether light penetration to the bottom ice was sufficient for ice algal growth. Trends in the inputs over the 16 years were relatively small: there were no changes in ice thickness or bottom ice melt date, a 6.4% decrease in snow depth, a 1.2% decrease in incident light, and a 0.8 &amp; DEG;C decrease in air temperatures. Eighty-one percent of the sea ice cover was habitable by ice algae for &amp; GE;14 days each year. The Antarctic has a larger extent and duration of potential ice algal habitat than the Arctic. Over time, the spatially averaged seasonal duration of habitat increased because a higher proportion of each pixel became habitable on average, compensating for the 2016-2019 reduction in sea ice extent. The spatial variability in potential habitat was strikingly high, even within geographic sectors. Bottom ice melt date (bloom termination) far surpassed other environmental factors in explaining variation (45%) in ice algal habitat on the 25 km scale. Because melt date depends on the ice-atmosphere heat balance, Antarctic ice algal habitat may be highly sensitive to future climate changes. Sea ice algae are single-celled photosynthetic organisms that grow within or at the bottom of sea ice. They tend to bloom early in the spring each year before other carbon fixers and are therefore an important food source for small marine animals. We examined how ice algae responded to spatial and temporal changes in the Antarctic environment during 2004-2019, a period that featured large swings in the amount of area covered by sea ice. We paired satellite data, which can measure where sea ice is and the depth of the snow on top of the ice, with other atmospheric data (e.g., incoming sunlight and air temperature) from models and observations to estimate where and when sea ice was potential algal habitat. There were some increases in habitable sea ice, but more importantly, we found that the spatial distribution of habitat was very patchy. This spatial unevenness suggests that whether or not sea ice is habitable is highly affected by relatively small changes in the environment and that ice algae may be quite sensitive to future climate changes. About 81% of Antarctic sea ice cover transmitted sufficient light to the bottom ice to support &amp; GE;2 weeks of net ice algal growth each yearAn increase in the proportion of habitable area prevented a decline in potential habitat during the 2016-2019 reduction in sea ice areaPotential habitat was highly spatially variable and best explained by bottom ice melt date. It is likely sensitive to future climate change</t>
  </si>
  <si>
    <t>[Lim, Stephanie M.; van Dijken, Gert L.; Arrigo, Kevin R.] Stanford Univ, Dept Earth Syst Sci, Stanford, CA 94305 USA</t>
  </si>
  <si>
    <t>Stanford University</t>
  </si>
  <si>
    <t>Lim, SM (corresponding author), Stanford Univ, Dept Earth Syst Sci, Stanford, CA 94305 USA.</t>
  </si>
  <si>
    <t>smlim@stanford.edu</t>
  </si>
  <si>
    <t>Van Dijken, Gert/0000-0002-9587-6317; Arrigo, Kevin/0000-0002-7364-876X; Lim, Stephanie/0000-0002-0684-914X</t>
  </si>
  <si>
    <t>National Science Foundation [DGE-1656518]; Stanford Graduate Fellowship (Ford Foundation)</t>
  </si>
  <si>
    <t>National Science Foundation(National Science Foundation (NSF)); Stanford Graduate Fellowship (Ford Foundation)</t>
  </si>
  <si>
    <t>Thank you to the two anonymous reviewers for their feedback, which helped improve this work. We also thank Earle Wilson and Leif Thomas for discussing the ice model and validation. S.M.L. was funded by the National Science Foundation Graduate Research Fellowship Program Grant DGE-1656518 and a Stanford Graduate Fellowship (Ford Foundation Fellow).</t>
  </si>
  <si>
    <t>e2023JC020055</t>
  </si>
  <si>
    <t>10.1029/2023JC020055</t>
  </si>
  <si>
    <t>R8PB7</t>
  </si>
  <si>
    <t>WOS:001066910600001</t>
  </si>
  <si>
    <t>Itani, R; Conde, M</t>
  </si>
  <si>
    <t>Itani, R.; Conde, M.</t>
  </si>
  <si>
    <t>Wavelike Oscillations in High Latitude Thermospheric Doppler Temperature and Line-Of-Sight Wind Observed Using All-Sky Imaging Fabry-Perot Spectrometers</t>
  </si>
  <si>
    <t>upper atmosphere; gravity waves; line of sight winds; thermospheric winds; thermospheric temperature; Fabry-Perot interferometer</t>
  </si>
  <si>
    <t>ATMOSPHERIC GRAVITY-WAVES; PROPAGATION; GENERATION; DYNAMICS; AURORA</t>
  </si>
  <si>
    <t>Multiple years of thermospheric wind and temperature data were examined to study gravity waves in Earth's thermosphere. Winds and temperatures were measured using all-sky imaging optical Doppler spectrometers deployed at two sites in Alaska, and three in Antarctica. For all sites, oscillatory perturbations were clearly present in high-pass temporally filtered F-region line-of-sight (LOS) winds for the majority of the clear-sky nights. Oscillations were also discernible in E-region LOS wind and F-region Doppler temperature, albeit less frequently. Oscillation amplitudes correlated strongly with auroral and geomagnetic activity. Observed wave signatures also correlated strongly between geographically nearby observing sites. Amplitudes of LOS wind oscillations were usually small when viewed in the zenith and increased approximately with the sine of the zenith angle-as expected if the underlying motion is predominantly horizontal. Scanning Doppler Imager instruments observe in many look directions simultaneously. Phase relationships between perturbations observed in different look directions were used to identify time intervals when the oscillations were likely to be due to traveling waves. However, a number of instances were noted in which the oscillations had characteristics suggesting geophysical mechanisms other than traveling waves-a recognition that was only possible because of the large number of look directions. Lomb-Scargle analysis was used on a representative subset of days to resolve the spectral distributions of the wind and temperature oscillations. F-region wind oscillations on days analyzed this way exhibited periods typically ranging from 60 min and above. By contrast, E-region wind oscillation periods were as short as 30 min.</t>
  </si>
  <si>
    <t>[Itani, R.; Conde, M.] Univ Alaska Fairbanks, Geophys Inst, Fairbanks, AK 99775 USA</t>
  </si>
  <si>
    <t>University of Alaska System; University of Alaska Fairbanks</t>
  </si>
  <si>
    <t>Itani, R (corresponding author), Univ Alaska Fairbanks, Geophys Inst, Fairbanks, AK 99775 USA.</t>
  </si>
  <si>
    <t>ritani@alaska.edu</t>
  </si>
  <si>
    <t>Itani, Rajan/0000-0003-2568-1482</t>
  </si>
  <si>
    <t>NSF [1341545, 1452333]</t>
  </si>
  <si>
    <t>NSF(National Science Foundation (NSF))</t>
  </si>
  <si>
    <t>This research was supported by NSF award numbers 1341545 and 1452333. Magnetometer observations used in this work were provided by Geosciences Australia (Mawson), the New Zealand Antarctic Program (Scott Base), and the US Geological Survey (College), and accessed via the archive maintained by the International INTERMAGNET program (www.intermagnet.org). We also thank INTERMAGNET for promoting high standards of magnetic observatory practice.</t>
  </si>
  <si>
    <t>e2022JA031069</t>
  </si>
  <si>
    <t>10.1029/2022JA031069</t>
  </si>
  <si>
    <t>R8IZ4</t>
  </si>
  <si>
    <t>hybrid, Green Published</t>
  </si>
  <si>
    <t>WOS:001066751300001</t>
  </si>
  <si>
    <t>Weith, B; Leitl, M</t>
  </si>
  <si>
    <t>Weith, Barbara; Leitl, Martin</t>
  </si>
  <si>
    <t>Medical Work at the Princess Elisabeth Antarctic Station</t>
  </si>
  <si>
    <t>DEUTSCHE MEDIZINISCHE WOCHENSCHRIFT</t>
  </si>
  <si>
    <t>German</t>
  </si>
  <si>
    <t>[Weith, Barbara] Int Polar Fdn, Rue veterinaires 42B-1, B-1070 Brussels, Belgium</t>
  </si>
  <si>
    <t>Weith, B (corresponding author), Int Polar Fdn, Rue veterinaires 42B-1, B-1070 Brussels, Belgium.</t>
  </si>
  <si>
    <t>GEORG THIEME VERLAG KG</t>
  </si>
  <si>
    <t>STUTTGART</t>
  </si>
  <si>
    <t>RUDIGERSTR 14, D-70469 STUTTGART, GERMANY</t>
  </si>
  <si>
    <t>0012-0472</t>
  </si>
  <si>
    <t>1439-4413</t>
  </si>
  <si>
    <t>DEUT MED WOCHENSCHR</t>
  </si>
  <si>
    <t>Dtsch. Med. Wochenschr.</t>
  </si>
  <si>
    <t>10.1055/a-2118-1767</t>
  </si>
  <si>
    <t>Medicine, General &amp; Internal</t>
  </si>
  <si>
    <t>General &amp; Internal Medicine</t>
  </si>
  <si>
    <t>S1WP4</t>
  </si>
  <si>
    <t>WOS:001069147100017</t>
  </si>
  <si>
    <t>Puccinelli, E; Fawcett, SE; Flynn, RF; Burger, JM; Delebecq, G; Duquesne, N; Lambert, C; Little, H; Pecquerie, L; Sardenne, F; Wallschuss, S; Soudant, P</t>
  </si>
  <si>
    <t>Puccinelli, Eleonora; Fawcett, Sarah E.; Flynn, Raquel F.; Burger, Jessica M.; Delebecq, Gaspard; Duquesne, Nolwenn; Lambert, Christophe; Little, Hazel; Pecquerie, Laure; Sardenne, Fany; Wallschuss, Sina; Soudant, Philippe</t>
  </si>
  <si>
    <t>Are Upwelling Systems an Underestimated Source of Long Chain Omega-3 in the Ocean? The Case of the Southern Benguela Upwelling System</t>
  </si>
  <si>
    <t>JOURNAL OF GEOPHYSICAL RESEARCH-BIOGEOSCIENCES</t>
  </si>
  <si>
    <t>fatty acid; nitrogen cycling; food web; upwelling; phytoplankton productivity; nanoplankton</t>
  </si>
  <si>
    <t>NITROGEN ISOTOPE FRACTIONATION; SHORT-TERM VARIABILITY; FATTY-ACID-COMPOSITION; NITRATE ASSIMILATION; ANCHOR STATION; CHLOROPHYLL-A; PHYTOPLANKTON; MARINE; AMMONIUM; LIGHT</t>
  </si>
  <si>
    <t>The Benguela upwelling system (BUS) is one of the world's most productive ecosystems, supporting globally relevant fisheries. The BUS marine community is modulated by the availability of nutrients and omega-3 long chain polyunsaturated fatty acid (hereafter, LC omega-3). Phytoplankton growth in the BUS can be supported by upwelled nitrate, a new nitrogen (N) source to the surface, or by recycled N such as ammonium. Preferential assimilation of one N source over another may yield differences in LC omega-3 production between high and low food-quality species. To evaluate how upwelling and the N source(s) consumed by phytoplankton influence LC omega-3 production, we sampled a BUS anchor station daily for 10 days. Upwelling on days 5-7 supplied high concentrations of nutrients to the surface, while pre- and post-upwelling, surface waters were stratified and nutrient concentrations were low. LC omega-3 and phytoplankton concentrations were near-zero during upwelling, and elevated pre- and post-upwelling. Throughout our sampling, nanoplankton (2.7-10 mu m) dominated primary production (30-95%), relying mainly on nitrate to support their growth. Surface LC omega-3 concentrations reached peaks of 215 and 175 mu g L-1 pre- and post-upwelling, up to 10 times higher than previous measurements from the BUS (&lt;5 mu g L-1). Pre-upwelling, non-diatom trophic markers (18:1n - 9, 18:4n - 3, 18:5n - 3) were dominant, with a switch over just two days to diatom trophic markers post-upwelling (16:1n - 7, 16:2n - 4, 16:2n - 7, 16:3n - 4, 16:4n - 1). This study reveals the key role of upwelling in promoting phytoplankton LC omega-3 production, which is tightly coupled to the supply of new nitrate. Additionally, the high observed LC omega-3 concentrations suggest that global LC omega-3 production is underestimated. Plain Language Summary Omega-3 are lipids found in foods such as fish that are extremely important for human health. However, humans and most animals cannot produce omega-3 in sufficient quantities to satisfy their health requirements and must thus acquire them through their diet. In the ocean, the main source of omega-3 is phytoplankton, with different species producing different quantities and kinds of omega-3. Phytoplankton growth also depends on the availability of nutrients, including nitrogen (N). Dominant assimilation of a new N source such as upwelled nitrate versus a recycled N source such as ammonium typically leads to the proliferation of different phytoplankton communities, which may also produce different amounts of omega-3. This study evaluates how upwelling, and the N source(s) used by phytoplankton, influence omega-3 production. During a 10-day investigation conducted off the west coast of South Africa, we found that upwelling promoted phytoplankton omega-3 production and that the community relied mainly on upwelled nitrate. Additionally, community composition changed rapidly during the study in response to upwelling, which was reflected in the amount and kind of omega-3 produced. We observed quantities of omega-3 that were 10 times higher than previous measurements from the region, suggesting that global omega-3 production may be underestimated.</t>
  </si>
  <si>
    <t>[Puccinelli, Eleonora] Royal Netherlands Inst Sea Res NIOZ, Dept Coastal Syst, Texel, Netherlands; [Puccinelli, Eleonora; Delebecq, Gaspard; Duquesne, Nolwenn; Lambert, Christophe; Pecquerie, Laure; Sardenne, Fany; Soudant, Philippe] Univ Brest, Lab Environm Marine Sci LEMAR, IUEM, CNRS,IRD,Ifremer, Plouzane, France; [Puccinelli, Eleonora; Fawcett, Sarah E.; Flynn, Raquel F.; Burger, Jessica M.; Little, Hazel; Wallschuss, Sina] Univ Cape Town, Dept Oceanog, Cape Town, South Africa; [Fawcett, Sarah E.] Univ Cape Town, Marine &amp; Antarctic Res Ctr Innovat &amp; Sustainabil M, Cape Town, South Africa</t>
  </si>
  <si>
    <t>Utrecht University; Royal Netherlands Institute for Sea Research (NIOZ); Centre National de la Recherche Scientifique (CNRS); Ifremer; Institut de Recherche pour le Developpement (IRD); Universite de Bretagne Occidentale; Institut Universitaire Europeen de la Mer (IUEM); University of Cape Town; University of Cape Town</t>
  </si>
  <si>
    <t>Puccinelli, E (corresponding author), Royal Netherlands Inst Sea Res NIOZ, Dept Coastal Syst, Texel, Netherlands.;Puccinelli, E (corresponding author), Univ Brest, Lab Environm Marine Sci LEMAR, IUEM, CNRS,IRD,Ifremer, Plouzane, France.;Puccinelli, E (corresponding author), Univ Cape Town, Dept Oceanog, Cape Town, South Africa.</t>
  </si>
  <si>
    <t>eleonora.puccinelli@nioz.nl</t>
  </si>
  <si>
    <t>Puccinelli, Eleonora/M-3562-2018</t>
  </si>
  <si>
    <t>Puccinelli, Eleonora/0000-0002-6144-6650; Lambert, Christophe/0000-0002-5885-467X; Sardenne, Fany/0000-0002-6549-473X; Flynn, Raquel Francesca/0000-0003-3118-4474; Fawcett, Sarah/0000-0002-0878-6496</t>
  </si>
  <si>
    <t>ISblue project, Interdisciplinary graduate school for the blue planet [ANR-17-EURE-0015]; French government; SAD programme fellowship; South African National Research Foundation [115335, 116142, 129320]; University of Cape Town (UCT) Research Committee; Royal Society/African Academy of Sciences Future Leaders Africa Independent Researcher (FLAIR) fellowship</t>
  </si>
  <si>
    <t>ISblue project, Interdisciplinary graduate school for the blue planet; French government; SAD programme fellowship; South African National Research Foundation(National Research Foundation - South Africa); University of Cape Town (UCT) Research Committee; Royal Society/African Academy of Sciences Future Leaders Africa Independent Researcher (FLAIR) fellowship</t>
  </si>
  <si>
    <t>This work was supported by the ISblue project, Interdisciplinary graduate school for the blue planet (ANR-17-EURE-0015), cofunded by the French government under the program Investissements d'Avenir and SAD programme fellowship to EP. Additional funding was provided by the South African National Research Foundation (115335, 116142, 129320), the University of Cape Town (UCT) Research Committee, and a Royal Society/African Academy of Sciences Future Leaders Africa Independent Researcher (FLAIR) fellowship to SF. We acknowledge the LIPIDOCEAN and the Plateforme Isotope Stable du Pple Spectrometrie Ocean (PSO) at the Institut Universitaire Europeen de la Mer (Plouzane, France), the Marine Biogeochemistry Lab and the Stable Light Isotope Laboratory at UCT, the UC Davis Stable Isotope Facility, the South African Weather Service (SAWS), and the South African Department of Science and Innovation's Biogeochemistry Research Infrastructure Platform (BIOGRIP). We are grateful to Pieter Truter and the Research Dive Unit at UCT for their assistance at sea, and to members of the Fawcett research group for their help with sample collection. The sea surface temperature data used in Figure 1 were obtained through the online Regional Air-Sear Interactions (RASI) tool at the NASA Global Hydrometeorology Resource Center DAAC, Huntsville, AL. https://opendap.earthdata.nasa.gov/collections/C2036881720-POCLOUD/granules/20200310120000-CMC-L4_ GHRSST-SSTfnd-CMC0.1deg-GLOB-v02.0-fv03.0.</t>
  </si>
  <si>
    <t>2169-8953</t>
  </si>
  <si>
    <t>2169-8961</t>
  </si>
  <si>
    <t>J GEOPHYS RES-BIOGEO</t>
  </si>
  <si>
    <t>J. Geophys. Res.-Biogeosci.</t>
  </si>
  <si>
    <t>e2023JG007528</t>
  </si>
  <si>
    <t>10.1029/2023JG007528</t>
  </si>
  <si>
    <t>Environmental Sciences; Geosciences, Multidisciplinary</t>
  </si>
  <si>
    <t>Q8KN1</t>
  </si>
  <si>
    <t>Green Submitted, hybrid, Green Published</t>
  </si>
  <si>
    <t>WOS:001059956800001</t>
  </si>
  <si>
    <t>Tichit, P; Roy, HE; Convey, P; Brickle, P; Newton, RJ; Dawson, W</t>
  </si>
  <si>
    <t>Tichit, Pierre; Roy, Helen E.; Convey, Peter; Brickle, Paul; Newton, Rosemary J.; Dawson, Wayne</t>
  </si>
  <si>
    <t>First record of the introduced ladybird beetle, Coccinella undecimpunctata Linnaeus (1758), on South Georgia (sub-Antarctic)</t>
  </si>
  <si>
    <t>biological invasion; biosecurity; Coccinellidae; Coleoptera; invasive alien species; non-native species; sub-Antarctic entomology; surveillance</t>
  </si>
  <si>
    <t>L. COLEOPTERA-COCCINELLIDAE; IMPACTS; INVASIONS; DISPERSAL</t>
  </si>
  <si>
    <t>Biological invasions represent a growing threat to islands and their biodiversity across the world. The isolated sub-Antarctic island of South Georgia in the South Atlantic Ocean is a highly protected area that relies on effective biosecurity including prevention, surveillance and eradication to limit the risk of biological invasions. Based on an opportunistic field discovery, we provide the first report of an introduced ladybird beetle on South Georgia. All specimens discovered belong to the Eurasian species Coccinella undecimpunctata Linnaeus (1758) (Coleoptera: Coccinellidae). Tens of individuals of both sexes were discovered at a single location, indicating that the species may already be established on South Georgia. Transport connectivity with this site suggests that the species most likely arrived recently from the Falkland Islands as a stowaway on a ship. We discuss the implications of our discovery for the continued development of South Atlantic biosecurity.</t>
  </si>
  <si>
    <t>[Tichit, Pierre; Dawson, Wayne] Univ Durham, Dept Biosci, Durham, England; [Roy, Helen E.] UK Ctr Ecol &amp; Hydrol, Wallingford, England; [Convey, Peter] NERC, British Antarctic Survey BAS, Cambridge, England; [Convey, Peter] Univ Johannesburg, Dept Zool, Auckland Pk, South Africa; [Convey, Peter] Biodivers Antarctic &amp; Subantarct Ecosyst BASE, Santiago, Chile; [Convey, Peter] Cape Horn Int Ctr CHIC, Puerto Williams, Chile; [Brickle, Paul] South Atlantic Environm Res Inst SAERI, Stanley, Falkland Island; [Brickle, Paul] Univ Aberdeen, Sch Biol Sci Zool, Aberdeen, Scotland; [Newton, Rosemary J.] Royal Bot Gardens Kew, Ecosyst Stewardship, Ardingly, England</t>
  </si>
  <si>
    <t>Durham University; UK Centre for Ecology &amp; Hydrology (UKCEH); UK Research &amp; Innovation (UKRI); Natural Environment Research Council (NERC); NERC British Antarctic Survey; University of Johannesburg; University of Aberdeen; Royal Botanic Gardens, Kew</t>
  </si>
  <si>
    <t>Tichit, P (corresponding author), Univ Durham, Dept Biosci, Durham, England.</t>
  </si>
  <si>
    <t>pierre.tichit@durham.ac.uk</t>
  </si>
  <si>
    <t>Darwin PLUS Scheme, UK Department for Environment, Food and Rural Affairs [DPLUS144]</t>
  </si>
  <si>
    <t>Darwin PLUS Scheme, UK Department for Environment, Food and Rural Affairs</t>
  </si>
  <si>
    <t>Darwin PLUS Scheme, UK Department for Environment, Food and Rural Affairs, Grant/Award Number: DPLUS144</t>
  </si>
  <si>
    <t>e10513</t>
  </si>
  <si>
    <t>10.1002/ece3.10513</t>
  </si>
  <si>
    <t>R5MM9</t>
  </si>
  <si>
    <t>WOS:001064792200001</t>
  </si>
  <si>
    <t>Jankowski, KJ; Johnson, K; Sethna, L; Julian, P; Wymore, AS; Shogren, AJ; Thomas, PK; Sullivan, PL; Mcknight, DM; Mcdowell, WH; Heindel, R; Jones, JB; Wollheim, W; Abbott, B; Deegan, L; Carey, JC</t>
  </si>
  <si>
    <t>Jankowski, Kathi Jo; Johnson, Keira; Sethna, Lienne; Julian, Paul; Wymore, Adam S.; Shogren, Arial J.; Thomas, Patrick K.; Sullivan, Pamela L.; Mcknight, Diane M.; Mcdowell, William H.; Heindel, Ruth; Jones, Jeremy B.; Wollheim, Wilfred; Abbott, Benjamin; Deegan, Linda; Carey, Joanna C.</t>
  </si>
  <si>
    <t>Long-Term Changes in Concentration and Yield of Riverine Dissolved Silicon From the Poles to the Tropics</t>
  </si>
  <si>
    <t>GLOBAL BIOGEOCHEMICAL CYCLES</t>
  </si>
  <si>
    <t>silica; river; trends; biogeochemistry; biogeochemical cycles, processes, and modeling; nutrients and nutrient cycling; impacts of global change; hydrologic time series analysis</t>
  </si>
  <si>
    <t>CLIMATE-CHANGE; BIOGEOCHEMICAL CYCLE; WORLD OCEAN; MAJOR IONS; PERMAFROST; CARBON; EXPORT; WATER; RETENTION; CHEMISTRY</t>
  </si>
  <si>
    <t>Riverine exports of silicon (Si) influence global carbon cycling through the growth of marine diatoms, which account for similar to 25% of global primary production. Climate change will likely alter river Si exports in biome-specific ways due to interacting shifts in chemical weathering rates, hydrologic connectivity, and metabolic processes in aquatic and terrestrial systems. Nonetheless, factors driving long-term changes in Si exports remain unexplored at local, regional, and global scales. We evaluated how concentrations and yields of dissolved Si (DSi) changed over the last several decades of rapid climate warming using long-term data sets from 60 rivers and streams spanning the globe (e.g., Antarctic, tropical, temperate, boreal, alpine, Arctic systems). We show that widespread changes in river DSi concentration and yield have occurred, with the most substantial shifts occurring in alpine and polar regions. The magnitude and direction of trends varied within and among biomes, were most strongly associated with differences in land cover, and were often independent of changes in river discharge. These findings indicate that there are likely diverse mechanisms driving change in river Si biogeochemistry that span the land- water interface, which may include glacial melt, changes in terrestrial vegetation, and river productivity. Finally, trends were often stronger in months outside of the growing season, particularly in temperate and boreal systems, demonstrating a potentially important role of shifting seasonality for the flux of Si from rivers. Our results have implications for the timing and magnitude of silica processing in rivers and its delivery to global oceans.</t>
  </si>
  <si>
    <t>[Jankowski, Kathi Jo] US Geol Survey, Upper Midwest Environm Sci Ctr, La Crosse, WI 54601 USA; [Johnson, Keira; Sullivan, Pamela L.] Oregon State Univ, Coll Earth Ocean &amp; Atmospher Sci, Corvallis, OR USA; [Sethna, Lienne] St Croix Watershed Res Stn, Marine St Croix, MN USA; [Julian, Paul] Everglades Fdn, Palmetto Bay, FL USA; [Wymore, Adam S.; Mcdowell, William H.; Wollheim, Wilfred] Univ New Hampshire, Dept Nat Resources &amp; Environm, Durham, NH USA; [Shogren, Arial J.] Univ Alabama, Dept Biol Sci, Tuscaloosa, AL USA; [Thomas, Patrick K.] Swiss Fed Inst Aquat Sci &amp; Technol EAWAG, Dept Aquat Ecol, Dubendorf, Switzerland; [Mcknight, Diane M.] Univ Colorado Boulder, Dept Civil Environm &amp; Architectural Engn, Boulder, CO USA; [Heindel, Ruth] Kenyon Coll, Environm Studies Program, Gambier, OH USA; [Jones, Jeremy B.] Univ Alaska Fairbanks, Inst Arctic Biol, Dept Biol &amp; Wildlife, Fairbanks, AK USA; [Abbott, Benjamin] Brigham Young Univ, Plant &amp; Wildlife Sci, Provo, UT USA; [Deegan, Linda] Woodwell Climate Res Ctr, Falmouth, MA USA; [Carey, Joanna C.] Babson Coll, Math Analyt Sci &amp; Technol Div, Wellesley, MA USA</t>
  </si>
  <si>
    <t>United States Department of the Interior; United States Geological Survey; Oregon State University; University System Of New Hampshire; University of New Hampshire; University of Alabama System; University of Alabama Tuscaloosa; Swiss Federal Institutes of Technology Domain; Swiss Federal Institute of Aquatic Science &amp; Technology (EAWAG); University of Colorado System; University of Colorado Boulder; University System of Ohio; Kenyon College; University of Alaska System; University of Alaska Fairbanks; Brigham Young University; Babson College</t>
  </si>
  <si>
    <t>Jankowski, KJ (corresponding author), US Geol Survey, Upper Midwest Environm Sci Ctr, La Crosse, WI 54601 USA.</t>
  </si>
  <si>
    <t>kjankowski@usgs.gov</t>
  </si>
  <si>
    <t>Julian, Paul/ABB-5826-2020; McDowell, William H/E-9767-2010</t>
  </si>
  <si>
    <t>Julian, Paul/0000-0002-7617-1354; McDowell, William H/0000-0002-8739-9047; MCKNIGHT, DIANE/0000-0002-4171-1533; Sullivan, Pamela/0000-0001-8780-8501; Sethna, Lienne/0000-0003-1156-172X; Wymore, Adam/0000-0002-6725-916X; Jankowski, Kathi Jo/0000-0002-3292-4182</t>
  </si>
  <si>
    <t>Long Term Ecological Research Network Office (LNO) (NSF) [1545288, 1929393]; National Center for Ecological Analysis and Synthesis, UCSB; US Army Corps of Engineers Upper Mississippi River Restoration Program; Babson Faculty Research Fund; Andrew J. Butler and Debi Butler Term Chair; Department of Energy [DE-SC0020146]; National Science Foundation [2034232, 2012796]; U.S. Department of Energy (DOE) [DE-SC0020146] Funding Source: U.S. Department of Energy (DOE)</t>
  </si>
  <si>
    <t>Long Term Ecological Research Network Office (LNO) (NSF); National Center for Ecological Analysis and Synthesis, UCSB; US Army Corps of Engineers Upper Mississippi River Restoration Program; Babson Faculty Research Fund; Andrew J. Butler and Debi Butler Term Chair; Department of Energy(United States Department of Energy (DOE)); National Science Foundation(National Science Foundation (NSF)); U.S. Department of Energy (DOE)(United States Department of Energy (DOE))</t>
  </si>
  <si>
    <t>This work was completed as part of a synthesis working group entitled From Poles to Tropics: A multi-biome synthesis investigating the controls on river Si exports and was supported through the Long Term Ecological Research Network Office (LNO) (NSF award numbers 1545288 and 1929393) and the National Center for Ecological Analysis and Synthesis, UCSB awarded to KJJ and JCC. KJJ was supported by the US Army Corps of Engineers Upper Mississippi River Restoration Program. Funding was provided to J. Carey from the Babson Faculty Research Fund and the Andrew J. Butler and Debi Butler Term Chair. Funding was provided to K. Johnson and P. Sullivan by the Department of Energy Grant DE-SC0020146; and from National Science Foundation 2034232 and 2012796. We thank all people across the National Science Foundation LongTerm Ecological Research (NSF LTER) Network, the Upper Mississippi River Restoration Program, the Arctic Great River Observatory, and the Lamprey River Observatory who collected and analyzed samples and provided the data. We thank the University of Puerto Rico, the Luquillo LTER (DEB 1831592), Luquillo CZO (EAR 1331841), and the United States Forest Service International Institute of Tropical Forestry for assistance in collecting and processing samples from the tropical rainforest streams. The National Center for Ecological Analysis and Synthesis provided technical and administrative support and we thank Kristen Peach, Julien Brun, Nicolas Lyon, and Angel Chen for help with compiling data from the Environmental Data Initiative and generating watershed land cover and lithology data. We thank Anna Wright and Mike Gooseff in generating watershed areas for McMurdo LTER streams; Max Holmes, Lindsay Scott, and Anya Suslova for help with data and interpretion of large Arctic-boreal transition rivers trends; and Jennifer Murphy for her consultation and insight into the WRTDS model and trend attribution approaches. Finally, we are grateful to two anonymous reviewers and Becky Kreiling for their thoughtful comments and suggestions that improved the manuscript. Any use of trade, firm, or product names is for descriptive purposes only and does not imply endorsement by the U.S. Government.</t>
  </si>
  <si>
    <t>0886-6236</t>
  </si>
  <si>
    <t>1944-9224</t>
  </si>
  <si>
    <t>GLOBAL BIOGEOCHEM CY</t>
  </si>
  <si>
    <t>Glob. Biogeochem. Cycle</t>
  </si>
  <si>
    <t>e2022GB007678</t>
  </si>
  <si>
    <t>10.1029/2022GB007678</t>
  </si>
  <si>
    <t>Environmental Sciences; Geosciences, Multidisciplinary; Meteorology &amp; Atmospheric Sciences</t>
  </si>
  <si>
    <t>Environmental Sciences &amp; Ecology; Geology; Meteorology &amp; Atmospheric Sciences</t>
  </si>
  <si>
    <t>R4DJ0</t>
  </si>
  <si>
    <t>Green Published, hybrid</t>
  </si>
  <si>
    <t>WOS:001063865700001</t>
  </si>
  <si>
    <t>Xu, YL; Zhang, WF; Maksym, T; Ji, RB; Li, Y</t>
  </si>
  <si>
    <t>Xu, Yilang; Zhang, Weifeng (Gordon); Maksym, Ted; Ji, Rubao; Li, Yun</t>
  </si>
  <si>
    <t>Stratification Breakdown in Antarctic Coastal Polynyas. Part I: Influence of Physical Factors on the Destratification Time Scale</t>
  </si>
  <si>
    <t>JOURNAL OF PHYSICAL OCEANOGRAPHY</t>
  </si>
  <si>
    <t>Antarctica; Sea ice; Coastal flows; Convection; Oceanic mixed layer; Numerical analysis/modeling</t>
  </si>
  <si>
    <t>NOVA BAY POLYNYA; KATABATIC WINDS; ROSS-SEA; WATER PRODUCTION; ICE; OCEAN; MODEL; CIRCULATION; OCEANOGRAPHY; THICKNESS</t>
  </si>
  <si>
    <t>This study examines the process of water-column stratification breakdown in Antarctic coastal polynyas adjacent to an ice shelf with a cavity underneath. This first part of a two-part sequence seeks to quantify the influence of offshore katabatic winds, alongshore winds, air temperature, and initial ambient stratification on the time scales of polynya destratification through combining process-oriented numerical simulations and analytical scaling. In particular, the often-neglected influence of wind-driven circulation on the lateral transport of the water formed at the polynya surface}which we call Polynya Source Water (PSW)}is systematically examined here. First, an ice shelf-sea ice-ocean coupled numerical model is adapted to simulate the process of PSW formation in polynyas of various configurations. The simulations highlight that (i) before reaching the bottom, majority of the PSW is actually carried away from the polynya by katabatic wind-in-duced offshore outflow, diminishing water-column mixing in the polynya and intrusion of the PSW into the neighboring ice shelf cavity, and (ii) alongshore coastal easterly winds, through inducing onshore Ekman transport, reduce offshore loss of the PSW and enhance polynya mixing and PSW intrusion into the cavity. Second, an analytical scaling of the destratifica-tion time scale is derived based on fundamental physical principles to quantitatively synthesize the influence of the physical factors, which is then verified by independent numerical sensitivity simulations. This work provides insights into the mecha-nisms that drive temporal and cross-polynya variations in stratification and PSW formation in Antarctic coastal polynyas, and establishes a framework for studying differences among the polynyas in the ocean.</t>
  </si>
  <si>
    <t>[Xu, Yilang; Zhang, Weifeng (Gordon); Maksym, Ted] Woods Hole Oceanog Inst, Appl Ocean Phys &amp; Engn Dept, Woods Hole, MA 02543 USA; [Xu, Yilang] MIT WHOI Joint Program Oceanog Appl Ocean Sci &amp; En, Cambridge, MA 02139 USA; [Ji, Rubao] Woods Hole Oceanog Inst, Biol Dept, Woods Hole, MA USA; [Li, Yun] Univ Delaware, Sch Marine Sci &amp; Policy, Lewes, DE USA</t>
  </si>
  <si>
    <t>Woods Hole Oceanographic Institution; Woods Hole Oceanographic Institution; University of Delaware</t>
  </si>
  <si>
    <t>Xu, YL (corresponding author), Woods Hole Oceanog Inst, Appl Ocean Phys &amp; Engn Dept, Woods Hole, MA 02543 USA.;Xu, YL (corresponding author), MIT WHOI Joint Program Oceanog Appl Ocean Sci &amp; En, Cambridge, MA 02139 USA.</t>
  </si>
  <si>
    <t>yilangxu@mit.edu</t>
  </si>
  <si>
    <t>Zhang, Weifeng/0000-0002-2819-1780; Xu, Yilang/0000-0003-1641-9909</t>
  </si>
  <si>
    <t>National Science Foundation [OPP-1643735, OPP-1643901, OPP-2021245, OPP-2205008]</t>
  </si>
  <si>
    <t>National Science Foundation(National Science Foundation (NSF))</t>
  </si>
  <si>
    <t>This study is supported by the National Science Foundation through Grants OPP-1643735, OPP-1643901, and OPP-2021245. YX and WGZ are also supported by OPP-2205008.</t>
  </si>
  <si>
    <t>0022-3670</t>
  </si>
  <si>
    <t>1520-0485</t>
  </si>
  <si>
    <t>J PHYS OCEANOGR</t>
  </si>
  <si>
    <t>J. Phys. Oceanogr.</t>
  </si>
  <si>
    <t>10.1175/JPO-D-22-0218.1</t>
  </si>
  <si>
    <t>R2BE7</t>
  </si>
  <si>
    <t>WOS:001062436300002</t>
  </si>
  <si>
    <t>Chen, EYS; Trudnowska, E; Blachowiak-Samolyk, K</t>
  </si>
  <si>
    <t>Chen, Emily Y. -S; Trudnowska, Emilia; Blachowiak-Samolyk, Katarzyna</t>
  </si>
  <si>
    <t>It's a female's world: sex ratio of polar pelagic ostracods tested across multiple spatiotemporal scales</t>
  </si>
  <si>
    <t>JOURNAL OF PLANKTON RESEARCH</t>
  </si>
  <si>
    <t>Ostracoda; Arctic; Antarctic; sex ratio; reproduction</t>
  </si>
  <si>
    <t>ARCTIC-OCEAN; CRUSTACEA; CLIMATE; HALOCYPRIDIDAE; REPRODUCTION; LATITUDES; WATERS</t>
  </si>
  <si>
    <t>Biased sex ratios are commonly found in nature and were also observed in this study on pelagic ostracods in both the Arctic and Southern Oceans. Because changes in sex ratio may occur in response to environmental perturbations, studying this aspect in polar regions as they continue to warm is of ecological importance. Here, a robust spatiotemporal dataset of historical and contemporary sex data was compiled to explore variation in ostracod sex ratio with respect to species, depth, region, season and ontogeny. Global ostracod populations in both the Arctic and Antarctic demonstrated a stable female bias of similar to 60-70% over all tested factors. This female bias was even higher when only the premature A-1 stage was considered, regardless of the factor. The widespread stability in stage-specific sex ratio and its subtle changes, especially in the interannual context, show that marine Ostracoda has the potential to be a model organism for more comprehensive sex ratio research, but deeper investigation into their ecology and reproduction is necessary.</t>
  </si>
  <si>
    <t>[Chen, Emily Y. -S; Trudnowska, Emilia; Blachowiak-Samolyk, Katarzyna] Polish Acad Sci, Inst Oceanog, Dept Marine Ecol, Powstancow Warszawy 55, PL-81712 Sopot, Poland</t>
  </si>
  <si>
    <t>Polish Academy of Sciences</t>
  </si>
  <si>
    <t>Chen, EYS (corresponding author), Polish Acad Sci, Inst Oceanog, Dept Marine Ecol, Powstancow Warszawy 55, PL-81712 Sopot, Poland.</t>
  </si>
  <si>
    <t>emily@iopan.pl; emilia@iopan.pl; kasiab@iopan.pl</t>
  </si>
  <si>
    <t>Chen, Emily Y./0000-0002-5340-3175</t>
  </si>
  <si>
    <t>Polish National Science Centre (Narodowe Centrum Nauki) research grant Bi-polarity PRELUDIUM BIS project [2020/39/O/NZ8/01793]</t>
  </si>
  <si>
    <t>Polish National Science Centre (Narodowe Centrum Nauki) research grant Bi-polarity PRELUDIUM BIS project</t>
  </si>
  <si>
    <t>Financial support for this work was provided by the Polish National Science Centre (Narodowe Centrum Nauki) research grant Bi-polarity PRELUDIUM BIS project no. [2020/39/O/NZ8/01793] for years 2021-2025.</t>
  </si>
  <si>
    <t>0142-7873</t>
  </si>
  <si>
    <t>1464-3774</t>
  </si>
  <si>
    <t>J PLANKTON RES</t>
  </si>
  <si>
    <t>J. Plankton Res.</t>
  </si>
  <si>
    <t>SEP 27</t>
  </si>
  <si>
    <t>10.1093/plankt/fbad038</t>
  </si>
  <si>
    <t>S6OU0</t>
  </si>
  <si>
    <t>WOS:001060433600001</t>
  </si>
  <si>
    <t>Laurenceau-Cornec, EC; Mongin, M; Trull, TW; Bressac, M; Cavan, EL; Bach, LT; Le Moigne, FAC; Planchon, F; Boyd, PW</t>
  </si>
  <si>
    <t>Laurenceau-Cornec, Emmanuel C.; Mongin, Mathieu; Trull, Thomas W.; Bressac, Matthieu; Cavan, Emma L.; Bach, Lennart T.; Le Moigne, Frederic A. C.; Planchon, Frederic; Boyd, Philip W.</t>
  </si>
  <si>
    <t>Concepts Toward a Global Mechanistic Mapping of Ocean Carbon Export</t>
  </si>
  <si>
    <t>seasonality; carbon export efficiency; ocean biological carbon pump; biogeochemical provinces; net primary productivity; planktonic communities</t>
  </si>
  <si>
    <t>PARTICULATE ORGANIC-CARBON; PHYTOPLANKTON COMMUNITY STRUCTURE; ANTARCTIC POLAR FRONT; SUB-ARCTIC GYRE; SOUTHERN-OCEAN; NORTH-ATLANTIC; FECAL PELLETS; MARINE SNOW; IRON FERTILIZATION; SEASONAL CYCLE</t>
  </si>
  <si>
    <t>The gravitational sinking of organic debris from ocean ecosystems is a dominant mechanism of the biological carbon pump (BCP) that regulates the global climate. The fraction of primary production exported downward, the e-ratio, is an important but poorly constrained BCP metric. In mid- and high-latitude oceans, seasonal and local variations of sinking particle fluxes strongly modulate the e-ratio. These locally specific e-ratio variations and their ecological foundations are here encapsulated in the term export systems (ES). ES have been partly characterized for a few ocean locations but remain largely ignored over most of the ocean surface. Here, in a fully conceptual approach and with the primary aim to understand rather than to estimate ocean carbon export, we combine biogeochemical (BGC) modeling with satellite observations to map ES at fine spatio-temporal scales. We identify four plausible ES with distinct e-ratio seasonalities across mid- and high-latitude oceans. The ES map confirms the outlines of traditional BGC provinces and unveils new boundaries indicating where (and how) the annual relationship between carbon export and production changes markedly. At six sites where ES features can be partially inferred from in situ data, we test our approach and propose key ecological processes driving carbon export. In the light of our findings, a re-examination of 1,841 field-based e-ratios could challenge the conventional wisdom that e-ratios change strongly with latitude, suggesting a possible seasonal artifact caused by the timing of observations. By deciphering carbon export mechanistically, our conceptual ES map provides timely directions to emergent ocean robotic explorations of the BCP.</t>
  </si>
  <si>
    <t>[Laurenceau-Cornec, Emmanuel C.; Bach, Lennart T.; Boyd, Philip W.] Univ Tasmania, Inst Marine &amp; Antarctic Studies, Hobart, Tas, Australia; [Laurenceau-Cornec, Emmanuel C.; Le Moigne, Frederic A. C.; Planchon, Frederic] Univ Brest, CNRS, Ifremer, IRD,LEMAR, Brest, France; [Mongin, Mathieu] CSIRO Oceans &amp; Atmosphere, Coasts &amp; Ocean Res Program, Hobart, Tas, Australia; [Trull, Thomas W.] CSIRO Oceans &amp; Atmosphere Climate Sci Ctr, Hobart, Tas, Australia; [Bressac, Matthieu] Sorbonne Univ, Lab Oceanog Villefranche LOV, Inst Mer Villefranche, CNRS, Villefranche Sur Mer, France; [Cavan, Emma L.] Imperial Coll London, Dept Life Sci, Ascot, England</t>
  </si>
  <si>
    <t>University of Tasmania; Universite de Bretagne Occidentale; Centre National de la Recherche Scientifique (CNRS); Ifremer; Institut de Recherche pour le Developpement (IRD); Commonwealth Scientific &amp; Industrial Research Organisation (CSIRO); Centre National de la Recherche Scientifique (CNRS); Sorbonne Universite; Imperial College London</t>
  </si>
  <si>
    <t>Laurenceau-Cornec, EC (corresponding author), Univ Tasmania, Inst Marine &amp; Antarctic Studies, Hobart, Tas, Australia.;Laurenceau-Cornec, EC (corresponding author), Univ Brest, CNRS, Ifremer, IRD,LEMAR, Brest, France.</t>
  </si>
  <si>
    <t>emmanuel.laurenceaucornec@univ-brest.fr</t>
  </si>
  <si>
    <t>Boyd, Philip/J-7624-2014</t>
  </si>
  <si>
    <t>Boyd, Philip/0000-0001-7850-1911; Laurenceau-Cornec, Emmanuel/0000-0002-4041-4377; cavan, emma/0000-0003-1099-6705; Bach, Lennart/0000-0003-0202-3671</t>
  </si>
  <si>
    <t>Australian Research Council [FL160100131]; Australian Commonwealth Cooperative Research Centres Program; Australian National Network in Marine Science via the Institute for Marine and Antarctic Studies (IMAS, University of Tasmania); Australia's Integrated Marine Observing System (IMOS)-IMOS; Australian Research Council [FL160100131] Funding Source: Australian Research Council</t>
  </si>
  <si>
    <t>Australian Research Council(Australian Research Council); Australian Commonwealth Cooperative Research Centres Program(Australian GovernmentDepartment of Industry, Innovation and ScienceCooperative Research Centres (CRC) Programme); Australian National Network in Marine Science via the Institute for Marine and Antarctic Studies (IMAS, University of Tasmania); Australia's Integrated Marine Observing System (IMOS)-IMOS; Australian Research Council(Australian Research Council)</t>
  </si>
  <si>
    <t>We thank Mark Baird (Commonwealth Scientific and Industrial Research Organization, CSIRO) for his support with the CSIRO-EMS model parameterization. We would like to acknowledge Robert O'Malley (administrator of the Oregon state productivity website) for his insightful remarks on the use of satellite-derived NPP products, and Kevin Friedland (National Marine Fisheries Service, NOAA) for kindly sharing data. We thank Malwenn Lassudrie, Sebastien Moreau, and Marion Fourquez for fruitful discussions. We thank the two anonymous reviewers for their judicious comments and suggestions that helped improve the manuscript. This study received support through funding from the Australian Commonwealth Cooperative Research Centres Program to the Antarctic Climate and Ecosystems (ACE) CRC, and from the Australian National Network in Marine Science via the Institute for Marine and Antarctic Studies (IMAS, University of Tasmania). Tom Trull and the Southern Ocean Time Series received support from Australia's Integrated Marine Observing System (IMOS)-IMOS is enabled by the National Collaborative Research Infrastructure Strategy (NCRIS). This work was partly funded by the Australian Research Council through a Laureate awarded to Philip W. Boyd (FL160100131). Open access publishing facilitated by University of Tasmania, as part of the Wiley - University of Tasmania agreement via the Council of Australian University Librarians.</t>
  </si>
  <si>
    <t>e2023GB007742</t>
  </si>
  <si>
    <t>10.1029/2023GB007742</t>
  </si>
  <si>
    <t>R4XN3</t>
  </si>
  <si>
    <t>Green Published, hybrid, Green Submitted</t>
  </si>
  <si>
    <t>WOS:001064397300001</t>
  </si>
  <si>
    <t>Chisham, G; Freeman, MP</t>
  </si>
  <si>
    <t>Chisham, G.; Freeman, M. P.</t>
  </si>
  <si>
    <t>Separating Contributions to Plasma Vorticity in the High-Latitude Ionosphere From Large-Scale Convection and Meso-Scale Turbulence</t>
  </si>
  <si>
    <t>ionospheric vorticity; ionospheric convection; ionospheric flow turbulence; SuperDARN</t>
  </si>
  <si>
    <t>FIELD-ALIGNED CURRENTS; SUPERDARN; MAGNETOSPHERE; EXCITATION</t>
  </si>
  <si>
    <t>Measurements of ionospheric flow vorticity can be used for studying ionospheric plasma transport processes, such as convection and turbulence, over a wide range of spatial scales. Here, we analyze probability density functions (PDFs) of ionospheric vorticity for selected regions of the northern hemisphere high-latitude ionosphere as measured by the Super Dual Auroral Radar Network over a 6-year interval (2000-2005 inclusive). Subdividing these PDFs for opposite polarities of the By component of the prevailing interplanetary magnetic field allows the separation into two distinct components: (a) A single-sided Weibull distribution which relates to the large-scale convection driven by magnetic reconnection; (b) A double-sided and symmetric q-exponential distribution which arises from meso-scale plasma flow related to processes such as turbulence. This study investigates the processes that contribute to the vorticity of the flow of ionized gases (plasma) in the Earth's ionosphere (at an altitude of &amp; SIM;250-400 km). Vorticity is a measure of how straight or curved this flow of plasma is at a particular location. We show that the measured probability distributions of ionospheric vorticity at high-latitude locations can be explained as a combination of vorticity inherent in the large-scale ionospheric plasma flow pattern driven by variations in the solar wind (plasma and magnetic field ejected by the Sun), and vorticity resulting from meso-scale fluid processes such as turbulence. Being able to model ionospheric vorticity in this way helps to improve models of the ionospheric flow process, which are often key components of larger operational space weather models.</t>
  </si>
  <si>
    <t>[Chisham, G.; Freeman, M. P.] British Antarctic Survey, Cambridge, England</t>
  </si>
  <si>
    <t>Chisham, G (corresponding author), British Antarctic Survey, Cambridge, England.</t>
  </si>
  <si>
    <t>gchi@bas.ac.uk</t>
  </si>
  <si>
    <t>Chisham, Gareth/0000-0003-1151-5934</t>
  </si>
  <si>
    <t>UK Natural Environment Research Council (NERC) highlight topic grant [NE/W003066/1]; British Antarctic Survey (BAS) Polar Science for Planet Earth Programme - NERC</t>
  </si>
  <si>
    <t>UK Natural Environment Research Council (NERC) highlight topic grant(UK Research &amp; Innovation (UKRI)Natural Environment Research Council (NERC)); British Antarctic Survey (BAS) Polar Science for Planet Earth Programme - NERC</t>
  </si>
  <si>
    <t>GC and MPF were supported by the UK Natural Environment Research Council (NERC) highlight topic grant NE/W003066/1 (FINESSE). They were also funded as part of the British Antarctic Survey (BAS) Polar Science for Planet Earth Programme funded by NERC. The authors acknowledge the use of SuperDARN data. SuperDARN is a collection of radars funded by the national scientific funding agencies of Australia, Canada, China, France, Italy, Japan, Norway, South Africa, UK, and United States. The authors would like to thank the SuperDARN PIs of the radars which provided the original data for the vorticity data products: Kathryn McWilliams (University of Saskatchewan, Canada); J. Michael Ruohoniemi (Virginia Tech, USA); William Bristow (Penn State University, USA).</t>
  </si>
  <si>
    <t>e2023JA031885</t>
  </si>
  <si>
    <t>10.1029/2023JA031885</t>
  </si>
  <si>
    <t>R0UP4</t>
  </si>
  <si>
    <t>WOS:001061582800001</t>
  </si>
  <si>
    <t>Oppo, DW; Lu, W; Huang, KF; Umling, NE; Guo, W; Yu, J; Curry, WB; Marchitto, TM; Wang, S</t>
  </si>
  <si>
    <t>Oppo, D. W.; Lu, W.; Huang, K. -F.; Umling, N. E.; Guo, W.; Yu, J.; Curry, W. B.; Marchitto, T. M.; Wang, S.</t>
  </si>
  <si>
    <t>Deglacial Temperature and Carbonate Saturation State Variability in the Tropical Atlantic at Antarctic Intermediate Water Depths</t>
  </si>
  <si>
    <t>PALEOCEANOGRAPHY AND PALEOCLIMATOLOGY</t>
  </si>
  <si>
    <t>deglacial ocean circulation; AAIW; trace metals; carbonate saturation state; bottom water temperature; benthic foraminifera</t>
  </si>
  <si>
    <t>FORAMINIFERAL MG/CA-PALEOTHERMOMETRY; BENTHIC FORAMINIFERA; DEEP-SEA; BIOMINERALIZATION MODEL; OVERTURNING CIRCULATION; ISOTOPE RECONSTRUCTIONS; LAST DEGLACIATION; OCEAN; SEAWATER; CADMIUM</t>
  </si>
  <si>
    <t>Variations in the Atlantic Meridional Overturning Circulation (AMOC) redistribute heat and nutrients, causing pronounced anomalies of temperature and nutrient concentrations in the subsurface ocean. However, exactly how millennial-scale deglacial AMOC variability influenced the subsurface is debated, and the role of other deglacial forcings of subsurface temperature change is unclear. Here, we present a new deglacial temperature reconstruction, which, with published records, helps assess competing hypotheses for deglacial warming in the upper tropical North Atlantic. Our record provides new evidence of regional subsurface warming in the western tropical North Atlantic within the core of modern Antarctic Intermediate Water (AAIW) during Heinrich Stadial 1 (HS1), an early deglacial interval of iceberg discharge into the North Atlantic. Our results are consistent with model simulations that suggest subsurface heat accumulates in the northern high-latitude convection regions and along the upper AMOC return path when the AMOC weakens, and with warming due to rising greenhouse gases. Warming of AAIW may have also contributed to warming in the tropics at modern AAIW depths during late HS1. Nutrient and ?[CO32-] reconstructions from the same 3 site suggest a link between AMOC intensity and the northward extent of AAIW in the northern tropics across the deglaciation and on millennial time scales. However, the timing of the initial deglacial increase in AAIW to the northern tropics is ambiguous. Deglacial trends and variability of ?[CO32-] in the upper North Atlantic have 3 likely biased temperature reconstructions based on the elemental composition of calcitic benthic foraminifera.</t>
  </si>
  <si>
    <t>[Oppo, D. W.; Lu, W.; Guo, W.; Wang, S.] Woods Hole Oceanog Inst, Woods Hole, MA 02543 USA; [Huang, K. -F.] Acad Sinica, Inst Earth Sci, Taipei, Taiwan; [Umling, N. E.] Rutgers State Univ, New Brunswick, NJ USA; [Yu, J.] Laoshan Lab, Qingdao, Peoples R China; [Yu, J.] Australian Natl Univ, Res Sch Earth Sci, Canberra, ACT, Australia; [Curry, W. B.] Bermuda Inst Ocean Sci, St Georges, Bermuda; [Marchitto, T. M.] Univ Colorado, Dept Geol Sci, Boulder, CO USA; [Marchitto, T. M.] Univ Colorado, Inst Arctic &amp; Alpine Res, Boulder, CO USA; [Wang, S.] MIT WHOI Joint Program Oceanog Appl Ocean Sci &amp; En, Cambridge, MA USA; [Wang, S.] MIT WHOI Joint Program Oceanog Appl Ocean Sci &amp; En, Woods Hole, MA USA</t>
  </si>
  <si>
    <t>Woods Hole Oceanographic Institution; Academia Sinica - Taiwan; Rutgers University System; Rutgers University New Brunswick; Laoshan Laboratory; Australian National University; Bermuda Institute of Ocean Sciences; University of Colorado System; University of Colorado Boulder; University of Colorado System; University of Colorado Boulder</t>
  </si>
  <si>
    <t>Oppo, DW (corresponding author), Woods Hole Oceanog Inst, Woods Hole, MA 02543 USA.</t>
  </si>
  <si>
    <t>doppo@whoi.edu</t>
  </si>
  <si>
    <t>Huang, Kuo-Fang/G-2557-2015; Yu, Jimin/I-7770-2012</t>
  </si>
  <si>
    <t>Oppo, Delia/0000-0003-2946-5904; Wang, Shouyi/0000-0002-9046-6474; Yu, Jimin/0000-0002-3896-1777; Lu, Wanyi/0000-0002-2837-654X; MARCHITTO, THOMAS/0000-0003-2397-8768</t>
  </si>
  <si>
    <t>NSF [OCE2114579, OCE-1811305, OCE-1558341, AGS-0936472, OCE-0750880]; Taiwan NSC Postdoctoral Fellowship [NSC 98-2917-I-564-132]; Taiwan MOST [104-2628-M-001-007-MY3, 110-2116-M-001-013]; WHOI Independent Research and Development Award; Investment in Science Fund at WHOI</t>
  </si>
  <si>
    <t>NSF(National Science Foundation (NSF)); Taiwan NSC Postdoctoral Fellowship; Taiwan MOST; WHOI Independent Research and Development Award; Investment in Science Fund at WHOI</t>
  </si>
  <si>
    <t>We thank WHOI Seafloor Samples Repository for curating the samples, and WHOI NOSAMS for radiocarbon analyses. We thank K. Pietro, G. Swarr, P.-Y. Lin, A.-L. Chen, and H.-Y. Chen for technical assistance, and two anonymous reviewers for helpful comments. This work was funded by NSF (OCE2114579, OCE-1811305, OCE-1558341, AGS-0936472, OCE-0750880), Taiwan NSC Postdoctoral Fellowship (NSC 98-2917-I-564-132), Taiwan MOST (104-2628-M-001-007-MY3 and 110-2116-M-001-013), a WHOI Independent Research and Development Award and the Investment in Science Fund at WHOI.</t>
  </si>
  <si>
    <t>2572-4517</t>
  </si>
  <si>
    <t>2572-4525</t>
  </si>
  <si>
    <t>PALEOCEANOGR PALEOCL</t>
  </si>
  <si>
    <t>Paleoceanogr. Paleoclimatology</t>
  </si>
  <si>
    <t>e2023PA004674</t>
  </si>
  <si>
    <t>10.1029/2023PA004674</t>
  </si>
  <si>
    <t>Geosciences, Multidisciplinary; Oceanography; Paleontology</t>
  </si>
  <si>
    <t>Geology; Oceanography; Paleontology</t>
  </si>
  <si>
    <t>R0IB6</t>
  </si>
  <si>
    <t>WOS:001061251100001</t>
  </si>
  <si>
    <t>An, M; Western, LM; Hu, JX; Yao, B; Mühle, J; Ganesan, AL; Prinn, RG; Krummel, PB; Hossaini, R; Fang, XK; O'Doherty, S; Weiss, RF; Young, D; Rigby, M</t>
  </si>
  <si>
    <t>An, Minde; Western, Luke M.; Hu, Jianxin; Yao, Bo; Muhle, Jens; Ganesan, Anita L.; Prinn, Ronald G.; Krummel, Paul B.; Hossaini, Ryan; Fang, Xuekun; O'Doherty, Simon; Weiss, Ray F.; Young, Dickon; Rigby, Matthew</t>
  </si>
  <si>
    <t>Anthropogenic Chloroform Emissions from China Drive Changes in Global Emissions</t>
  </si>
  <si>
    <t>ENVIRONMENTAL SCIENCE &amp; TECHNOLOGY</t>
  </si>
  <si>
    <t>chloroform; ozone layer depletion; MontrealProtocol; emissions; very short-lived ozone-depletingsubstances</t>
  </si>
  <si>
    <t>CHLORINE EMISSIONS; TRICHLOROMETHANE CHLOROFORM; HALOGENATED COMPOUNDS; CARBON-TETRACHLORIDE; HALOCARBON EMISSIONS; TRACE GASES; TRANSPORT; POLLUTION; CHCL3; MODEL</t>
  </si>
  <si>
    <t>Emissions of chloroform (CHCl3), a short-lived halogenated substance not currently controlled under the Montreal Protocol on Substances that Deplete the Ozone Layer, are offsetting some of the achievements of the Montreal Protocol. In this study, emissions of CHCl3 from China were derived by atmospheric measurement-based top-down inverse modeling and a sector-based bottom-up inventory method. Top-down CHCl(3 )emissions grew from 78 (72-83) Gg yr(-1) in 2011 to a maximum of 193 (178-204) Gg yr(-1) in 2017, followed by a decrease to 147 (138-154) Gg yr(-1) in 2018, after which emissions remained relatively constant through 2020. The changes in emissions from China could explain all of the global changes during the study period. The CHCl(3 )emissions in China were dominated by anthropogenic sources, such as byproduct emissions during disinfection and leakage from chloromethane industries. Had emissions continued to grow at the rate observed up to 2017, a delay of several years in Antarctic ozone layer recovery could have occurred. However, this delay will be largely avoided if global CHCl3 emissions remain relatively constant in the future, as they have between 2018 and 2020.</t>
  </si>
  <si>
    <t>[An, Minde; Hu, Jianxin] Peking Univ, Coll Environm Sci &amp; Engn, Beijing 100871, Peoples R China; [An, Minde; Western, Luke M.; O'Doherty, Simon; Young, Dickon; Rigby, Matthew] Univ Bristol, Sch Chem, Bristol BS8 1TS, England; [An, Minde; Prinn, Ronald G.] MIT, Ctr Global Change Sci, Cambridge, MA 02139 USA; [Western, Luke M.] NOAA, Global Monitoring Lab, Boulder, CO 80305 USA; [Muhle, Jens; Weiss, Ray F.] Univ Calif San Diego, Scripps Inst Oceanog, La Jolla, CA 92093 USA; [Ganesan, Anita L.] Univ Bristol, Sch Geog Sci, Bristol BS8 1SS, England; [Krummel, Paul B.] CSIRO Environm, Climate Atmosphere &amp; Oceans Interact, Aspendale, Vic 3195, Australia; [Hossaini, Ryan] Univ Lancaster, Lancaster Environm Ctr, Lancaster LA1 4YQ, England; [Fang, Xuekun] Zhejiang Univ, Coll Environm &amp; Resource Sci, Hangzhou 310058, Peoples R China; [Yao, Bo] Fudan Univ, Dept Atmospher &amp; Ocean Sci, Shanghai 200438, Peoples R China; [Yao, Bo] Fudan Univ, Inst Atmospher Sci, Shanghai 200438, Peoples R China; [Yao, Bo] China Meteorol Adm MOC CMA, Meteorol Observat Ctr, Beijing 100081, Peoples R China</t>
  </si>
  <si>
    <t>Peking University; University of Bristol; Massachusetts Institute of Technology (MIT); National Oceanic Atmospheric Admin (NOAA) - USA; University of California System; University of California San Diego; Scripps Institution of Oceanography; University of Bristol; Lancaster University; Zhejiang University; Fudan University; Fudan University</t>
  </si>
  <si>
    <t>Hu, JX (corresponding author), Peking Univ, Coll Environm Sci &amp; Engn, Beijing 100871, Peoples R China.;Rigby, M (corresponding author), Univ Bristol, Sch Chem, Bristol BS8 1TS, England.;Yao, B (corresponding author), Fudan Univ, Dept Atmospher &amp; Ocean Sci, Shanghai 200438, Peoples R China.;Yao, B (corresponding author), Fudan Univ, Inst Atmospher Sci, Shanghai 200438, Peoples R China.;Yao, B (corresponding author), China Meteorol Adm MOC CMA, Meteorol Observat Ctr, Beijing 100081, Peoples R China.</t>
  </si>
  <si>
    <t>jianxin@pku.edu.cn; yaobo@fudan.edu.cn; Matt.Rigby@bristol.ac.uk</t>
  </si>
  <si>
    <t>FANG, XUEKUN/L-1630-2015; Hu, Jianxin/N-3498-2013; Krummel, Paul B/A-4293-2013; Ganesan, Anita/D-6230-2016</t>
  </si>
  <si>
    <t>Krummel, Paul B/0000-0002-4884-3678; An, Minde/0000-0002-4749-6029; Yao, Bo/0000-0002-5433-2276; Ganesan, Anita/0000-0001-5715-8923; Western, Luke/0000-0002-0043-711X</t>
  </si>
  <si>
    <t>National Key Research and Development Program of China [2019YFC0214500]; Shanghai B&amp;R Joint Laboratory Project [22230750300]; European Union [101030750]; NERC [NE/V011863/1]; AGAGE's; Atmospheric Chemistry Research Group at University of Bristol; U.K. Met Office; Marie Curie Actions (MSCA) [101030750] Funding Source: Marie Curie Actions (MSCA)</t>
  </si>
  <si>
    <t>National Key Research and Development Program of China; Shanghai B&amp;R Joint Laboratory Project; European Union(European Union (EU)); NERC(UK Research &amp; Innovation (UKRI)Natural Environment Research Council (NERC)); AGAGE's; Atmospheric Chemistry Research Group at University of Bristol; U.K. Met Office; Marie Curie Actions (MSCA)(Marie Curie Actions)</t>
  </si>
  <si>
    <t>This work was supported by the National Key Research and Development Program of China ( Grant No. 2019YFC0214500) and the Shanghai B&amp;R Joint Laboratory Project (No. 22230750300). This work has benefited from the technical expertise of and the assistance by the AGAGE (Advanced Global Atmospheric Gases Experiment) network, including the Medusa GC/MS system technology, calibrations of CHCl3 measurements, and network operation, as well as Dr. Martin Vollmer from the Swiss Federal Laboratories for Materials Science and Technology. R.G.P., M.A., J.M., P.B.K., S.O'D., R.F.W., and D.Y. acknowledge AGAGE's support via NASA grants to MIT (with subawards to Bristol University and CSIRO) and to SIO (including AGAGE calibration). L.M.W. received funding from the European Union's Horizon 2020 research and innovation program under Marie Sklodowska-Curie grant agreement no. 101030750. R.H. is supported by NERC grant NE/V011863/1. The authors acknowledge the support from members of Atmospheric Chemistry Research Group at University of Bristol and thank the U.K. Met Office for the support and licensing for NAME.</t>
  </si>
  <si>
    <t>AMER CHEMICAL SOC</t>
  </si>
  <si>
    <t>1155 16TH ST, NW, WASHINGTON, DC 20036 USA</t>
  </si>
  <si>
    <t>0013-936X</t>
  </si>
  <si>
    <t>1520-5851</t>
  </si>
  <si>
    <t>ENVIRON SCI TECHNOL</t>
  </si>
  <si>
    <t>Environ. Sci. Technol.</t>
  </si>
  <si>
    <t>10.1021/acs.est.3c01898</t>
  </si>
  <si>
    <t>Engineering, Environmental; Environmental Sciences</t>
  </si>
  <si>
    <t>Engineering; Environmental Sciences &amp; Ecology</t>
  </si>
  <si>
    <t>R6XA4</t>
  </si>
  <si>
    <t>Green Submitted, Green Accepted</t>
  </si>
  <si>
    <t>WOS:001061167700001</t>
  </si>
  <si>
    <t>Mayle, M; Harry, DL</t>
  </si>
  <si>
    <t>Mayle, M.; Harry, D. L.</t>
  </si>
  <si>
    <t>Syn-Rift Magmatism and Sequential Melting of Fertile Lithologies in the Lithosphere and Asthenosphere</t>
  </si>
  <si>
    <t>JOURNAL OF GEOPHYSICAL RESEARCH-SOLID EARTH</t>
  </si>
  <si>
    <t>continental rift; magmatism; geodynamics; Rio Grande Rift; East African Rift; West Antarctic Rift</t>
  </si>
  <si>
    <t>WESTERN UNITED-STATES; EXTENSION; MANTLE; GENERATION; EVOLUTION; ORIGIN; HETEROGENEITY; PERIDOTITE; BASALT; MODEL</t>
  </si>
  <si>
    <t>The timing and rate of decompression melting of a compositionally heterogeneous mantle during continental rifting are assessed with a new one-dimensional geodynamic code, MELT1D. MELT1D computes pressure and temperature in the extending lithosphere and rising asthenosphere and calculates the resulting melt fraction and eruption rates for different lithologies. A series of models simulate syn-rift melt production from (a) dry and wet depleted lherzolite similar to the mantle that underlies most mid-ocean ridges, (b) dry and wet relatively fertile ultramafic compositions representing plume or primitive mantle material, (c) pyroxenite representing recycled ultramafic oceanic crust or magmatic metasomes, and (d) basalt representing recycled mafic crust or metasomes. The models predict sequential melting of the different compositions that is broadly consistent with basalt eruption histories in many Phanerozoic rifts. Results show a progressive transition in magma sources as the lithosphere thins, beginning with melting of wet mantle and compositionally fertile mafic components near the lithosphere-asthenosphere boundary during the earliest stages of extension. This transitions to magmatism dominated by melting of relatively fertile ultramafic components (pyrolitic and pyroxenitic compositions) as extension progresses, and finally to melting of ambient lherzolite asthenosphere as lithosphere thinning approaches breakup. Mantle composition, pre-rift lithosphere thickness, and mantle temperature exert the greatest controls on the timing and volumes of magmas produced from each lithology. In general, a cool or thick lithosphere has a greater capacity to sequester fertile lithologies than thin or warm lithosphere, and thus has a greater capacity to produce early syn-rift magmas without requiring a hot mantle plume.</t>
  </si>
  <si>
    <t>[Mayle, M.; Harry, D. L.] Colorado State Univ, Dept Geosci, Ft Collins, CO 80523 USA</t>
  </si>
  <si>
    <t>Colorado State University</t>
  </si>
  <si>
    <t>Mayle, M (corresponding author), Colorado State Univ, Dept Geosci, Ft Collins, CO 80523 USA.</t>
  </si>
  <si>
    <t>micah.mayle@colostate.edu</t>
  </si>
  <si>
    <t>National Science Foundation [ANT-1169553]</t>
  </si>
  <si>
    <t>We would like to thank Eric Brown and Charles Lesher for their substantial contributions to the MELT1D code development and for comments on a previous version of the paper. We thank Eli Crocker for verifying and testing the MELT1D code. We would also like to recognize and thank Folarin Kolawole, Derek Schutt, and Samuel Mukasa for many helpful discussions regarding mantle melts and syn-rift magmatism. We thank Emmanuel Njinju and an anonymous reviewer for their helpful comments. This work was supported by National Science Foundation~Grant ANT-1169553 awarded to D. L. Harry.</t>
  </si>
  <si>
    <t>2169-9313</t>
  </si>
  <si>
    <t>2169-9356</t>
  </si>
  <si>
    <t>J GEOPHYS RES-SOL EA</t>
  </si>
  <si>
    <t>J. Geophys. Res.-Solid Earth</t>
  </si>
  <si>
    <t>e2023JB027072</t>
  </si>
  <si>
    <t>10.1029/2023JB027072</t>
  </si>
  <si>
    <t>Q8OP3</t>
  </si>
  <si>
    <t>WOS:001060063100001</t>
  </si>
  <si>
    <t>Ahmmed, MK; Bhowmik, S; Ahmmed, F; Giteru, SG; Islam, SS; Hachem, M; Hussain, MA; Kanwugu, ON; Agyei, D; Defoirdt, T</t>
  </si>
  <si>
    <t>Ahmmed, Mirja Kaizer; Bhowmik, Shuva; Ahmmed, Fatema; Giteru, Stephen G.; Islam, Shikder Saiful; Hachem, Mayssa; Hussain, Md. Ashraf; Kanwugu, Osman N.; Agyei, Dominic; Defoirdt, Tom</t>
  </si>
  <si>
    <t>Utilisation of probiotics for disease management in giant freshwater prawn (Macrobrachium rosenbergii): Administration methods, antagonistic effects and immune response</t>
  </si>
  <si>
    <t>JOURNAL OF FISH DISEASES</t>
  </si>
  <si>
    <t>disease control; host-derived probiotics; innate immunity; microorganisms; prawn; probiotic administration</t>
  </si>
  <si>
    <t>LACTIC-ACID BACTERIA; HOST ASSOCIATED MICROFLORA; SHRIMP PENAEUS-MONODON; WHITE TAIL DISEASE; DE-MAN; GROWTH-PERFORMANCE; LACTOBACILLUS-PLANTARUM; TIGER SHRIMP; METSCHNIKOWIA-BICUSPIDATA; DIETARY SUPPLEMENTATION</t>
  </si>
  <si>
    <t>The giant freshwater prawn (Macrobrachium rosenbergii) is a high-yielding prawn variety well-received worldwide due to its ability to adapt to freshwater culture systems. Macrobrachium rosenbergii is an alternative to shrimp typically obtained from marine and brackish aquaculture systems. However, the use of intensive culture systems can lead to disease outbreaks, particularly in larval and post-larval stages, caused by pathogenic agents such as viruses, bacteria, fungi, yeasts and protozoans. White tail disease (viral), white spot syndrome (viral) and bacterial necrosis are examples of economically significant diseases. Given the increasing antibiotic resistance of disease-causing microorganisms, probiotics have emerged as promising alternatives for disease control. Probiotics are live active microbes that are introduced into a target host in an adequate number or dose to promote its health. In the present paper, we first discuss the diseases that occur in M. rosenbergii production, followed by an in-depth discussion on probiotics. We elaborate on the common methods of probiotics administration and explain the beneficial health effects of probiotics as immunity enhancers. Moreover, we discuss the antagonistic effects of probiotics on pathogenic microorganisms. Altogether, this paper provides a comprehensive overview of disease control in M. rosenbergii aquaculture through the use of probiotics, which could enhance the sustainability of prawn culture.</t>
  </si>
  <si>
    <t>[Ahmmed, Mirja Kaizer] Chittagong Vet &amp; Anim Sci Univ, Dept Fishing &amp; Postharvest Technol, Chittagong, Bangladesh; [Ahmmed, Mirja Kaizer; Ahmmed, Fatema] Massey Univ, Riddet Inst, Palmerston North, New Zealand; [Bhowmik, Shuva] Univ Otago, Fac Dent, Ctr Bioengn &amp; Nanomed, Div Hlth Sci, Dunedin, New Zealand; [Bhowmik, Shuva; Giteru, Stephen G.; Agyei, Dominic] Univ Otago, Dept Food Sci, Dunedin, New Zealand; [Bhowmik, Shuva] Noakhali Sci &amp; Technol Univ, Dept Fisheries &amp; Marine Sci, Noakhali, Bangladesh; [Ahmmed, Fatema] Univ Otago, Dept Chem, Dunedin, New Zealand; [Giteru, Stephen G.] Alliance Grp Ltd, Invercargill, New Zealand; [Islam, Shikder Saiful] Khulna Univ, Life Sci Sch, Fisheries &amp; Marine Resource Technol Discipline, Khulna, Bangladesh; [Islam, Shikder Saiful] Univ Tasmania, Inst Marine &amp; Antarctic Studies, Launceston, Tas, Australia; [Hachem, Mayssa] Khalifa Univ, Dept Chem, Abu Dhabi, U Arab Emirates; [Hachem, Mayssa] Khalifa Univ, Healthcare Engn Innovat Ctr, Abu Dhabi, U Arab Emirates; [Hussain, Md. Ashraf] Sylhet Agr Univ, Dept Fisheries Technol &amp; Qual Control, Sylhet, Bangladesh; [Hussain, Md. Ashraf] Macquarie Univ, ARC Ctr Excellence Synthet Biol, Sydney, NSW, Australia; [Hussain, Md. Ashraf] Macquarie Univ, Sch Nat Sci, Sydney, NSW, Australia; [Kanwugu, Osman N.] Ural Fed Univ, Inst Chem Engn, Ekaterinburg, Russia; [Defoirdt, Tom] Univ Ghent, Ctr Microbial Ecol &amp; Technol, Ghent, Belgium; [Defoirdt, Tom] Univ Ghent, Ctr Microbial Ecol &amp; Technol, Coupure Links 653, B-9000 Ghent, Belgium</t>
  </si>
  <si>
    <t>Massey University; University of Otago; University of Otago; Noakhali Science &amp; Technology University (NSTU); University of Otago; Khulna University; University of Tasmania; Khalifa University of Science &amp; Technology; Khalifa University of Science &amp; Technology; Sylhet Agricultural University; Macquarie University; Macquarie University; Ural Federal University; Ghent University; Ghent University</t>
  </si>
  <si>
    <t>Defoirdt, T (corresponding author), Univ Ghent, Ctr Microbial Ecol &amp; Technol, Coupure Links 653, B-9000 Ghent, Belgium.</t>
  </si>
  <si>
    <t>kaizer@cvasu.ac.bd; tom.defoirdt@ugent.be</t>
  </si>
  <si>
    <t>AHMMED, MIRJA KAIZER/AAA-5000-2019; Kanwugu, Osman/AAG-2642-2019; Bhowmik, Shuva/AAO-8441-2020; Hussain, Md. Ashraf/AAN-1481-2021; Agyei, Dominic/A-7041-2011; Giteru, Stephen/D-4840-2017; Defoirdt, Tom/A-5120-2009</t>
  </si>
  <si>
    <t>AHMMED, MIRJA KAIZER/0000-0003-4467-0615; Kanwugu, Osman/0000-0003-3887-1058; Bhowmik, Shuva/0000-0002-3858-7359; Hussain, Md. Ashraf/0000-0002-4769-3401; Ahmmed, Fatema/0000-0001-9008-4137; Agyei, Dominic/0000-0003-2280-4096; Giteru, Stephen/0000-0001-5278-8424; Hachem, Mayssa/0000-0003-1986-8304; Defoirdt, Tom/0000-0002-7446-2246</t>
  </si>
  <si>
    <t>Bijzonder Onderzoeksfonds UGent; University of Otago; Ural Federal University</t>
  </si>
  <si>
    <t>0140-7775</t>
  </si>
  <si>
    <t>1365-2761</t>
  </si>
  <si>
    <t>J FISH DIS</t>
  </si>
  <si>
    <t>J. Fish Dis.</t>
  </si>
  <si>
    <t>DEC</t>
  </si>
  <si>
    <t>10.1111/jfd.13850</t>
  </si>
  <si>
    <t>Fisheries; Marine &amp; Freshwater Biology; Veterinary Sciences</t>
  </si>
  <si>
    <t>X4TB2</t>
  </si>
  <si>
    <t>WOS:001059838200001</t>
  </si>
  <si>
    <t>Yu, LB; Liu, GX; Zhang, R; Wang, DD</t>
  </si>
  <si>
    <t>Yu, Laibo; Liu, Guoxiang; Zhang, Rui; Wang, Dongdong</t>
  </si>
  <si>
    <t>Differences Evaluation among Three Global Remote Sensing SDL Products</t>
  </si>
  <si>
    <t>surface downwelling longwave radiation; CERES-SYN; ECMWF-SRB; GEWEX-SRB</t>
  </si>
  <si>
    <t>SURFACE RADIATION; PARAMETERIZATION; VALIDATION; FLUXES; CLOUD</t>
  </si>
  <si>
    <t>At present, a variety of global remote sensing surface downwelling longwave radiation (SDL) products are used for atmospheric science research; however, there are few studies on the quantitative evaluation of differences among different SDL products. In order to evaluate the differences among different SDL products quantitatively, we have selected three commonly used SDL products-Clouds and the Earth's Radiant Energy System-Synoptic Radiative Fluxes and Clouds (CERES-SYN), the European Centre for Medium Range Weather Forecasts-Surface Radiation Budget (ECMWF-SRB) and the Global Energy and Water Exchanges Project-Surface Radiation Budget (GEWEX-SRB)-to comprehensively study in this paper. The results show that there are significant differences among the three SDL products in some areas, such as in the Arctic, the Antarctic, the Sahara, the Tibet Plateau, and Greenland. The maximum absolute root mean square error (RMSEab) in these areas is greater than 20 Wm-2, the maximum relative root mean square error (RMSEre) is greater than 20%, the maximum and minimum absolute mean bias error (MBEab) are about 20 Wm-2 and -20 Wm-2, respectively, and the maximum and minimum relative mean bias error (MBEre) are about 10% and -10%, respectively. Among the three SDL products, the difference between the ECMWF-SRB and GEWEX-SRB is the most significant. In addition, this paper also analyzed the differences among different SDL products based on three aspects. Firstly, the differences among the three SDL products show that there is significant seasonality, and the differences among different months may vary greatly. However, the differences are not sensitive to years. Secondly, there are some differences in cloud-forcing radiative fluxes (CFRFs) of different SDL products, which is also an important factor affecting the difference between different SDL products. Finally, in the process of converting high temporal resolution SDL products into monthly SDL products, data processing also affects the difference between different SDL products.</t>
  </si>
  <si>
    <t>[Yu, Laibo; Liu, Guoxiang; Zhang, Rui] Southwest Jiaotong Univ, Fac Geosci &amp; Environm Engn, Chengdu 611756, Peoples R China; [Yu, Laibo] China Railway Eryuan Engn Grp Co LTD, Chengdu 610031, Peoples R China</t>
  </si>
  <si>
    <t>Southwest Jiaotong University</t>
  </si>
  <si>
    <t>Liu, GX (corresponding author), Southwest Jiaotong Univ, Fac Geosci &amp; Environm Engn, Chengdu 611756, Peoples R China.</t>
  </si>
  <si>
    <t>rsgxliu@swjtu.edu.cn</t>
  </si>
  <si>
    <t>liu, guoxiang/I-8174-2013; Keyes, Dennis/AAZ-9285-2021</t>
  </si>
  <si>
    <t>Zhang, Rui/0000-0002-0809-7682</t>
  </si>
  <si>
    <t>We thank the researchers from the NASA Langley Research Center EOSDIS Distributed Active Archive Center (ASDC) and the European Centre for Medium Range Weather Forecasts (ECMWF) for providing satellite data and valuable information.</t>
  </si>
  <si>
    <t>10.3390/rs15174244</t>
  </si>
  <si>
    <t>R1TC7</t>
  </si>
  <si>
    <t>WOS:001062225600001</t>
  </si>
  <si>
    <t>Alwahaibi, S; Wheeler, P; Rivera, M; Ahmed, MR</t>
  </si>
  <si>
    <t>Alwahaibi, Sultan; Wheeler, Patrick; Rivera, Marco; Ahmed, Md Rishad</t>
  </si>
  <si>
    <t>Impact of Grid Unbalances on Electric Vehicle Chargers</t>
  </si>
  <si>
    <t>ENERGIES</t>
  </si>
  <si>
    <t>EV battery charger; fault ride-through; converter; grid fault; rectifier</t>
  </si>
  <si>
    <t>MODULAR MULTILEVEL CONVERTER; VOLTAGE; CHALLENGES; PREDICTION; UNIT</t>
  </si>
  <si>
    <t>There is a global trend to reduce emissions from cars through the adoption of other alternatives, such as electric vehicles (EVs). The increasing popularity of EVs has led to a growing demand for electric vehicle chargers. EV chargers are essential for charging the batteries of EVs. Since the EV charger stays connected to the grid for long periods of time to charge the EV battery, it must be able to handle disturbances in the power grid. The goal of this paper is to present an overview of the impact of grid events on EV battery chargers. As well as the impact of grid unbalances on EV chargers, this paper also provides an overview of the impact of grid faults on other, similar power electronics interfaced resources such as PV and energy storage systems.</t>
  </si>
  <si>
    <t>[Alwahaibi, Sultan] Univ Hafr Al Batin, Coll Engn, Elect Engn Dept, Hafar al Batin 39524, Saudi Arabia; [Alwahaibi, Sultan; Wheeler, Patrick; Rivera, Marco; Ahmed, Md Rishad] Univ Nottingham, Fac Engn, Dept Elect &amp; Elect Engn, Power Elect Machines &amp; Control PEMC Res Grp, 15 Triumph Rd, Nottingham NG7 2GT, England; [Rivera, Marco] Univ Talca, Lab Energy Convers &amp; Power Elect, Curico 3341717, Chile</t>
  </si>
  <si>
    <t>Hafr Albatin University; University of Nottingham; Universidad de Talca</t>
  </si>
  <si>
    <t>Ahmed, MR (corresponding author), Univ Nottingham, Fac Engn, Dept Elect &amp; Elect Engn, Power Elect Machines &amp; Control PEMC Res Grp, 15 Triumph Rd, Nottingham NG7 2GT, England.</t>
  </si>
  <si>
    <t>salwahaibi@uhb.edu.sa; pat.wheeler@nottingham.ac.uk; marco.rivera@nottingham.ac.uk; rishad.ahmed@nottingham.ac.uk</t>
  </si>
  <si>
    <t>Alwahaibi, Sultan/ITV-8171-2023</t>
  </si>
  <si>
    <t>Alwahaibi, Sultan/0000-0002-5352-046X; Wheeler, Patrick/0000-0003-0307-581X</t>
  </si>
  <si>
    <t>Ministry of Education, Saudi Arabia; University of Hafr Al Batin [1063908469]; Agencia Nacional de Investigacion y Desarrollo (ANID) FONDECYT [1220556]; Centre for Multidisciplinary Research on Smart and Sustainable Energy Technologies for Sub-Antarctic Regions [220023, 1522A0006]; University of Nottingham [IRCF A7I502]; Faculty of Engineering, University of Nottingham IRCF; FPVC</t>
  </si>
  <si>
    <t>Ministry of Education, Saudi Arabia; University of Hafr Al Batin; Agencia Nacional de Investigacion y Desarrollo (ANID) FONDECYT; Centre for Multidisciplinary Research on Smart and Sustainable Energy Technologies for Sub-Antarctic Regions; University of Nottingham; Faculty of Engineering, University of Nottingham IRCF; FPVC</t>
  </si>
  <si>
    <t>This work has been funded through a Ph.D. scholarship by the Ministry of Education, Saudi Arabia, the University of Hafr Al Batin (Scholarship number 1063908469). The authors would like to express their gratitude for this PhD scholarship. The authors thank the funding provided by the Agencia Nacional de Investigacion y Desarrollo (ANID) FONDECYT Regular grant number 1220556, the Centre for Multidisciplinary Research on Smart and Sustainable Energy Technologies for Sub-Antarctic Regions under Climate Crisis ANID/ATE220023, Fondap SERC 1522A0006 and IRCF A7I502 project from the University of Nottingham. The authors would also like to acknowledge the Faculty of Engineering, University of Nottingham IRCF and FPVC grants.</t>
  </si>
  <si>
    <t>1996-1073</t>
  </si>
  <si>
    <t>Energies</t>
  </si>
  <si>
    <t>10.3390/en16176201</t>
  </si>
  <si>
    <t>Energy &amp; Fuels</t>
  </si>
  <si>
    <t>R0AX0</t>
  </si>
  <si>
    <t>WOS:001061062100001</t>
  </si>
  <si>
    <t>Larocca, G; Contrafatto, D; Cannata, A; Giudice, G</t>
  </si>
  <si>
    <t>Larocca, Graziano; Contrafatto, Danilo; Cannata, Andrea; Giudice, Gaetano</t>
  </si>
  <si>
    <t>Multiparametric Monitoring System of Mt. Melbourne Volcano (Victoria Land, Antarctica)</t>
  </si>
  <si>
    <t>SENSORS</t>
  </si>
  <si>
    <t>sensor network; volcano monitoring; extreme weather conditions; Antarctica</t>
  </si>
  <si>
    <t>REGION</t>
  </si>
  <si>
    <t>Volcano monitoring is the key approach in mitigating the risks associated with volcanic phenomena. Although Antarctic volcanoes are characterized by remoteness, the 2010 Eyjafjallajokull eruption and the 2022 Hunga eruption have reminded us that even the farthest and/or least-known volcanoes can pose significant hazards to large and distant communities. Hence, it is important to also develop monitoring systems in the Antarctic volcanoes, which involves installing and maintaining multiparametric instrument networks. These tasks are particularly challenging in polar regions as the instruments have to face the most extreme climate on the Earth, characterized by very low temperatures and strong winds. In this work, we describe the multiparametric monitoring system recently deployed on the Melbourne volcano (Victoria Land, Antarctica), consisting of seismic, geochemical and thermal sensors together with powering, transmission and acquisition systems. Particular strategies have been applied to make the monitoring stations efficient despite the extreme weather conditions. Fumarolic ice caves, located on the summit area of the Melbourne volcano, were chosen as installation sites as they are protected places where no storm can damage the instruments and temperatures are close to 0 &amp; DEG;C all year round. In addition, the choice of instruments and their operating mode has also been driven by the necessity to reduce energy consumption. Indeed, one of the most complicated tasks in Antarctica is powering a remote instrument year-round. The technological solutions found to implement the monitoring system of the Melbourne volcano and described in this work can help create volcano monitoring infrastructures in other polar environments.</t>
  </si>
  <si>
    <t>[Larocca, Graziano; Contrafatto, Danilo; Cannata, Andrea; Giudice, Gaetano] Ist Nazl Geofis &amp; Vulcanol, Osservatorio Etneo, Piazza Roma 2, I-95123 Catania, Italy; [Cannata, Andrea] Univ Catania, Dipartimento Sci Biol Geol &amp; Ambientali, Sez Sci Terra, Corso Italia 57, I-95129 Catania, Italy</t>
  </si>
  <si>
    <t>Istituto Nazionale Geofisica e Vulcanologia (INGV); University of Catania</t>
  </si>
  <si>
    <t>Giudice, G (corresponding author), Ist Nazl Geofis &amp; Vulcanol, Osservatorio Etneo, Piazza Roma 2, I-95123 Catania, Italy.</t>
  </si>
  <si>
    <t>graziano.larocca@ingv.it; danilo.contrafatto@ingv.it; andrea.cannata@unict.it; gaetano.giudice@ingv.it</t>
  </si>
  <si>
    <t>; Cannata, Andrea/N-8589-2014</t>
  </si>
  <si>
    <t>Giudice, Gaetano/0000-0002-9410-4139; contrafatto, danilo/0000-0002-6916-5239; Cannata, Andrea/0000-0002-0028-5822</t>
  </si>
  <si>
    <t>We acknowledge PNRA (Programma Nazionale di Ricerche in Antartide) for funding the project, ENEA (Agenzia nazionale per le nuove tecnologie, l'energia e lo sviluppo economico sostenibile) for providing field logistics, and CNR (Consiglio Nazionale delle Ri; PNRA (Programma Nazionale di Ricerche in Antartide); CNR</t>
  </si>
  <si>
    <t>We acknowledge PNRA (Programma Nazionale di Ricerche in Antartide) for funding the project, ENEA (Agenzia nazionale per le nuove tecnologie, l'energia e lo sviluppo economico sostenibile) for providing field logistics, and CNR (Consiglio Nazionale delle Ri; PNRA (Programma Nazionale di Ricerche in Antartide); CNR(Consiglio Nazionale delle Ricerche (CNR))</t>
  </si>
  <si>
    <t>We acknowledge PNRA (Programma Nazionale di Ricerche in Antartide) for funding the project, ENEA (Agenzia nazionale per le nuove tecnologie, l'energia e lo sviluppo economico sostenibile) for providing field logistics, and CNR (Consiglio Nazionale delle Ricerche) for scientific support. Special thanks are given to Domenico Longo (Department Di3A, University of Catania), who collaborated to develop the accumulation chamber system, its visualization web interface and the Matlab flux computation software. We thank the anonymous reviewers for their very useful suggestions.</t>
  </si>
  <si>
    <t>1424-8220</t>
  </si>
  <si>
    <t>SENSORS-BASEL</t>
  </si>
  <si>
    <t>Sensors</t>
  </si>
  <si>
    <t>10.3390/s23177594</t>
  </si>
  <si>
    <t>Chemistry, Analytical; Engineering, Electrical &amp; Electronic; Instruments &amp; Instrumentation</t>
  </si>
  <si>
    <t>Chemistry; Engineering; Instruments &amp; Instrumentation</t>
  </si>
  <si>
    <t>R1PJ6</t>
  </si>
  <si>
    <t>WOS:001062128100001</t>
  </si>
  <si>
    <t>Rekadwad, BN; Li, WJ; Gonzalez, JM; Devasya, RP; Bhagwath, AA; Urana, R; Parwez, K</t>
  </si>
  <si>
    <t>Rekadwad, Bhagwan Narayan; Li, Wen-Jun; Gonzalez, Juan M.; Punchappady Devasya, Rekha; Ananthapadmanabha Bhagwath, Arun; Urana, Ruchi; Parwez, Khalid</t>
  </si>
  <si>
    <t>Extremophiles: the species that evolve and survive under hostile conditions</t>
  </si>
  <si>
    <t>3 BIOTECH</t>
  </si>
  <si>
    <t>Extreme environments; Extremophiles; Thermophiles; Extremozymes; Halophiles; Acidophiles; Barophiles; Psychrophiles; Polyextremophiles</t>
  </si>
  <si>
    <t>GAS VACUOLATE BACTERIA; ANTARCTIC SEA-ICE; SP. NOV.; DNA-POLYMERASE; GEN. NOV.; CELL-MEMBRANE; ALPHA-AMYLASE; HOT-SPRINGS; SODA LAKE; RIO TINTO</t>
  </si>
  <si>
    <t>Extremophiles possess unique cellular and molecular mechanisms to assist, tolerate, and sustain their lives in extreme habitats. These habitats are dominated by one or more extreme physical or chemical parameters that shape existing microbial communities and their cellular and genomic features. The diversity of extremophiles reflects a long list of adaptations over millions of years. Growing research on extremophiles has considerably uncovered and increased our understanding of life and its limits on our planet. Many extremophiles have been greatly explored for their application in various industrial processes. In this review, we focused on the characteristics that microorganisms have acquired to optimally thrive in extreme environments. We have discussed cellular and molecular mechanisms involved in stability at respective extreme conditions like thermophiles, psychrophiles, acidophiles, barophiles, etc., which highlight evolutionary aspects and the significance of extremophiles for the benefit of mankind.</t>
  </si>
  <si>
    <t>[Li, Wen-Jun] Sun Yat Sen Univ, Sch Life Sci, State Key Lab Biocontrol, Guangdong Prov Key Lab Plant Resources, Guangzhou 510275, Peoples R China; [Li, Wen-Jun] Sun Yat Sen Univ, Sch Life Sci, Southern Marine Sci &amp; Engn Guangdong Lab Zhuhai, Guangzhou 510275, Peoples R China; [Rekadwad, Bhagwan Narayan; Punchappady Devasya, Rekha; Ananthapadmanabha Bhagwath, Arun] Yenepoya Deemed be Univ, Yenepoya Res Ctr, Div Microbiol &amp; Biotechnol, Univ Rd, Mangalore 575018, Karnataka, India; [Gonzalez, Juan M.] IRNAS CSIC, Agencia Estatal Consejo Super Invest Cient, Microbial Divers &amp; Microbiol Extreme Environm Res, Avda Reina Mercedes 10, Seville 41012, Spain; [Rekadwad, Bhagwan Narayan] Savitribai Phule Pune Univ Campus, Natl Ctr Microbial Resource NCMR, DBT Natl Ctr Cell Sci DBT NCCS, Ganeshkhind Rd, Pune 411007, Maharashtra, India; [Rekadwad, Bhagwan Narayan] Savitribai Phule Pune Univ SPPU, Inst Bioinformat &amp; Biotechnol IBB, Ganeshkhind Rd, Pune 411007, Maharashtra, India; [Ananthapadmanabha Bhagwath, Arun] Yenepoya Deemed be Univ, Yenepoya Inst Arts Sci Commerce &amp; Management, Constituent Unit, Mangalore 575002, Karnataka, India; [Urana, Ruchi] Guru Jambheshwar Univ Sci &amp; Technol, Fac Environm &amp; Bio Sci &amp; Technol, Dept Environm Sci &amp; Engn, Hisar 125001, Haryana, India; [Parwez, Khalid] Shree Narayan Med Inst &amp; Hosp, Dept Microbiol, Saharsa 852201, Bihar, India</t>
  </si>
  <si>
    <t>Sun Yat Sen University; Southern Marine Science &amp; Engineering Guangdong Laboratory; Southern Marine Science &amp; Engineering Guangdong Laboratory (Zhuhai); Sun Yat Sen University; Yenepoya (Deemed to be University); Consejo Superior de Investigaciones Cientificas (CSIC); CSIC - Instituto de Recursos Naturales y Agrobiologia de Sevilla (IRNAS); Savitribai Phule Pune University; Yenepoya (Deemed to be University); Guru Jambheshwar University of Science &amp; Technology</t>
  </si>
  <si>
    <t>Li, WJ (corresponding author), Sun Yat Sen Univ, Sch Life Sci, State Key Lab Biocontrol, Guangdong Prov Key Lab Plant Resources, Guangzhou 510275, Peoples R China.;Li, WJ (corresponding author), Sun Yat Sen Univ, Sch Life Sci, Southern Marine Sci &amp; Engn Guangdong Lab Zhuhai, Guangzhou 510275, Peoples R China.</t>
  </si>
  <si>
    <t>rekadwad@gmail.com; liwenjun3@mail.sysu.edu.cn; jmgrau@irnase.csic.es</t>
  </si>
  <si>
    <t>li, wenjun/B-1078-2018</t>
  </si>
  <si>
    <t>Liu, Yong-Hong/0000-0002-7391-7093</t>
  </si>
  <si>
    <t>Key-Area Research and Development Program of Guangdong Province [32061143043, YU/SeedGrant/104-2021]; National Natural Science Foundation of China; Yenepoya (Deemed to be University), India; [2022B0202110001]</t>
  </si>
  <si>
    <t>Key-Area Research and Development Program of Guangdong Province; National Natural Science Foundation of China(National Natural Science Foundation of China (NSFC)); Yenepoya (Deemed to be University), India;</t>
  </si>
  <si>
    <t>This research was supported by Key-Area Research and Development Program of Guangdong Province (2022B0202110001), National Natural Science Foundation of China (Nos: 31972856~and 32061143043) and Yenepoya (Deemed to be University), India (No. YU/SeedGrant/104-2021). All authors duly acknowledge Dr. Manik Prabhu Narsing Rao (former affiliation: Sun Yat-Sen University, Guangzhou 510275, PR China) for his advice during preparation of the manuscript.</t>
  </si>
  <si>
    <t>SPRINGER HEIDELBERG</t>
  </si>
  <si>
    <t>HEIDELBERG</t>
  </si>
  <si>
    <t>TIERGARTENSTRASSE 17, D-69121 HEIDELBERG, GERMANY</t>
  </si>
  <si>
    <t>2190-572X</t>
  </si>
  <si>
    <t>2190-5738</t>
  </si>
  <si>
    <t>3 Biotech</t>
  </si>
  <si>
    <t>10.1007/s13205-023-03733-6</t>
  </si>
  <si>
    <t>Biotechnology &amp; Applied Microbiology</t>
  </si>
  <si>
    <t>Q0SE6</t>
  </si>
  <si>
    <t>WOS:001054692300001</t>
  </si>
  <si>
    <t>Wang, T; Zhou, CX; Qian, YD; Chen, G; Zhu, DY; Zhu, YK; Liu, Y</t>
  </si>
  <si>
    <t>Wang, Tao; Zhou, Chunxia; Qian, Yide; Chen, Gang; Zhu, Dongyu; Zhu, Yikai; Liu, Yong</t>
  </si>
  <si>
    <t>Basal Channel System and Polynya Effect on a Regional Air-Ice-Ocean-Biology Environment System in the Prydz Bay, East Antarctica</t>
  </si>
  <si>
    <t>JOURNAL OF GEOPHYSICAL RESEARCH-EARTH SURFACE</t>
  </si>
  <si>
    <t>basal channel system; Prydz Bay; Amery Ice Shelf; remote sensing; air-ice-ocean-biology interaction; Mackenzie polynya</t>
  </si>
  <si>
    <t>CIRCUMPOLAR DEEP-WATER; MARINE ICE; SHELF STABILITY; BENEATH; GLACIER; MELT; CIRCULATION; FRONT; LINKS; SEA</t>
  </si>
  <si>
    <t>The interaction of air-ice-ocean-biology plays a key role in the global environment and sea-level changes. The basal channel at the bottom of the Amery Ice Shelf (AIS) and the Mackenzie polynya are the intense sites for the interaction of air-ice-ocean-biology in the Prydz Bay. In this study, the spatio-temporal distribution characteristics of the complex basal channel system from the 1990s to 2019 are discovered and analyzed. The shapes of the channels are inverted-V in the deep parts, gradually becoming inverted-U as it develops in accordance with the direction of erosion. The deepest part of the basal channel system is over 800 m resulting from the meltwater plumes at the southernmost grounding zone. The linear and thinner channel region is the weakest and most sensitive part under ocean forcing leading to instability of the AIS (e.g., longitudinal fractures and calving). Conductivity-temperature-depth data are used to confirm the paths and shapes of the warm and cold water in the interaction. Channels can be divided into warm and cold-water channels based on filled water masses. Cold water channels collect the fresh melting water and drain it out. Paths of cold-water columns from different channels extend to the Mackenzie polynya area, which prevents warm water from entering the west AIS. Meltwater from the channels, warm water, brine produced by the Mackenzie polynya, and marine mammals in the polynya together constitute a complex regional environment system of dynamical air-ice-ocean-biology interactions.</t>
  </si>
  <si>
    <t>[Wang, Tao; Zhou, Chunxia; Qian, Yide; Zhu, Dongyu; Zhu, Yikai; Liu, Yong] Wuhan Univ, Chinese Antarctic Ctr Surveying &amp; Mapping, Wuhan, Peoples R China; [Wang, Tao; Zhou, Chunxia; Qian, Yide; Zhu, Dongyu; Zhu, Yikai; Liu, Yong] Wuhan Univ, Minist Educ, Key Lab Polar Environm Monitoring &amp; Publ Governanc, Wuhan, Peoples R China; [Chen, Gang] Univ N Carolina, Dept Geog &amp; Earth Sci, Lab Remote Sensing &amp; Environm Change LRSEC, Charlotte, NC 28223 USA</t>
  </si>
  <si>
    <t>Wuhan University; Wuhan University; University of North Carolina; University of North Carolina Charlotte</t>
  </si>
  <si>
    <t>Zhou, CX (corresponding author), Wuhan Univ, Chinese Antarctic Ctr Surveying &amp; Mapping, Wuhan, Peoples R China.;Zhou, CX (corresponding author), Wuhan Univ, Minist Educ, Key Lab Polar Environm Monitoring &amp; Publ Governanc, Wuhan, Peoples R China.</t>
  </si>
  <si>
    <t>zhoucx@whu.edu.cn</t>
  </si>
  <si>
    <t>liu, sha/JXL-6600-2024; Zhu, Yikai/AAW-6284-2021; sun, bo/JFA-9978-2023; ren, jing/JXN-8411-2024</t>
  </si>
  <si>
    <t>Zhu, Yikai/0000-0002-6613-0188; Qian, Yide/0000-0001-6916-8336</t>
  </si>
  <si>
    <t>This research is funded by the National Natural Science Foundation of China (41941010, 42171133, and 41776200). We thank all the organizations or projects listed in the Section of Data Availability Statement. We thank the anonymous reviewers and editors fo [42171133, 41776200]; National Natural Science Foundation of China; [41941010]</t>
  </si>
  <si>
    <t>This research is funded by the National Natural Science Foundation of China (41941010, 42171133, and 41776200). We thank all the organizations or projects listed in the Section of Data Availability Statement. We thank the anonymous reviewers and editors fo; National Natural Science Foundation of China(National Natural Science Foundation of China (NSFC));</t>
  </si>
  <si>
    <t>This research is funded by the National Natural Science Foundation of China (41941010, 42171133, and 41776200). We thank all the organizations or projects listed in the Section of Data Availability Statement. We thank the anonymous reviewers and editors for their insightful comments to improve the manuscript.</t>
  </si>
  <si>
    <t>2169-9003</t>
  </si>
  <si>
    <t>2169-9011</t>
  </si>
  <si>
    <t>J GEOPHYS RES-EARTH</t>
  </si>
  <si>
    <t>J. Geophys. Res.-Earth Surf.</t>
  </si>
  <si>
    <t>e2023JF007286</t>
  </si>
  <si>
    <t>10.1029/2023JF007286</t>
  </si>
  <si>
    <t>Q8QG6</t>
  </si>
  <si>
    <t>WOS:001060106400001</t>
  </si>
  <si>
    <t>Basso, E; Horstmann, J; Rakhimberdiev, E; Abad-Gómez, JM; Masero, JA; Gutiérrez, JS; Valenzuela, J; Ruiz, J; Navedo, JG</t>
  </si>
  <si>
    <t>Basso, Enzo; Horstmann, Johannes; Rakhimberdiev, Eldar; Abad-Gomez, Jose M.; Masero, Jose A.; Gutierrez, Jorge S.; Valenzuela, Jorge; Ruiz, Jorge; Navedo, Juan G.</t>
  </si>
  <si>
    <t>GPS tracking analyses reveal finely-tuned shorebird space use and movement patterns throughout the non-breeding season in high-latitude austral intertidal areas</t>
  </si>
  <si>
    <t>MOVEMENT ECOLOGY</t>
  </si>
  <si>
    <t>Circadian rhythms; Continuous-time stochastic process; Long-distance migration; Movement ecology; Nomadism; Range-residency</t>
  </si>
  <si>
    <t>HOME-RANGE; SPATIAL MEMORY; LIMOSA-LIMOSA; DENSITY; BIRD; BEHAVIOR; GODWITS; ECOLOGY; CANUTUS; WORLDS</t>
  </si>
  <si>
    <t>BackgroundLong-distance migratory birds spend most of their annual cycle in non-breeding areas. During this period birds must meet their daily nutritional needs and acquire additional energy intake to deal with future events of the annual cycle. Therefore, patterns of space use and movement may emerge as an efficient strategy to maintain a trade-off between acquisition and conservation of energy during the non-breeding season. However, there is still a paucity of research addressing this issue, especially in trans-hemispheric migratory birds.MethodsUsing GPS-tracking data and a recently developed continuous-time stochastic process modeling framework, we analyzed fine-scale movements in a non-breeding population of Hudsonian godwits (Limosa haemastica), a gregarious long-distance migratory shorebird. Specifically, we evaluated if these extreme migrants exhibit restricted, shared, and periodic patterns of space use on one of their main non-breeding grounds in southern South America. Finally, via a generalized additive model, we tested if the observed patterns were consistent within a circadian cycle.ResultsOverall, godwits showed finely-tuned range-residence and periodic movements (each 24-72 h), being similar between day and night. Remarkably, range-resident individuals segregated spatially into three groups. In contrast, a smaller fraction of godwits displayed unpredictable and irregular movements, adding functional connectivity within the population.ConclusionsIn coastal non-breeding areas where resource availability is highly predictable due to tidal cycles, range-resident strategies during both the day and night are the common pattern in a long-distance shorebird population. Alternative patterns exhibited by a fraction of non-resident godwits provide functional connectivity and suggest that the exploratory tendency may be essential for information acquisition and associated with individual traits. The methodological approach we have used contributes to elucidate how the composition of movement phases operates during the non-breeding season in migratory species and can be replicated in non-migratory species as well. Finally, our results highlight the importance of considering movement as a continuum within the annual cycle.</t>
  </si>
  <si>
    <t>[Basso, Enzo; Horstmann, Johannes; Ruiz, Jorge; Navedo, Juan G.] Univ Austral Chile, Bird Ecol Lab, Inst Ciencias Marinas &amp; Limnol, Valdivia, Chile; [Basso, Enzo] Univ Austral Chile, Fac Ciencias, Programa Doctorado Ecol &amp; Evoluc, Valdivia, Chile; [Rakhimberdiev, Eldar] Univ Amsterdam, Inst Biodivers &amp; Ecosyst Dynam, Dept Theoret &amp; Computat Ecol, Amsterdam, Netherlands; [Abad-Gomez, Jose M.; Navedo, Juan G.] Univ Extremadura, Fac Sci, Dept Anat Cell Biol &amp; Zool, Badajoz, Spain; [Masero, Jose A.; Gutierrez, Jorge S.] Univ Extremadura, Fac Sci, Associated Unit CSIC UEX, Ecol Anthropocene,Zool, Badajoz, Spain; [Valenzuela, Jorge] Ctr Estudios &amp; Conservac Patrimonio Nat CECPAN, Chiloe, Chile; [Ruiz, Jorge; Navedo, Juan G.] Univ Austral Chile, Fac Ciencias, Estn Expt Quempillen, Chiloe, Chile; [Navedo, Juan G.] Millennium Inst Biodivers Antarctic &amp; Subantarct E, Santiago, Chile</t>
  </si>
  <si>
    <t>Universidad Austral de Chile; Universidad Austral de Chile; University of Amsterdam; Universidad de Extremadura; Universidad de Extremadura; Universidad Austral de Chile</t>
  </si>
  <si>
    <t>Basso, E (corresponding author), Univ Austral Chile, Bird Ecol Lab, Inst Ciencias Marinas &amp; Limnol, Valdivia, Chile.;Basso, E (corresponding author), Univ Austral Chile, Fac Ciencias, Programa Doctorado Ecol &amp; Evoluc, Valdivia, Chile.</t>
  </si>
  <si>
    <t>ebassoq@gmail.com</t>
  </si>
  <si>
    <t>Rakhimberdiev, Eldar/V-6325-2018; Masero, Jose A./A-9478-2008; Sanchez Gutierrez, Jorge/M-4869-2017</t>
  </si>
  <si>
    <t>Rakhimberdiev, Eldar/0000-0001-6357-6187; Abad-Gomez/0000-0002-3757-8856; Masero, Jose A./0000-0001-5318-4833; Sanchez Gutierrez, Jorge/0000-0001-8459-3162</t>
  </si>
  <si>
    <t>Junta de Extremadura; National Audubon Society - U.S. Fish and Wildlife Service, NMBCA [F16AP00422]; FONDECYT [1161224]; ANID - Millennium ScienceInitiative Program [ICN2021_002]; ANID [21181162]; [DOE 104]</t>
  </si>
  <si>
    <t>Junta de Extremadura; National Audubon Society - U.S. Fish and Wildlife Service, NMBCA; FONDECYT(Comision Nacional de Investigacion Cientifica y Tecnologica (CONICYT)CONICYT FONDECYT); ANID - Millennium ScienceInitiative Program; ANID;</t>
  </si>
  <si>
    <t>JAM was supported by a mobility grant from Junta de Extremadura (DOE 104; June 2017). Also, this project was partially supported by National Audubon Society and through a grant by U.S. Fish and Wildlife Service, NMBCA Grant Award F16AP00422. All fieldwork and analyses other than specified was funded by FONDECYT 1161224 (JGN). In addition, ANID - Millennium ScienceInitiative Program - ICN2021_002 and ANID grant 21181162 funded JGN and EB during writing, respectively.</t>
  </si>
  <si>
    <t>BMC</t>
  </si>
  <si>
    <t>LONDON</t>
  </si>
  <si>
    <t>CAMPUS, 4 CRINAN ST, LONDON N1 9XW, ENGLAND</t>
  </si>
  <si>
    <t>2051-3933</t>
  </si>
  <si>
    <t>MOV ECOL</t>
  </si>
  <si>
    <t>Mov. Ecol.</t>
  </si>
  <si>
    <t>10.1186/s40462-023-00411-3</t>
  </si>
  <si>
    <t>Ecology</t>
  </si>
  <si>
    <t>Environmental Sciences &amp; Ecology</t>
  </si>
  <si>
    <t>Q6UA8</t>
  </si>
  <si>
    <t>WOS:001058844100001</t>
  </si>
  <si>
    <t>de Azevedo, AQ; Jiménez-Espejo, FJ; Bulian, F; Sierro, FJ; Tangunan, D; Takashimizu, Y; Albuquerque, ALS; Kubota, K; Escutia, C; Norris, RD; Hemming, SR; Hall, IR</t>
  </si>
  <si>
    <t>de Azevedo, Allana Queiroz; Jimenez-Espejo, Francisco J.; Bulian, Francesca; Sierro, Francisco J.; Tangunan, Deborah; Takashimizu, Yasuhiro; Albuquerque, Ana Luiza S.; Kubota, Kaoru; Escutia, Carlota; Norris, Richard D.; Hemming, Sidney R.; Hall, Ian R.</t>
  </si>
  <si>
    <t>Orbital Forcing and Evolution of the Southern African Monsoon From Late Miocene to Early Pliocene</t>
  </si>
  <si>
    <t>Southern African Monsoon; Messinian Salinity Crisis; orbital forcing; Miocene/Pliocene; International Ocean Discovery Program</t>
  </si>
  <si>
    <t>STABLE-ISOTOPE STRATIGRAPHY; HADLEY CIRCULATION; SCALE VARIABILITY; HIMALAYAN SYSTEM; SUMMER MONSOON; INDIAN MONSOON; CLIMATE; EAST; SEA; PRECESSION</t>
  </si>
  <si>
    <t>The late Miocene-early Pliocene (7.4-4.5 Ma) is a key interval in Earth's history where intense reorganization of atmospheric and ocean circulation occurred within a global cooling scenario. The Southern African monsoon (SAFM) potentially played an important role in climate systems variability during this interval. However, the dynamics of this important atmospheric system is poorly understood due to the scarcity of continuous records. Here, we present an exceptional continuous late Miocene to early Pliocene reconstruction of SAFM based on elemental geochemistry (Ca/Ti and Si/K ratios), stable isotope geochemistry (delta O-18 and delta C-13 recorded in the planktonic foraminifera Orbulina universa), and marine sediment grain size data from the International Ocean Discovery Program (IODP) Site U1476 located at the entrance of the Mozambique Channel. Spectral characteristics of the Si/K ratio (fluvial input) was used to identify the main orbital forcing controlling SAFM. Precession cycles governed precipitation from 7.4 to similar to 6.9 Ma and during the early Pliocene. From similar to 6.9 to similar to 5.9 Ma, the precession and long eccentricity cycles drove the SAFM. The major Antarctic ice sheet expansion across this interval appear to influence the isotopic records of O. universa imprinting its long-term variability signal as a response to the ocean and atmospheric reorganization. Precession cycles markedly weakened from 5.9 to 5.3 Ma, almost the same period when the Mediterranean Outflow Water ceased. These findings highlight important teleconnections among the SAFM, Mediterranean Sea, and other tropical regions.</t>
  </si>
  <si>
    <t>[de Azevedo, Allana Queiroz; Albuquerque, Ana Luiza S.] Univ Fed Fluminense, Programa Pos Grad Geoquim, Rio De Janeiro, Brazil; [Jimenez-Espejo, Francisco J.; Escutia, Carlota] Univ Granada, Consejo Super Invest Cient, Inst Andaluz Ciencias Tierra, Armilla, Spain; [Jimenez-Espejo, Francisco J.; Kubota, Kaoru] Japan Agcy Marine Earth Sci &amp; Technol JAMSTEC, Yokosuka, Japan; [Bulian, Francesca; Sierro, Francisco J.] Univ Salamanca, Dept Geol, Salamanca, Spain; [Bulian, Francesca] Univ Groningen, Groningen Inst Archeol, Groningen, Netherlands; [Tangunan, Deborah; Hall, Ian R.] Cardiff Univ, Sch Earth &amp; Environm Sci, Cardiff, Wales; [Takashimizu, Yasuhiro] Niigata Univ, Math &amp; Nat Sci, Niigata, Japan; [Norris, Richard D.] Univ Calif San Diego, Scripps Inst Oceanog, San Diego, CA USA; [Hemming, Sidney R.] Lamont Doherty Earth Observ, Dept Earth &amp; Environm Sci, New York, NY USA</t>
  </si>
  <si>
    <t>Universidade Federal Fluminense; University of Granada; Consejo Superior de Investigaciones Cientificas (CSIC); CSIC - Instituto Andaluz de Ciencias de la Tierra (IACT); Japan Agency for Marine-Earth Science &amp; Technology (JAMSTEC); University of Salamanca; University of Groningen; Cardiff University; Niigata University; University of California System; University of California San Diego; Scripps Institution of Oceanography; Columbia University</t>
  </si>
  <si>
    <t>Jiménez-Espejo, FJ (corresponding author), Univ Granada, Consejo Super Invest Cient, Inst Andaluz Ciencias Tierra, Armilla, Spain.;Jiménez-Espejo, FJ (corresponding author), Japan Agcy Marine Earth Sci &amp; Technol JAMSTEC, Yokosuka, Japan.</t>
  </si>
  <si>
    <t>Jimenez-Espejo, Francisco J/F-4486-2016; Sierro, Francisco/A-4714-2008; Hall, Ian R/C-2755-2009; Escutia, Carlota/B-8614-2015; Kubota, Kaoru/I-1071-2014; Albuquerque, Ana Luiza/C-5167-2013</t>
  </si>
  <si>
    <t>Jimenez-Espejo, Francisco J/0000-0002-0335-8580; Sierro, Francisco/0000-0002-8647-456X; Kubota, Kaoru/0000-0001-6659-4284; Albuquerque, Ana Luiza/0000-0003-1267-6190; Bulian, Francesca/0000-0002-1003-8761; Azevedo, Allana Queiroz/0000-0001-9475-0651; Norris, Richard/0000-0001-5288-1733</t>
  </si>
  <si>
    <t>Operational Oceanography and Paleoceanography Laboratory (LOOP-Brazil); Andalusian Earth Sciences Institute (IACT-Spain); University of Granada (UGR-Spain); University of Salamanca (USAL-Spain); Coordenacao de Aperfeicoamento de Pessoal de Nivel Superior-CAPES [88887.372122/2019-00]; Spanish Ministry of Science and Innovation [CTM2017-89711-C2-1-P]; European Union through FEDER funds</t>
  </si>
  <si>
    <t>Operational Oceanography and Paleoceanography Laboratory (LOOP-Brazil); Andalusian Earth Sciences Institute (IACT-Spain); University of Granada (UGR-Spain); University of Salamanca (USAL-Spain); Coordenacao de Aperfeicoamento de Pessoal de Nivel Superior-CAPES(Coordenacao de Aperfeicoamento de Pessoal de Nivel Superior (CAPES)); Spanish Ministry of Science and Innovation(Spanish Government); European Union through FEDER funds(European Union (EU)Marie Curie Actions)</t>
  </si>
  <si>
    <t>This research used samples provided by the International Ocean Discovery Program (IODP). The authors thank to Editor Dr. Ursula Roehl, Dr. Christian Zeeden, and the anonymous reviewer for improving the quality of our study providing critical review of it. The authors thank to the Operational Oceanography and Paleoceanography Laboratory (LOOP-Brazil), the Andalusian Earth Sciences Institute (IACT-Spain), the University of Granada (UGR-Spain), and the University of Salamanca (USAL-Spain) for all infrastructure and support. The first author thanks to the Coordenacao de Aperfeicoamento de Pessoal de Nivel Superior-CAPES for Ph.D. fellowship (process 88887.372122/2019-00). FJJE and CE has been supported by the Spanish Ministry of Science and Innovation (Grant CTM2017-89711-C2-1-P), cofunded by the European Union through FEDER funds.</t>
  </si>
  <si>
    <t>e2022PA004588</t>
  </si>
  <si>
    <t>10.1029/2022PA004588</t>
  </si>
  <si>
    <t>Q5DW9</t>
  </si>
  <si>
    <t>Green Published, hybrid, Green Accepted</t>
  </si>
  <si>
    <t>WOS:001057733600001</t>
  </si>
  <si>
    <t>Tamura, TP; Nomura, D; Hirano, D; Tamura, T; Kiuchi, M; Hashida, G; Makabe, R; Ono, K; Ushio, S; Yamazaki, K; Nakayama, Y; Takahashi, KD; Sasaki, H; Murase, H; Aoki, S</t>
  </si>
  <si>
    <t>Tamura, Tetsuya P.; Nomura, Daiki; Hirano, Daisuke; Tamura, Takeshi; Kiuchi, Masaaki; Hashida, Gen; Makabe, Ryosuke; Ono, Kazuya; Ushio, Shuki; Yamazaki, Kaihe; Nakayama, Yoshihiro; Takahashi, Keigo D.; Sasaki, Hiroko; Murase, Hiroto; Aoki, Shigeru</t>
  </si>
  <si>
    <t>Impacts of Basal Melting of the Totten Ice Shelf and Biological Productivity on Marine Biogeochemical Components in Sabrina Coast, East Antarctica</t>
  </si>
  <si>
    <t>Totten Ice Shelf; basal melting; biogeochemical components; biological productivity; Southern Ocean</t>
  </si>
  <si>
    <t>NET COMMUNITY PRODUCTION; SOUTHERN-OCEAN; PHYTOPLANKTON BLOOMS; CONTINENTAL-SHELF; SEASONAL CYCLE; IRON SUPPLIES; CARBONIC-ACID; CO2; DISSOCIATION; NUTRIENT</t>
  </si>
  <si>
    <t>To clarify the impacts of basal melting of the Antarctic ice sheet and biological productivity on biogeochemical processes in Antarctic coastal waters, concentrations of dissolved inorganic carbon (DIC), total alkalinity (TA), inorganic nutrients, chlorophyll a, and stable oxygen isotopic ratios (&amp; delta;18O) were measured from the offshore slope to the ice front of the Totten Ice Shelf (TIS) during the spring/summer of 2018, 2019, and 2020. Modified Circumpolar Deep Water (mCDW) intruded onto the continental shelf off the TIS and flowed along bathymetric troughs into the TIS cavity, where it formed a buoyant mixture with glacial meltwater from the ice shelf base. Physical oceanographic processes mostly determined the distributions of DIC, TA, and nutrient concentrations. However, photosynthesis and dilution by meltwater from sea ice and the ice shelf base decreased DIC, TA, and nutrient concentrations in surface water near the ice front. These causes also reduced the partial pressure of CO2 (pCO2) in surface water by more than 100 &amp; mu;atm with respect to mCDW in austral summer of 2018 and 2020, and the surface water became a strong CO2 sink for the atmosphere. Phytoplankton photosynthesis changed DIC and TA in a molar ratio of 106:16. Thus, pCO2 decreased mostly as a result of photosynthesis while dilution by glacial and sea ice meltwater had a small effect. The nutrient consumption ratio suggested that photosynthesis was stimulated by iron in the water column, supplied to the surface layer via buoyancy-driven upwelling and basal ice shelf meltwater in addition to sea ice meltwater. Oceanographic observations were made from the offshore continental slope to the Totten Ice Shelf (TIS) front in Sabrina Coast, East Antarctica, during spring/summer 2018, 2019, and 2020. Results revealed that surface water was strongly influenced by phytoplankton activity and the dilution effect of meltwater from sea ice and the base of the ice shelf. The nutrient consumption ratio between the winter water near the ice shelf front and surface water suggested that enough iron was present in the water column to stimulate photosynthesis. The iron was likely introduced into the surface water by buoyancy-driven upwelling and meltwater from the base of the TIS in addition to sea ice meltwater. The inflow of modified Circumpolar Deep Water supplied biogeochemical components under the Totten Ice ShelfSurface water was influenced by dilution from ice shelf basal meltwater and sea ice meltwater and was changed by biological productivityIron delivered by buoyancy-driven upwelling, basal ice shelf meltwater, and sea ice meltwater stimulated photosynthesis in surface water</t>
  </si>
  <si>
    <t>[Tamura, Tetsuya P.; Nomura, Daiki; Kiuchi, Masaaki] Hokkaido Univ, Fac Fisheries Sci, Hakodate, Japan; [Nomura, Daiki] Hokkaido Univ, Field Sci Ctr Northern Biosphere, Hakodate, Japan; [Nomura, Daiki] Hokkaido Univ, Arctic Res Ctr, Sapporo, Japan; [Hirano, Daisuke; Tamura, Takeshi; Hashida, Gen; Makabe, Ryosuke; Ushio, Shuki; Yamazaki, Kaihe] Natl Inst Polar Res, Tachikawa, Japan; [Hirano, Daisuke; Tamura, Takeshi; Makabe, Ryosuke; Ushio, Shuki; Takahashi, Keigo D.] Grad Univ Adv Studies, SOKENDAI, Tachikawa, Japan; [Makabe, Ryosuke; Murase, Hiroto] Tokyo Univ Marine Sci &amp; Technol, Tokyo, Japan; [Ono, Kazuya; Yamazaki, Kaihe; Nakayama, Yoshihiro; Aoki, Shigeru] Hokkaido Univ, Inst Low Temp Sci, Sapporo, Japan; [Sasaki, Hiroko] Japan Fisheries Res &amp; Educ Agcy, Fisheries Resources Inst, Yokohama, Japan</t>
  </si>
  <si>
    <t>Hokkaido University; Hokkaido University; Hokkaido University; Research Organization of Information &amp; Systems (ROIS); National Institute of Polar Research (NIPR) - Japan; Graduate University for Advanced Studies - Japan; Tokyo University of Marine Science &amp; Technology; Hokkaido University; Japan Fisheries Research &amp; Education Agency (FRA)</t>
  </si>
  <si>
    <t>Nomura, D (corresponding author), Hokkaido Univ, Fac Fisheries Sci, Hakodate, Japan.</t>
  </si>
  <si>
    <t>daiki.nomura@fish.hokudai.ac.jp</t>
  </si>
  <si>
    <t>Hirano, Daisuke/P-3963-2019; Yamazaki, Kaihe/HRC-7878-2023</t>
  </si>
  <si>
    <t>Yamazaki, Kaihe/0000-0003-3631-5365; Takahashi, Keigo/0000-0001-6021-704X</t>
  </si>
  <si>
    <t>We thank the crews of R/V Kaiyo-maru and icebreaker Shirase as well as participants in the cruises for their support in conducting the field work, especially Tomohide Noguchi. We also thank Megumi Kitagawa for oxygen isoto [17H04710, 17H06317, 17H06322, 17K12811, 20K12132, 20H04345, 21H04931, 21H0491, 20H04961, AJ0902]; Japan Society for the Promotion of Science [KP-303]; Science Program of the Japanese Antarctic Research Expedition (JARE) as Prioritized Research [28-14]; National Institute of Polar Research (NIPR); Center for the Promotion of Integrated Sciences of SOKENDAI; [17H04715]; Grants-in-Aid for Scientific Research [20K12132, 20H04961, 20H04313, 22J00870] Funding Source: KAKEN</t>
  </si>
  <si>
    <t>We thank the crews of R/V Kaiyo-maru and icebreaker Shirase as well as participants in the cruises for their support in conducting the field work, especially Tomohide Noguchi. We also thank Megumi Kitagawa for oxygen isoto; Japan Society for the Promotion of Science(Ministry of Education, Culture, Sports, Science and Technology, Japan (MEXT)Japan Society for the Promotion of Science); Science Program of the Japanese Antarctic Research Expedition (JARE) as Prioritized Research; National Institute of Polar Research (NIPR)(National Institute of Polar Research (NIPR) - Japan); Center for the Promotion of Integrated Sciences of SOKENDAI; ; Grants-in-Aid for Scientific Research(Ministry of Education, Culture, Sports, Science and Technology, Japan (MEXT)Japan Society for the Promotion of ScienceGrants-in-Aid for Scientific Research (KAKENHI))</t>
  </si>
  <si>
    <t>We thank the crews of R/V Kaiyo-maru and icebreaker Shirase as well as participants in the cruises for their support in conducting the field work, especially Tomohide Noguchi. We also thank Megumi Kitagawa for oxygen isotopic ratio analyses. We benefited greatly from the advice offered by Atsushi Ooki and from his useful comments concerning the carbonate chemistry and nutrient data in this paper. This work was supported by grants from the Japan Society for the Promotion of Science (#17H04715, #17H04710, #17H06317, #17H06322, #17K12811, #20K12132, #20H04345, #21H04931, #21H0491, #20H04961, and #20K12132), the Science Program of the Japanese Antarctic Research Expedition (JARE) as Prioritized Research AJ0902 (ROBOTICA), the National Institute of Polar Research (NIPR) through Project Research KP-303 and General Collaboration Project #28-14, #2-13, and a grant for education of young scientists, the Center for the Promotion of Integrated Sciences of SOKENDAI, and the Joint Research Program of the Institute of Low Temperature Science, Hokkaido University.</t>
  </si>
  <si>
    <t>e2022GB007510</t>
  </si>
  <si>
    <t>10.1029/2022GB007510</t>
  </si>
  <si>
    <t>Q3IW0</t>
  </si>
  <si>
    <t>WOS:001056494600001</t>
  </si>
  <si>
    <t>Stratification Breakdown in Antarctic Coastal Polynyas. Part II: Influence of an Ice Tongue and Coastline Geometry</t>
  </si>
  <si>
    <t>NOVA BAY POLYNYA; SHELF WATER PRODUCTION; ROSS SEA; VARIABILITY; BEHAVIOR; OCEAN</t>
  </si>
  <si>
    <t>This is Part II of a study examining wintertime destratification in Antarctic coastal polynyas, focusing on providing a qualitative description of the influence of ice tongues and headlands, both common geometric features neighboring the polynyas. The model of a coastal polynya used in Part I is modified to include an ice tongue and a headland to investigate their impacts on the dispersal of water formed at the polynya surface, which is referred to as Polynya Source Water (PSW) here. The model configuration qualitatively represents the settings of some coastal polynyas, such as the Terra Nova Bay Polynya. The simulations highlight that an ice tongue next to a polynya tends to break the alongshore symmetry in the lateral return flows toward the polynya, creating a stagnant region in the corner between the ice tongue and polynya where outflow of the PSW in the water column is suppressed. This enhances sinking of the PSW and accelerates destratification of the polynya water column. Adding a headland to the other side of the polynya tends to restore the alongshore symmetry in the lateral return flows, which increases the offshore PSW transport and slows down destratification in the polynya. This work stresses the importance of resolving small-scale geometric features in simulating vertical mixing in the polynya. It provides a framework to explain spatial and temporal variability in rates of destratification and Dense Shelf Water formation across Antarctic coastal polynyas, and helps understand why some polynyas are sources of Antarctic Bottom Water while others are not.</t>
  </si>
  <si>
    <t>Xu, Yilang/0000-0003-1641-9909; Zhang, Weifeng/0000-0002-2819-1780</t>
  </si>
  <si>
    <t>National Science Foundation [OPP- 1643901, OPP-2021245, OPP-2205008]; [OPP-1643735]</t>
  </si>
  <si>
    <t>National Science Foundation(National Science Foundation (NSF));</t>
  </si>
  <si>
    <t>Acknowledgments. This study is supported by the National Science Foundation through Grants OPP-1643735, OPP- 1643901, and OPP-2021245. YX and WGZ are also supported by OPP-2205008. We thank Dr. Peter Guest for sharing the atmospheric data measured during the PIPERS expedition.</t>
  </si>
  <si>
    <t>10.1175/JPO-D-22-0219.1</t>
  </si>
  <si>
    <t>Q6UE4</t>
  </si>
  <si>
    <t>WOS:001058847700001</t>
  </si>
  <si>
    <t>Aitken, ARA; Li, L; Kulessa, B; Schroeder, D; Jordan, TA; Whittaker, JM; Anandakrishnan, S; Dawson, EJ; Wiens, DA; Eisen, O; Siegert, MJ</t>
  </si>
  <si>
    <t>Aitken, A. R. A.; Li, L.; Kulessa, B.; Schroeder, D.; Jordan, T. A.; Whittaker, J. M.; Anandakrishnan, S.; Dawson, E. J.; Wiens, D. A.; Eisen, O.; Siegert, M. J.</t>
  </si>
  <si>
    <t>Antarctic Sedimentary Basins and Their Influence on Ice-Sheet Dynamics</t>
  </si>
  <si>
    <t>Antarctica; sedimentary basins; ice sheet</t>
  </si>
  <si>
    <t>PINE ISLAND GLACIER; DRONNING MAUD LAND; WILKES SUBGLACIAL BASIN; AMUNDSEN SEA EMBAYMENT; PRINCE-CHARLES MOUNTAINS; GONDWANA BREAK-UP; EASTERN ROSS SEA; MARIE BYRD LAND; WEST ANTARCTICA; AIRBORNE GRAVITY</t>
  </si>
  <si>
    <t>Knowledge of Antarctica's sedimentary basins builds our understanding of the coupled evolution of tectonics, ice, ocean, and climate. Sedimentary basins have properties distinct from basement-dominated regions that impact ice-sheet dynamics, potentially influencing future ice-sheet change. Despite their importance, our knowledge of Antarctic sedimentary basins is restricted. Remoteness, the harsh environment, the overlying ice sheet, ice shelves, and sea ice all make fieldwork challenging. Nonetheless, in the past decade the geophysics community has made great progress in internationally coordinated data collection and compilation with parallel advances in data processing and analysis supporting a new insight into Antarctica's subglacial environment. Here, we summarize recent progress in understanding Antarctica's sedimentary basins. We review advances in the technical capability of radar, potential fields, seismic, and electromagnetic techniques to detect and characterize basins beneath ice and advances in integrated multi-data interpretation including machine-learning approaches. These new capabilities permit a continent-wide mapping of Antarctica's sedimentary basins and their characteristics, aiding definition of the tectonic development of the continent. Crucially, Antarctica's sedimentary basins interact with the overlying ice sheet through dynamic feedbacks that have the potential to contribute to rapid ice-sheet change. Looking ahead, future research directions include techniques to increase data coverage within logistical constraints, and resolving major knowledge gaps, including insufficient sampling of the ice-sheet bed and poor definition of subglacial basin structure and stratigraphy. Translating the knowledge of sedimentary basin processes into ice-sheet modeling studies is critical to underpin better capacity to predict future change.</t>
  </si>
  <si>
    <t>[Aitken, A. R. A.; Li, L.] Univ Western Australia, Sch Earth Sci, Perth, WA, Australia; [Aitken, A. R. A.] Univ Western Australia, Australian Ctr Excellence Antarctic Sci, Perth, WA, Australia; [Kulessa, B.] Swansea Univ, Sch Biosci Geog &amp; Phys, Swansea, Wales; [Kulessa, B.] Univ Tasmania, Sch Geog Planning &amp; Spatial Sci, Hobart, Tas, Australia; [Schroeder, D.; Dawson, E. J.] Stanford Univ, Dept Geophys, Stanford, CA USA; [Schroeder, D.] Stanford Univ, Dept Elect Engn, Stanford, CA USA; [Jordan, T. A.] British Antarctic Survey, Cambridge, Cambs, England; [Whittaker, J. M.] Univ Tasmania, Inst Marine &amp; Antarctic Studies, Hobart, Tas, Australia; [Anandakrishnan, S.] Penn State Univ, Coll Earth &amp; Mineral Sci, University Pk, PA 16802 USA; [Wiens, D. A.] Washington Univ, Dept Earth &amp; Planetary Sci, St Louis, MO USA; [Eisen, O.] Helmholtz Ctr Polar &amp; Marine Res, Alfred Wegener Inst, Glaciol, Bremerhaven, Germany; [Eisen, O.] Univ Bremen, Dept Geosci, Bremen, Germany; [Siegert, M. J.] Imperial Coll London, Grantham Inst, London, England; [Siegert, M. J.] Imperial Coll London, Dept Earth Sci &amp; Engn, London, England; [Siegert, M. J.] Univ Exeter, Cornwall, England</t>
  </si>
  <si>
    <t>University of Western Australia; University of Western Australia; Swansea University; University of Tasmania; Stanford University; Stanford University; UK Research &amp; Innovation (UKRI); Natural Environment Research Council (NERC); NERC British Antarctic Survey; University of Tasmania; Pennsylvania Commonwealth System of Higher Education (PCSHE); Pennsylvania State University; Pennsylvania State University - University Park; Washington University (WUSTL); Helmholtz Association; Alfred Wegener Institute, Helmholtz Centre for Polar &amp; Marine Research; University of Bremen; Imperial College London; Imperial College London; University of Exeter</t>
  </si>
  <si>
    <t>Aitken, ARA (corresponding author), Univ Western Australia, Sch Earth Sci, Perth, WA, Australia.;Aitken, ARA (corresponding author), Univ Western Australia, Australian Ctr Excellence Antarctic Sci, Perth, WA, Australia.</t>
  </si>
  <si>
    <t>alan.aitken@uwa.edu.au</t>
  </si>
  <si>
    <t>Li, Lu/JCO-8017-2023; Whittaker, Joanne/B-3695-2010</t>
  </si>
  <si>
    <t>Li, Lu/0000-0001-6165-2828; Dawson, Eliza/0000-0002-2662-3201; Jordan, Tom/0000-0003-2780-1986; Eisen, Olaf/0000-0002-6380-962X; Schroeder, Dustin/0000-0003-1916-3929; Aitken, Alan/0000-0002-6375-2504; Kulessa, Bernd/0000-0002-4830-4949; Whittaker, Joanne/0000-0002-3170-3935</t>
  </si>
  <si>
    <t>This work rests upon an enormous body of knowledge, and we thank all who have contributed to the acquisition, processing, analysis and modeling of data and to providing a rich base of interpretations to draw on. We thank a broad range of collaborators for; Australian Research Council Special Research Initiative [201806170054]; Australian Centre for Excellence in Antarctic Science [NE/S006621/1]; China Scholarship Council-The University of Western Australia [NE/R010838/1 NE/G013071/2, NE/F016646/2, DGE-1656518]; Natural Environment Research Council; British Antarctic Survey Palaeo Environments, Ice Sheets and Climate Change team; National Science Foundation Graduate Research Fellowship; Council of Australian University Librarians; [SR200100008]; NERC [NE/R010838/1, NE/G013071/2, NE/S006621/1, NE/F016646/2] Funding Source: UKRI</t>
  </si>
  <si>
    <t>This work rests upon an enormous body of knowledge, and we thank all who have contributed to the acquisition, processing, analysis and modeling of data and to providing a rich base of interpretations to draw on. We thank a broad range of collaborators for; Australian Research Council Special Research Initiative(Australian Research Council); Australian Centre for Excellence in Antarctic Science; China Scholarship Council-The University of Western Australia(China Scholarship Council); Natural Environment Research Council(UK Research &amp; Innovation (UKRI)Natural Environment Research Council (NERC)); British Antarctic Survey Palaeo Environments, Ice Sheets and Climate Change team; National Science Foundation Graduate Research Fellowship(National Science Foundation (NSF)); Council of Australian University Librarians; ; NERC(UK Research &amp; Innovation (UKRI)Natural Environment Research Council (NERC))</t>
  </si>
  <si>
    <t>This work rests upon an enormous body of knowledge, and we thank all who have contributed to the acquisition, processing, analysis and modeling of data and to providing a rich base of interpretations to draw on. We thank a broad range of collaborators for conversations that helped to develop the manuscript, including Pippa Whitehouse, Jamin Greenbaum, and Katharina Hochmuth. We thank the Editorial Board for the invitation for this review article. Reviews from Fausto Ferraccioli and an anonymous reviewer, and editorial comments from Associate Editor Rob Bingham helped to improve the manuscript. The authors acknowledge funding support from the following bodies Australian Research Council Special Research Initiative, Australian Centre for Excellence in Antarctic Science (Project Number SR200100008). China Scholarship Council-The University of Western Australia joint Ph.D. scholarship (201806170054). Natural Environment Research Council Grants NE/S006621/1, NE/R010838/1 NE/G013071/2, NE/F016646/2. British Antarctic Survey Palaeo Environments, Ice Sheets and Climate Change team. National Science Foundation Graduate Research Fellowship under Grant DGE-1656518. Open access publishing facilitated by The University of Western Australia, as part of the Wiley - The University of Western Australia agreement via the Council of Australian University Librarians.</t>
  </si>
  <si>
    <t>e2021RG000767</t>
  </si>
  <si>
    <t>10.1029/2021RG000767</t>
  </si>
  <si>
    <t>Q6QL1</t>
  </si>
  <si>
    <t>Green Published, Green Accepted, hybrid</t>
  </si>
  <si>
    <t>WOS:001058749300001</t>
  </si>
  <si>
    <t>Morrison, AK; Huneke, WGC; Neme, J; Spence, P; Hogg, AM; England, MH; Griffies, SM</t>
  </si>
  <si>
    <t>Morrison, Adele K.; Huneke, Wilma G. C.; Neme, Julia; Spence, Paul; Hogg, Andrew McC.; England, Matthew H.; Griffies, Stephen M.</t>
  </si>
  <si>
    <t>Sensitivity of Antarctic Shelf Waters and Abyssal Overturning to Local Winds</t>
  </si>
  <si>
    <t>Antarctica; Southern Ocean; Ocean dynamics; Ocean models</t>
  </si>
  <si>
    <t>SOUTHERN-OCEAN; CONTINENTAL-SHELF; SEA-LEVEL; CLIMATE; VARIABILITY; SLOWDOWN; DRIVEN</t>
  </si>
  <si>
    <t>Winds around the Antarctic continental margin are known to exert a strong control on the local ocean strat-ification and circulation. However, past work has largely focused on the ocean response to changing winds in limited re-gional sectors and the circumpolar dynamical response to polar wind change remains uncertain. In this work, we use a high-resolution global ocean-sea ice model to investigate how dense shelf water formation and the temperature of conti-nental shelf waters respond to changes in the zonal and meridional components of the polar surface winds. Increasing the zonal easterly wind component drives an enhanced southward Ekman transport in the surface layer, raising sea level over the continental shelf and deepening coastal isopycnals. The downward isopycnal movement cools the continental shelf, as colder surface waters replace warmer waters below. However, in this model the zonal easterly winds do not impact the strength of the abyssal overturning circulation, in contrast to past idealized model studies. Instead, increasing the meridio-nal wind speed strengthens the abyssal overturning circulation via a sea ice advection mechanism. Enhanced offshore me-ridional wind speed increases the northward export of sea ice, resulting in decreased sea ice thickness over the continental shelf. The reduction in sea ice coverage leads to increased air-sea heat loss, sea ice formation, brine rejection, dense shelf water formation, and abyssal overturning circulation. Increasing the meridional winds causes warming at depth over most of the continental shelf, due to a heat advection feedback associated with the enhanced overturning circulation.</t>
  </si>
  <si>
    <t>[Morrison, Adele K.; Huneke, Wilma G. C.; Hogg, Andrew McC.] Australian Natl Univ, Res Sch Earth Sci, Canberra, ACT, Australia; [Morrison, Adele K.] Australian Natl Univ, Australian Ctr Excellence Antarctic Sci, Canberra, ACT, Australia; [Huneke, Wilma G. C.] Australian Natl Univ, ARC Ctr Excellence Climate Extremes, Canberra, ACT, Australia; [Neme, Julia; England, Matthew H.] Univ New South Wales, Ctr Marine Sci &amp; Innovat, Sydney, NSW, Australia; [Neme, Julia; England, Matthew H.] Univ New South Wales, Australian Ctr Excellence Antarctic Sci, Sydney, NSW, Australia; [Spence, Paul] Univ Tasmania, Inst Marine &amp; Antarctic Studies, Hobart, Tas, Australia; [Spence, Paul] Univ Tasmania, Australian Ctr Excellence Antarctic Sci, Hobart, Tas, Australia; [Spence, Paul] Univ Tasmania, Australian Antarctic Partnership Program, Hobart, Tas 7005, Australia; [Griffies, Stephen M.] NOAA, Geophys Fluid Dynam Lab, Princeton, NJ USA; [Griffies, Stephen M.] Princeton Univ, Program Atmospher &amp; Ocean Sci, Princeton, NJ 08540 USA</t>
  </si>
  <si>
    <t>Australian National University; Australian National University; Australian National University; University of New South Wales Sydney; University of New South Wales Sydney; University of Tasmania; University of Tasmania; University of Tasmania; National Oceanic Atmospheric Admin (NOAA) - USA; National Oceanic Atmospheric Admin (NOAA) - USA; Princeton University</t>
  </si>
  <si>
    <t>Morrison, AK (corresponding author), Australian Natl Univ, Res Sch Earth Sci, Canberra, ACT, Australia.;Morrison, AK (corresponding author), Australian Natl Univ, Australian Ctr Excellence Antarctic Sci, Canberra, ACT, Australia.</t>
  </si>
  <si>
    <t>adele.morrison@anu.edu.au</t>
  </si>
  <si>
    <t>Huneke, Wilma/GSE-1332-2022; England, Matthew/A-7539-2011; Hogg, Andy McC./A-7553-2011; Griffies, Stephen/N-9144-2019; Morrison, Adele/C-1774-2012</t>
  </si>
  <si>
    <t>Huneke, Wilma/0000-0001-8624-365X; England, Matthew/0000-0001-9696-2930; Hogg, Andy McC./0000-0001-5898-7635; Griffies, Stephen/0000-0002-3711-236X; Morrison, Adele/0000-0002-9904-4980; Neme, Julia/0000-0002-3573-996X</t>
  </si>
  <si>
    <t>Australian Government; Australian Research Council (ARC) [DP190100494]; ARC [DE170100184]; ARC Special Research Initiative, Australian Centre for Excellence in Antarctic Science; [FT190100413]; [SR200100008]</t>
  </si>
  <si>
    <t>Australian Government(Australian Government); Australian Research Council (ARC)(Australian Research Council); ARC(Australian Research Council); ARC Special Research Initiative, Australian Centre for Excellence in Antarctic Science; ;</t>
  </si>
  <si>
    <t>&amp; nbsp;This was an open collaborative project conducted using GitHub, and a full history of project contributions is available here: https://github.com/adele157/easterlies-collaborative-project. This research was undertaken on the National Computational Infrastructure (NCI) in Canberra, Australia, which is supported by the Australian Government. The authors thank the Consortium for Ocean-Sea Ice Modelling in Australia (COSIMA; http://www.cosima.org.au) for making the ACCESS-OM2 suite of models available. AKM was supported by the Australian Research Council (ARC) DECRA Fellowship DE170100184. WGCH was supported by the ARC Discovery Project DP190100494. PS was supported by Australian Research Council (ARC) Future Fellowship FT190100413. This research was also supported by the ARC Special Research Initiative, Australian Centre for Excellence in Antarctic Science (Project SR200100008). We thank Jan-Erik Tesdal for useful comments on an early draft. All authors contributed to the formulation, analysis, and writing of this paper; author order was partly decided by a game of rock-paper-scissors.</t>
  </si>
  <si>
    <t>10.1175/JCLI-D-22-0858.1</t>
  </si>
  <si>
    <t>Q1NP0</t>
  </si>
  <si>
    <t>WOS:001055258000001</t>
  </si>
  <si>
    <t>Wang, YX; Holbrook, NJ; Kajtar, JB</t>
  </si>
  <si>
    <t>Wang, Yuxin; Holbrook, Neil J.; Kajtar, Jules B.</t>
  </si>
  <si>
    <t>Predictability of Marine Heatwaves off Western Australia Using a Linear Inverse Model</t>
  </si>
  <si>
    <t>Indian Ocean; La Nina; Extreme events; Climate prediction; Climate variability</t>
  </si>
  <si>
    <t>INDIAN-OCEAN DIPOLE; OPTIMAL-GROWTH; NINGALOO NINO; IN-SITU; TEMPERATURE; VARIABILITY; PREDICTIONS; MECHANISMS; GENERATION; SHIFT</t>
  </si>
  <si>
    <t>Marine heatwaves (MHWs) off Western Australia (110 &amp; DEG;-116 &amp; DEG;E, 22 &amp; DEG;-32 &amp; DEG;S; herein, WA MHWs) can cause devastating ecological impacts, as was evidenced by the 2011 extreme event. Previous studies suggest that La Nifia is the major large-scale driver of WA MHWs, while the Indian Ocean dipole (IOD) may also play a role. Here, we investigate historical WA MHWs and their connections to these large-scale climate modes in an ocean model (ACCESS-OM2) simulation driven by a prescribed atmosphere from JRA-55-do over 1959-2018. Rather than analyzing sea surface temperature, the WA MHWs and climate mode indices were characterized and investigated in vertically averaged temperature (VAT) to -300-m depth to afford the longer ocean dynamic time scales, including remote oceanic connections. We develop a cyclostationary linear inverse model (CS-LIM; from 35 &amp; DEG;S to 10 &amp; DEG;N, across the Indo-Pacific Ocean), to investigate the relative contributions of La Nifia VAT and positive IOD VAT to the predictability of WA VAT MHWs. Using a large ensemble of CS-LIM simulations, we found that -50% of WA MHWs were preceded about 5 months by La Nifia, and 30% of the MHWs by positive IOD about 20 months prior. While precursor La Nifia or positive IOD, on their own, were found to correspond with increased WA MHW likelihood in the months following (-2.7 times or -1.5 times more likely than by chance, respectively), in combination these climate mode phases were found to produce the largest enhancement in MHW likelihood (-3.2 times more likely than by chance). Additionally, we found that stronger and longer La Nifia and/or positive IOD tend to lead stronger and longer WA MHWs.</t>
  </si>
  <si>
    <t>[Wang, Yuxin; Holbrook, Neil J.; Kajtar, Jules B.] Univ Tasmania, Inst Marine &amp; Antarctic Studies, Hobart, Tas, Australia; [Wang, Yuxin; Holbrook, Neil J.; Kajtar, Jules B.] Univ Tasmania, Australian Res Council, Ctr Excellence Climate Extremes, Hobart, Tas, Australia; [Kajtar, Jules B.] Natl Oceanog Ctr, Southampton, England</t>
  </si>
  <si>
    <t>University of Tasmania; University of Tasmania; NERC National Oceanography Centre</t>
  </si>
  <si>
    <t>Wang, YX (corresponding author), Univ Tasmania, Inst Marine &amp; Antarctic Studies, Hobart, Tas, Australia.;Wang, YX (corresponding author), Univ Tasmania, Australian Res Council, Ctr Excellence Climate Extremes, Hobart, Tas, Australia.</t>
  </si>
  <si>
    <t>yuxin.wang@utas.edu.au</t>
  </si>
  <si>
    <t>LI, YUN/JTV-7108-2023; wang, wang/JQW-3034-2023; chen, gang/JRX-1197-2023; Li, Xinyue/JVN-4601-2024; Yang, Mei/JNS-2225-2023; li, mengyang/JWO-9551-2024; Li, Fan/KBB-8931-2024; zhang, hao/JOJ-7093-2023; zheng, yan/JKJ-3632-2023; Li, Kun/JLL-6505-2023; feng, feng/KBR-1814-2024; Jing, Jing/JSK-6237-2023; Liu, Zhe/KEJ-5299-2024; Lin, Lin/JTU-1595-2023; LI, LI/KCJ-5600-2024; wang, xi/JNT-5162-2023; yang, le/KFB-5420-2024; yang, zhou/KBB-6972-2024; Wang, Xintong/JJE-1189-2023; xiao, wei/KCK-6954-2024; Li, Jiawei/JOJ-9277-2023; Zhang, yuxuan/JXM-9935-2024; yang, kun/JGM-4169-2023; Zhang, Bo/JVD-9890-2024; ZHENG, YI/KAM-6536-2024; Chen, Xiao/KBD-1464-2024; liu, feng/KCL-0778-2024; Liu, qi/JZT-5038-2024; Wang, Zejun/KBB-8454-2024; li, rui/JVM-8999-2024; Holbrook, Neil/M-7544-2013</t>
  </si>
  <si>
    <t>Li, Kun/0000-0002-3638-2974; Holbrook, Neil/0000-0002-3523-6254</t>
  </si>
  <si>
    <t>China Scholarship Council (CSC) Grant from the Ministry of Education of the People's Republic of China [202006330005]; University of Tasmania; Australian Research Council (ARC) Centre of Excellence for Climate Extremes top-up scholarship; ARC Centre of Excellence for Climate Extremes [CE170100023]; National Environmental Science Program (NESP) Climate Systems Hub; Australian Government</t>
  </si>
  <si>
    <t>China Scholarship Council (CSC) Grant from the Ministry of Education of the People's Republic of China; University of Tasmania; Australian Research Council (ARC) Centre of Excellence for Climate Extremes top-up scholarship(Australian Research Council); ARC Centre of Excellence for Climate Extremes; National Environmental Science Program (NESP) Climate Systems Hub; Australian Government(Australian Government)</t>
  </si>
  <si>
    <t>We thank the three anonymous reviewers whose suggestions helped us to substantially improve this manuscript. The authors thank the Consortium for Ocean-Sea Ice Modelling in Australia (COSIMA; http://www.cosima.org.au) for making the ACCESS-OM2 suite of models available at https://github.com/COSIMA/access-om2. YW would like to thank Jiale Lou, Tongtong Xu, and Antonietta Capotondi for conversations about this work. YW acknowledges support from a PhD scholarship provided by China Scholarship Council (CSC) Grant (202006330005) from the Ministry of Education of the People's Republic of China. YW also acknowledges additional support from a University of Tasmania tuition fee scholarship and Australian Research Council (ARC) Centre of Excellence for Climate Extremes top-up scholarship. NJH and JBK acknowledge support from the ARC Centre of Excellence for Climate Extremes (CE170100023) and the National Environmental Science Program (NESP) Climate Systems Hub. Some of the code used to construct the LIMs in this study was used and adapted from Andre Perkins's stationary LIM python module (https://github.com/frodre/pyLIM). This research was under-taken with the assistance of resources from the National Computational Infrastructure (NCI) supported by the Australian Government.</t>
  </si>
  <si>
    <t>10.1175/JCLI-D-22-0692.1</t>
  </si>
  <si>
    <t>P9QW9</t>
  </si>
  <si>
    <t>Green Accepted</t>
  </si>
  <si>
    <t>WOS:001053963000001</t>
  </si>
  <si>
    <t>Pauling, AG; Biti, CM; Steig, EJ</t>
  </si>
  <si>
    <t>Pauling, Andrew G.; Biti, Cecilia M.; Steig, Eric J.</t>
  </si>
  <si>
    <t>Linearity of the Climate System Response to Raising and Lowering West Antarctic and Coastal Antarctic Topography</t>
  </si>
  <si>
    <t>Continental forcing; Orographic effects; General circulation models; Idealized models</t>
  </si>
  <si>
    <t>ICE-SHEET; SOUTHERN-HEMISPHERE; COLLAPSE; WATER; CIRCULATION; LATITUDE; FLOW</t>
  </si>
  <si>
    <t>A hierarchy of general circulation models (GCMs) is used to investigate the linearity of the response of the climate system to changes in Antarctic topography. Experiments were conducted with a GCM with either a slab ocean or fixed SSTs and sea ice, in which the West Antarctic ice sheet (WAIS) and coastal Antarctic topography were either low-ered or raised in an idealized way. Additional experiments were conducted with a fully coupled GCM with topographic perturbations based on an ice-sheet model in which the WAIS collapses. The response over the continent is the same in all model configurations and is mostly linear. In contrast, the response has substantial nonlinear elements over the Southern Ocean that depend on the model configuration and are due to feedbacks with sea ice, ocean, and clouds. The atmosphere warms near the surface over much of the Southern Ocean and cools in the stratosphere over Antarctica, whether topogra-phy is raised or lowered. When topography is lowered, the Southern Ocean surface warming is due to strengthened south-ward atmospheric heat transport and associated enhanced storminess over the WAIS and the high latitudes of the Southern Ocean. When topography is raised, Southern Ocean warming is more limited and is associated with circulation anomalies. The response in the fully coupled experiments is generally consistent with the more idealized experiments, but the full-depth ocean warms throughout the water column whether topography is raised or lowered. These results indicate that ice sheet-climate system feedbacks differ depending on whether the Antarctic ice sheet is gaining or losing mass.SIGNIFICANCE STATEMENT: Throughout Earth's history, the Antarctic ice sheet was at times taller or shorter than it is today. The purpose of this study is to investigate how the atmosphere, sea ice, and ocean around Antarctica re-spond to changes in ice sheet height. We find that the response to lowering the ice sheet is not the opposite of the re-sponse to raising it, and that in either case the ocean surface near the continent warms. When the ice sheet is raised, the ocean warming is related to circulation changes; when the ice sheet is lowered, the ocean warming is from an increase in southward atmospheric heat transport. These results are important for understanding how the ice sheet height and local climate evolve together through time.</t>
  </si>
  <si>
    <t>[Pauling, Andrew G.; Biti, Cecilia M.; Steig, Eric J.] Univ Washington, Dept Atmospher Sci, Seattle, WA 98195 USA; [Steig, Eric J.] Univ Washington, Dept Earth &amp; Space Sci, Seattle, WA USA</t>
  </si>
  <si>
    <t>University of Washington; University of Washington Seattle; University of Washington; University of Washington Seattle</t>
  </si>
  <si>
    <t>Pauling, AG (corresponding author), Univ Washington, Dept Atmospher Sci, Seattle, WA 98195 USA.</t>
  </si>
  <si>
    <t>apauling@uw.edu</t>
  </si>
  <si>
    <t>Pauling, Andrew/0000-0003-4545-0809</t>
  </si>
  <si>
    <t>National Science Foundation; [NSFGEO-NERC 1602435]</t>
  </si>
  <si>
    <t>&amp; nbsp;The authors thank D. S. Battisti, Marina Dutsch, and D. M. W. Frierson for useful discussions. Author Pauling was supported by a Fulbright New Zealand Science and Innovation Award and the University of Washington Program on Climate Change Graduate Fellowship. Authors Pauling, Bitz, and Steig were supported by Grant NSFGEO-NERC 1602435. We acknowledge high-performance computing support from Cheyenne (https://doi.org/10.5065/D6RX99HX) provided by NCAR's Computational and Information Systems Laboratory, sponsored by the National Science Foundation.r Pauling, Bitz, and Steig were supported by Grant NSFGEO-NERC 1602435. We acknowledge high-performance computing support from Cheyenne (https://doi.org/10.5065/D6RX99HX) provided by NCAR's Computational and Information Systems Laboratory, sponsored by the National Science Foundation.</t>
  </si>
  <si>
    <t>10.1175/JCLI-D-22-0416.1</t>
  </si>
  <si>
    <t>P9QH3</t>
  </si>
  <si>
    <t>WOS:001053947200001</t>
  </si>
  <si>
    <t>Kumar, R; Singh, DP; Maurya, AS</t>
  </si>
  <si>
    <t>Kumar, Rakesh; Singh, Dharmendra Pratap; Maurya, Abhayanand Singh</t>
  </si>
  <si>
    <t>Deep-sea benthic foraminiferal response to the early Oligocene cooling: a study from the Southern Ocean ODP Hole 1138A</t>
  </si>
  <si>
    <t>GEO-MARINE LETTERS</t>
  </si>
  <si>
    <t>OXYGEN MINIMUM ZONE; INDIAN-OCEAN; BENTHONIC FORAMINIFERA; PALEOCEANOGRAPHIC SIGNIFICANCE; ANTARCTIC GLACIATION; PRIMARY PRODUCTIVITY; SPECIES-DIVERSITY; DISSOLVED-OXYGEN; CARBON ISOTOPES; WOMBAT PLATEAU</t>
  </si>
  <si>
    <t>Ongoing rapid climate change has a major effect on marine fauna, and understanding these faunal changes analogous to future climatic periods is crucial. The Oligocene is commonly considered a critical transition period, linking the archaic world of the tropical Eocene and the more modern ecosystems of the Miocene. Here, we show the response of marine benthic foraminifera to the early Oligocene climatic changes at Ocean Drilling Program (ODP) Hole 1138A of the Southern Ocean (Indian Sector). We made use of the diversity parameters, the relative abundance of dominant benthic foraminifera, and isotopic data to understand past oceanographic changes. Our results suggest that the early Oligocene was an interval of unstable conditions dominated by the species of high oxygen, intermediate food supply, and well-ventilated, cold, corrosive bottom water conditions. The species richness abruptly decreases at the end of the studied interval, which shows the major Southern Hemisphere glaciation. During this time, species were characterized by relatively cold and carbonate-corrosive bottom water. Additionally, the present study of the benthic foraminiferal abundance and diversity indices reveals the cooling of the Southern Ocean at the early and late stages of the studied interval interrupted by a short-lived warming event. The study further enhances the understanding of paleo-marine ecology by evaluating the response of deep-sea benthic foraminifera to global climate change.</t>
  </si>
  <si>
    <t>[Kumar, Rakesh; Singh, Dharmendra Pratap; Maurya, Abhayanand Singh] Indian Inst Technol Roorkee, Dept Earth Sci, Roorkee 247667, Uttarakhand, India</t>
  </si>
  <si>
    <t>Indian Institute of Technology System (IIT System); Indian Institute of Technology (IIT) - Roorkee</t>
  </si>
  <si>
    <t>Maurya, AS (corresponding author), Indian Inst Technol Roorkee, Dept Earth Sci, Roorkee 247667, Uttarakhand, India.</t>
  </si>
  <si>
    <t>asmaurya@es.iitr.ac.in</t>
  </si>
  <si>
    <t>Kumar, Rakesh/JHV-1683-2023</t>
  </si>
  <si>
    <t>Kumar, Rakesh/0000-0002-8349-2076</t>
  </si>
  <si>
    <t>Ocean Drilling Program (ODP) [22594A]; Council of Scientific and Industrial Research, New Delhi (Govt. of India) [24(0331)/14/EMR-II]; IIT Roorkee</t>
  </si>
  <si>
    <t>Ocean Drilling Program (ODP)(National Science Foundation (NSF)NSF - Directorate for Geosciences (GEO)); Council of Scientific and Industrial Research, New Delhi (Govt. of India)(Council of Scientific &amp; Industrial Research (CSIR) - India); IIT Roorkee(Indian Institute of Technology (IIT) - Roorkee)</t>
  </si>
  <si>
    <t>The authors acknowledge the Ocean Drilling Program (ODP) for providing samples to ASM against sample request number 22594A for the present study; the Council of Scientific and Industrial Research, New Delhi (Govt. of India), for financial support, project number 24(0331)/14/EMR-II; and Indian Institute of Technology Roorkee (IIT Roorkee) for infrastructural facilities. RK is thankful to IIT Roorkee for financial support as MHRD fellowship.</t>
  </si>
  <si>
    <t>0276-0460</t>
  </si>
  <si>
    <t>1432-1157</t>
  </si>
  <si>
    <t>GEO-MAR LETT</t>
  </si>
  <si>
    <t>Geo-Mar. Lett.</t>
  </si>
  <si>
    <t>10.1007/s00367-023-00753-2</t>
  </si>
  <si>
    <t>Geosciences, Multidisciplinary; Oceanography</t>
  </si>
  <si>
    <t>Geology; Oceanography</t>
  </si>
  <si>
    <t>M0KT9</t>
  </si>
  <si>
    <t>WOS:001027094400001</t>
  </si>
  <si>
    <t>Singley, JG; Salvatore, MR; Gooseff, MN; McKnight, DM; Hinckley, ELS</t>
  </si>
  <si>
    <t>Singley, Joel G.; Salvatore, Mark R.; Gooseff, Michael N.; McKnight, Diane M.; Hinckley, Eve-Lyn S.</t>
  </si>
  <si>
    <t>Differentiating physical and biological storage of N along an intermittent Antarctic stream corridor</t>
  </si>
  <si>
    <t>FRESHWATER SCIENCE</t>
  </si>
  <si>
    <t>nutrient budget; nitrogen cycling; hyporheic zone; periphyton; organic matter; McMurdo LTER</t>
  </si>
  <si>
    <t>MCMURDO DRY VALLEYS; GLACIAL MELTWATER STREAMS; HYDROLOGIC CONNECTIVITY; NITROGEN SATURATION; POLAR DESERT; SPATIAL VARIABILITY; HYPORHEIC EXCHANGE; PERIPHYTON BIOMASS; TRANSIENT STORAGE; AMMONIUM SORPTION</t>
  </si>
  <si>
    <t>In many temperate streams, biological uptake of N acts to attenuate the transport of excess N from allochthonous anthropogenic imports. Relatively few studies have determined how this N uptake relates to the magnitude of physical vs biological N storage in the stream corridor, especially for intermittent systems where allochthonous N imports are often low and N transport may only occur during brief periods of streamflow. Glacial meltwater streams in the McMurdo Dry Valleys of Antarctica provide an excellent setting to quantify autochthonous N-cycling and storage processes supported by abundant algal mats and well-connected hyporheic zones. We combined historic point-scale sediment and periphyton sample datasets with remote sensing-based modeling of periphyton coverage to estimate how much N was stored in periphyton biomass and the hyporheic zone of a 5-km long McMurdo Dry Valley stream corridor (&gt;100,000 m(2)). We contextualized these N storage calculations by estimating the magnitude of annual N imports to and exports from the stream corridor based on &gt;2 decades of streamflow and surface water data, source glacier ice cores and meltwater data, and past studies of local aeolian deposition and biological N fixation rates. We found that in this highly oligotrophic system, stream corridor-scale N storage was similar to 1000x that of total annual N import or export fluxes. More than 90% of this temporarily stored N was autochthonous organic matter in the shallow (&lt;10 cm) hyporheic zone, which acts as a reservoir that sustains N availability in the water column. Despite its location in a polar desert devoid of higher-order vegetation, area-normalized N storage (similar to 40 g N/m(2)) was greater than that reported for streams at lower latitudes (similar to 1-22 g N/m(2)). We also demonstrated that NH4+ sorption to stream sediment may be an important physicochemical N storage mechanism that responds to short-term fluctuations in streamflow and governs the mobility of inorganic N. Altogether, this research illustrates the importance of quantifying N storage within stream corridors when evaluating the significance of internal cycling and physical retention processes that modulate N availability.</t>
  </si>
  <si>
    <t>[Singley, Joel G.] Roger Williams Univ, Biol Marine Biol &amp; Environm Sci, 1 Old Ferry Rd, Bristol, RI 02809 USA; [Singley, Joel G.; Gooseff, Michael N.; McKnight, Diane M.; Hinckley, Eve-Lyn S.] Inst Arctic &amp; Alpine Res, Campus Box 450, Boulder, CO 80309 USA; [Singley, Joel G.; Hinckley, Eve-Lyn S.] Univ Colorado, Dept Environm Studies, MacAllister Bldg, 4001 Discovery Dr, Boulder, CO 80303 USA; [Salvatore, Mark R.] No Arizona Univ, Dept Astron &amp; Planetary Sci, 527 South Beaver St, Flagstaff, AZ 86011 USA; [Gooseff, Michael N.; McKnight, Diane M.] Univ Colorado, Civil Environm &amp; Architectural Engn, 1111 Engn Dr, Boulder, CO 80309 USA</t>
  </si>
  <si>
    <t>University of Colorado System; University of Colorado Boulder; Northern Arizona University; University of Colorado System; University of Colorado Boulder</t>
  </si>
  <si>
    <t>Singley, JG (corresponding author), Roger Williams Univ, Biol Marine Biol &amp; Environm Sci, 1 Old Ferry Rd, Bristol, RI 02809 USA.;Singley, JG (corresponding author), Inst Arctic &amp; Alpine Res, Campus Box 450, Boulder, CO 80309 USA.;Singley, JG (corresponding author), Univ Colorado, Dept Environm Studies, MacAllister Bldg, 4001 Discovery Dr, Boulder, CO 80303 USA.</t>
  </si>
  <si>
    <t>jsingley@rwu.edu; mark.salvatore@nau.edu; michael.gooseff@colorado.edu; diane.mcknight@colorado.edu; eve.hinckley@colorado.edu</t>
  </si>
  <si>
    <t>Gooseff, Michael N/N-6087-2015</t>
  </si>
  <si>
    <t>Gooseff, Michael N/0000-0003-4322-8315; Singley, Joel/0000-0002-7906-8491</t>
  </si>
  <si>
    <t>National Science Foundation Grant for Long Term Ecological Research [OPP-1637708]; Department of Environmental Studies; Beverly Sears Graduate Research Grant from the University of Colorado Boulder</t>
  </si>
  <si>
    <t>National Science Foundation Grant for Long Term Ecological Research(National Science Foundation (NSF)); Department of Environmental Studies; Beverly Sears Graduate Research Grant from the University of Colorado Boulder</t>
  </si>
  <si>
    <t>This material is based upon work supported by the National Science Foundation Grant for Long Term Ecological Research, most recently #OPP-1637708. Funding was also provided to JGS while a graduate student by the Department of Environmental Studies and a Beverly Sears Graduate Research Grant from the University of Colorado Boulder. Any opinions, findings, conclusions, or recommendations expressed here are those of the authors and do not necessarily reflect the views of the National Science Foundation or the University of Colorado Boulder. The authors would like to acknowledge the invaluable contributions made by many field and lab team members in collecting and analyzing samples from the McMurdo Dry Valleys over the past 3 decades. All datasets used for this study are cited directly in the manuscript and are publicly available with full citation information provided below.</t>
  </si>
  <si>
    <t>UNIV CHICAGO PRESS</t>
  </si>
  <si>
    <t>CHICAGO</t>
  </si>
  <si>
    <t>1427 E 60TH ST, CHICAGO, IL 60637-2954 USA</t>
  </si>
  <si>
    <t>2161-9549</t>
  </si>
  <si>
    <t>2161-9565</t>
  </si>
  <si>
    <t>FRESHW SCI</t>
  </si>
  <si>
    <t>Freshw. Sci.</t>
  </si>
  <si>
    <t>10.1086/725676</t>
  </si>
  <si>
    <t>Ecology; Marine &amp; Freshwater Biology</t>
  </si>
  <si>
    <t>R1RV9</t>
  </si>
  <si>
    <t>WOS:000995055300001</t>
  </si>
  <si>
    <t>Ding, J; Zhu, CY; Jiang, PF; Qi, LB; Sun, N; Lin, SY</t>
  </si>
  <si>
    <t>Ding, Jie; Zhu, Chunyan; Jiang, Pengfei; Qi, Libo; Sun, Na; Lin, Songyi</t>
  </si>
  <si>
    <t>Antarctic krill antioxidant peptides show inferior IgE-binding ability and RBL-2H3 cell degranulation</t>
  </si>
  <si>
    <t>FOOD SCIENCE AND HUMAN WELLNESS</t>
  </si>
  <si>
    <t>Enzymatic hydrolysis; Isolation; Purifi cation; Antarctic krill antioxidant peptide; Allergenicity</t>
  </si>
  <si>
    <t>PHOSPHORYLATED PEPTIDES; EUPHAUSIA-SUPERBA; IN-VITRO; PROTEIN; ALLERGENICITY; TROPOMYOSIN; IDENTIFICATION; PURIFICATION; ALLERGY; VIVO</t>
  </si>
  <si>
    <t>Enzymatic hydrolysis, isolation, and purification might make a great deal of difference in antioxidant activity and antigenicity of peptide components. This study aimed to isolate and purify antioxidant peptide components from Antarctic krill and evaluate their allergenicity of them. Electron paramagnetic resonance (EPR) spectroscopy results indicated 3-10 kDa Antarctic krill hydrolysates (AKHs) had higher DPPH and center dot OH radical scavenging rates. And the second component (N2-2) purified 3-10 kDa hydrolysate showed better ability to scavenge DPPH and center dot OH radicals (P &lt; 0.05), which were (47.43 +/- 2.18)% and (34.33 +/- 1.25)%, respectively. Additionally, indirect-ELISA results revealed that N2-1 had a weaker ability to bind specific IgE and that N2-2 had a lower binding capability to specifi c IgG1 (P &lt; 0.05). And N2-2 had a higher EC50 value of (5.29 +/- 0.95) ng/mL (P &lt; 0.05) in cell degranulation assay, which was about 13.80 times that of Antarctic krill. Therefore, N2-2 might be the potential source of the antioxidant peptides with lower allergenicity.(c) 2023 Beijing Academy of Food Sciences. Publishing services by Elsevier B.V. on behalf of KeAi Communications Co., Ltd. This is an open access article under the CC BY-NC-ND license (http://creativecommons.org/licenses/by-nc-nd/4.0/).</t>
  </si>
  <si>
    <t>[Ding, Jie; Jiang, Pengfei; Qi, Libo; Sun, Na; Lin, Songyi] Dalian Polytech Univ, Natl Engn Res Ctr Seafood, Sch Food Sci &amp; Technol, Dalian 116034, Peoples R China; [Ding, Jie; Jiang, Pengfei; Qi, Libo; Sun, Na; Lin, Songyi] Dalian Polytech Univ, Collaborat Innovat Ctr Seafood Deep Proc, Dalian 116034, Peoples R China; [Zhu, Chunyan] Ganzhou Quanbiao Biol Technol Co Ltd, Ganzhou 341100, Peoples R China</t>
  </si>
  <si>
    <t>Dalian Polytechnic University; Dalian Polytechnic University</t>
  </si>
  <si>
    <t>Sun, N; Lin, SY (corresponding author), Dalian Polytech Univ, Natl Engn Res Ctr Seafood, Sch Food Sci &amp; Technol, Dalian 116034, Peoples R China.</t>
  </si>
  <si>
    <t>linsongyi730@163.com; sunna1215@126.com</t>
  </si>
  <si>
    <t>Zhou, Yue/JHS-8791-2023; zhang, wen/JXN-0191-2024; .., What/IXW-6776-2023; wang, jiaqi/JSL-7112-2023; li, jiaxin/JNT-5073-2023; li, wl/JJC-0768-2023; Yang, Fan/JMA-9594-2023; ZHOU, YUE/IZE-6277-2023; Liu, Yang/JVD-6777-2023; zhang, ly/JMB-7214-2023; yang, liu/JXX-5043-2024; yang, yun/IZE-1092-2023; chen, yue/JXW-9556-2024; WANG, YANG/JFA-8821-2023; Liu, Shaobo/JUU-5767-2023; Wei, Wei/JVM-8876-2024; li, Li/JPA-0218-2023; Yuan, Yu/KBQ-0606-2024; Li, Huizhen/JPX-2563-2023; zhang, yan/JGL-8022-2023; Li, Lei/JPE-6543-2023; Li, Wenjuan/KDN-8450-2024; Zhang, Wenkai/JWO-2030-2024; lin, yuan/JXL-9592-2024; zhang, xu/JXX-7692-2024; yang, li/JGM-1009-2023; wang, KiKi/JFZ-3334-2023; liu, lingling/IUQ-7478-2023; liu, lin/JFK-3401-2023; Liu, Yixuan/JFJ-2820-2023; Yan, Miaochen/JLL-5061-2023; zhang, xiao/JCN-8822-2023; Xie, Lei/JWO-8567-2024; wang, zhiwen/JDV-9990-2023; Wang, zhenhua/KFA-8731-2024; ren, jing/JXN-8411-2024; Zhang, Han/JMR-0670-2023; Liu, Jie/JCP-1070-2023; liu, xy/JEP-3175-2023; Chen, Jin/KBQ-0163-2024; li, jing/JEF-8436-2023; Liu, qi/JZT-5038-2024; Wang, Xin/JVE-0200-2024; Jing, Jing/JSK-6237-2023; Zhang, yuxuan/JXM-9935-2024; zhang, xiang/JJD-7003-2023; liu, yang/JMB-9083-2023; Li, Ren/JVZ-9153-2024; liu, yuhao/JWP-0475-2024; liu, jianyang/JXL-6273-2024; Li, Wei/JLL-4365-2023; Zhang, Yun/JCN-7026-2023; ZHOU, YUE/KCJ-8790-2024; sun, chen/JCP-0396-2023; Zhao, Yi/JFA-7988-2023; yang, yy/KBR-1536-2024; Zhang, Xiaoyu/JXR-6386-2024; liu, sha/JXL-6600-2024; li, qing/JEF-9044-2023; Liu, Yuan/JFB-4766-2023; zhang, ling/JXW-6931-2024; Wang, Guang/JFS-8374-2023; Yang, Fan/JVO-8611-2024; FENG, X/JPL-4188-2023; WANG, HUI/JFA-9683-2023; WANG, YING/JLM-9219-2023; li, lan/KCJ-5061-2024; li, wei/IUQ-2973-2023; li, zhang/JHV-1750-2023; Yang, Jie/JDM-6213-2023; zhang, jiayue/JUF-0129-2023; yang, rui/JHI-3328-2023; zhao, weiwei/JUU-6585-2023; liu, bing/JJD-5566-2023; Chen, Xin/JDN-2017-2023; Wang, Xingyu/JNE-0602-2023; 李, 嘉馨/IWM-4023-2023; wang, xiaoqiang/JMT-2783-2023; liu, xinyu/IWD-6630-2023; he, xi/JXN-3817-2024; Yang, Fei/JLM-3367-2023; Chen, Yu/JLL-0171-2023; Zhu, Chunyan/HNP-7377-2023; SUN, Ye/KBC-8159-2024; li, yansong/JXL-5023-2024; Li, Yuanxiang/KCX-8706-2024; Zhu, Li/JTT-9093-2023; yan, yan/JVN-1800-2024</t>
  </si>
  <si>
    <t>Wei, Wei/0000-0002-4109-3878; Chen, Jin/0009-0005-5844-635X; Li, Ren/0000-0002-2579-2580; Yang, Jie/0000-0002-3941-0053; Zhu, Chunyan/0000-0003-0735-9895;</t>
  </si>
  <si>
    <t>National Natural Science Foundation of China [32022067]</t>
  </si>
  <si>
    <t>The authors acknowledge the financial support provided by the National Natural Science Foundation of China (32022067) .</t>
  </si>
  <si>
    <t>2213-4530</t>
  </si>
  <si>
    <t>FOOD SCI HUM WELL</t>
  </si>
  <si>
    <t>Food Sci. Human Wellness</t>
  </si>
  <si>
    <t>10.1016/j.fshw.2023.02.028</t>
  </si>
  <si>
    <t>Food Science &amp; Technology; Nutrition &amp; Dietetics</t>
  </si>
  <si>
    <t>D9DF6</t>
  </si>
  <si>
    <t>WOS:000971652900001</t>
  </si>
  <si>
    <t>Öztürk, B; Watanabe, K; Öztürk, AA</t>
  </si>
  <si>
    <t>Ozturk, Bayram; Watanabe, Kentaro; Ozturk, Ayaka Amaha</t>
  </si>
  <si>
    <t>Sightings of Cetaceans during JARE-56 in the Indian Sector of the Southern Ocean</t>
  </si>
  <si>
    <t>TURKISH JOURNAL OF FISHERIES AND AQUATIC SCIENCES</t>
  </si>
  <si>
    <t>Japanese Antarctic Research Expedition; Antarctic Ocean; Survey; Cetacean distribution; Conservation</t>
  </si>
  <si>
    <t>MICROPLASTICS</t>
  </si>
  <si>
    <t>The cetacean observation was made during the 56th Japanese Antarctic Research Expedition (JARE -56) cruise on the icebreaker SHIRASE, from 30 November to 15 December 2014 and from 15 February to 9 March 2015, in the Indian Ocean Sector of the Southern Ocean. A total of 28 sightings with 64 individuals of four cetacean species, humpback whale, (Megaptera novaeangliae), fin whale (Balaenoptera physalus), Antarctic minke whale (Balaenoptera bonaerensis), and killer whale (Orcinus orca), are reported. The most sighted species was the humpback whale (13 sightings) and the maximum number of individuals in a group was six for the same species. All sightings were made higher than 60 degrees South, close to the Antarctica coast.</t>
  </si>
  <si>
    <t>[Ozturk, Bayram; Ozturk, Ayaka Amaha] Istanbul Univ, Fac Aquat Sci, Dept Marine Biol, TR-34134 Istanbul, Turkiye; [Ozturk, Bayram; Ozturk, Ayaka Amaha] Turkish Marine Res Fdn TUDAV, POB 10 Bekoz, Istanbul, Turkiye; [Watanabe, Kentaro] Natl Inst Polar Res, Res Org Informat &amp; Syst, Arctic Environm Res Ctr, Tokyo 1908518, Japan</t>
  </si>
  <si>
    <t>Istanbul University; Turkish Marine Research Foundation; Research Organization of Information &amp; Systems (ROIS); National Institute of Polar Research (NIPR) - Japan</t>
  </si>
  <si>
    <t>Öztürk, B (corresponding author), Istanbul Univ, Fac Aquat Sci, Dept Marine Biol, TR-34134 Istanbul, Turkiye.;Öztürk, B (corresponding author), Turkish Marine Res Fdn TUDAV, POB 10 Bekoz, Istanbul, Turkiye.</t>
  </si>
  <si>
    <t>ozturkb@istanbul.edu.tr</t>
  </si>
  <si>
    <t>Öztürk, Bayram/AAD-6228-2020; Ozturk, Ayaka Amaha/AAD-6380-2020</t>
  </si>
  <si>
    <t>Öztürk, Bayram/0000-0001-7844-2448;</t>
  </si>
  <si>
    <t>Science Program of the Japanese Antarctic Research Expedition (JARE); National Institute of Polar Research (NIPR); Ministry of Education, Culture, Sports, Science and Technology (MEXT); Scientific Research Projects Coordination Unit of Istanbul University [FOA-20530]; Turkish Marine Research Foundation (TUDAV)</t>
  </si>
  <si>
    <t>Science Program of the Japanese Antarctic Research Expedition (JARE); National Institute of Polar Research (NIPR)(National Institute of Polar Research (NIPR) - Japan); Ministry of Education, Culture, Sports, Science and Technology (MEXT)(Ministry of Education, Culture, Sports, Science and Technology, Japan (MEXT)); Scientific Research Projects Coordination Unit of Istanbul University(Istanbul University); Turkish Marine Research Foundation (TUDAV)</t>
  </si>
  <si>
    <t>This study was a part of the Science Program of the Japanese Antarctic Research Expedition (JARE). It was supported by the National Institute of Polar Research (NIPR) and the Ministry of Education, Culture, Sports, Science and Technology (MEXT). This work was also supported by the Scientific Research Projects Coordination Unit of Istanbul University (Project number FOA-20530) and the Turkish Marine Research Foundation (TUDAV).</t>
  </si>
  <si>
    <t>CENTRAL FISHERIES RESEARCH INST</t>
  </si>
  <si>
    <t>TRABZON</t>
  </si>
  <si>
    <t>PO BOX 129, TRABZON, 61001, Turkiye</t>
  </si>
  <si>
    <t>1303-2712</t>
  </si>
  <si>
    <t>2149-181X</t>
  </si>
  <si>
    <t>TURK J FISH AQUAT SC</t>
  </si>
  <si>
    <t>Turk. J. Fish. Quat. Sci.</t>
  </si>
  <si>
    <t>TRJFAS23271</t>
  </si>
  <si>
    <t>10.4194/TRJFAS23271</t>
  </si>
  <si>
    <t>Fisheries; Marine &amp; Freshwater Biology</t>
  </si>
  <si>
    <t>9R9WO</t>
  </si>
  <si>
    <t>WOS:000945998600001</t>
  </si>
  <si>
    <t>Zheng, YW; Golledge, NR; Gossart, A; Picard, G; Leduc-Leballeur, M</t>
  </si>
  <si>
    <t>Zheng, Yaowen; Golledge, Nicholas R.; Gossart, Alexandra; Picard, Ghislain; Leduc-Leballeur, Marion</t>
  </si>
  <si>
    <t>Statistically parameterizing and evaluating a positive degree-day model to estimate surface melt in Antarctica from 1979 to 2022</t>
  </si>
  <si>
    <t>CRYOSPHERE</t>
  </si>
  <si>
    <t>ICE-SHEET; MASS-BALANCE; MICROWAVE RADIOMETERS; CLIMATE; TRENDS; MELTWATER; EXTENT; SHELF; RATES</t>
  </si>
  <si>
    <t>Surface melting is one of the primary drivers of ice shelf collapse in Antarctica and is expected to increase in the future as the global climate continues to warm because there is a statistically significant positive relationship between air temperature and melting. Enhanced surface melt will impact the mass balance of the Antarctic Ice Sheet (AIS) and, through dynamic feedbacks, induce changes in global mean sea level (GMSL). However, the current understanding of surface melt in Antarctica remains limited in terms of the uncertainties in quantifying surface melt and understanding the driving processes of surface melt in past, present and future contexts. Here, we construct a novel grid-cell-level spatially distributed positive degree-day (PDD) model, forced with 2 m air temperature reanalysis data and spatially parameterized by minimizing the error with respect to satellite estimates and surface energy balance (SEB) model outputs on each computing cell over the period 1979 to 2022. We evaluate the PDD model by performing a goodness-of-fit test and cross-validation. We assess the accuracy of our parameterization method, based on the performance of the PDD model when considering all computing cells as a whole, independently of the time window chosen for parameterization. We conduct a sensitivity experiment by adding +/- 10 % to the training data (satellite estimates and SEB model outputs) used for PDD parameterization and a sensitivity experiment by adding constant temperature perturbations ( + 1 , + 2 , + 3 , + 4 and + 5 circle C) to the 2 m air temperature field to force the PDD model. We find that the PDD melt extent and amounts change analogously to the variations in the training data with steady statistically significant correlations and that the PDD melt amounts increase nonlinearly with the temperature perturbations, demonstrating the consistency of our parameterization and the applicability of the PDD model to warmer climate scenarios. Within the limitations discussed, we suggest that an appropriately parameterized PDD model can be a valuable tool for exploring Antarctic surface melt beyond the satellite era.</t>
  </si>
  <si>
    <t>[Zheng, Yaowen; Golledge, Nicholas R.; Gossart, Alexandra] Victoria Univ Wellington, Antarctic Res Ctr, Wellington, New Zealand; [Picard, Ghislain] Univ Grenoble Alpes, Inst Geosci Environm IGE, CNRS, UMR 5001, Grenoble, France; [Leduc-Leballeur, Marion] CNR, Inst Appl Phys Nello Carrara, I-50019 Sesto Fiorentino, Italy</t>
  </si>
  <si>
    <t>Victoria University Wellington; Communaute Universite Grenoble Alpes; Universite Grenoble Alpes (UGA); Centre National de la Recherche Scientifique (CNRS); CNRS - National Institute for Earth Sciences &amp; Astronomy (INSU); Consiglio Nazionale delle Ricerche (CNR); Istituto di Fisica Applicata Nello Carrara (IFAC-CNR)</t>
  </si>
  <si>
    <t>Zheng, YW (corresponding author), Victoria Univ Wellington, Antarctic Res Ctr, Wellington, New Zealand.</t>
  </si>
  <si>
    <t>yaowen.zheng@vuw.ac.nz</t>
  </si>
  <si>
    <t>Picard, Ghislain/D-4246-2013; Leduc-Leballeur, Marion/AAK-9880-2021</t>
  </si>
  <si>
    <t>Picard, Ghislain/0000-0003-1475-5853; Leduc-Leballeur, Marion/0000-0001-7579-7024; Gossart, Alexandra/0000-0002-1927-2685; Golledge, Nicholas/0000-0001-7676-8970; Zheng, Yaowen/0000-0003-3818-3474</t>
  </si>
  <si>
    <t>Royal Society of New Zealand [RDF-VUW1501]; Ministry for Business Innovation and Employment [ANTA1801, RTUV1705]</t>
  </si>
  <si>
    <t>Royal Society of New Zealand(Royal Society of New Zealand); Ministry for Business Innovation and Employment(New Zealand Ministry of Business, Innovation and Employment (MBIE))</t>
  </si>
  <si>
    <t>Yaowen Zheng and Nicholas R. Golledge aresupported by the Royal Society of New Zealand (award no. RDF-VUW1501). Nicholas R. Golledge and Alexandra Gossart are supported by the Ministry for Business Innovation and Employment(grant no. ANTA1801; Antarctic Science Platform). Nicholas R.Golledge received support from the Ministry for Business Innovation and Employment (grant no. RTUV1705; NZSeaRise).</t>
  </si>
  <si>
    <t>COPERNICUS GESELLSCHAFT MBH</t>
  </si>
  <si>
    <t>GOTTINGEN</t>
  </si>
  <si>
    <t>BAHNHOFSALLEE 1E, GOTTINGEN, 37081, GERMANY</t>
  </si>
  <si>
    <t>1994-0416</t>
  </si>
  <si>
    <t>1994-0424</t>
  </si>
  <si>
    <t>Cryosphere</t>
  </si>
  <si>
    <t>AUG 31</t>
  </si>
  <si>
    <t>10.5194/tc-17-3667-2023</t>
  </si>
  <si>
    <t>Geography, Physical; Geosciences, Multidisciplinary</t>
  </si>
  <si>
    <t>Physical Geography; Geology</t>
  </si>
  <si>
    <t>IU9E5</t>
  </si>
  <si>
    <t>WOS:001168960200001</t>
  </si>
  <si>
    <t>Garrido-Benavent, I; Blanchette, RA; de los Ríos, A</t>
  </si>
  <si>
    <t>Garrido-Benavent, Isaac; Blanchette, Robert A.; De Los Rios, Asuncion</t>
  </si>
  <si>
    <t>Deadly mushrooms of the genus Galerina found in Antarctica colonized the continent as early as the Pleistocene</t>
  </si>
  <si>
    <t>ANTARCTIC SCIENCE</t>
  </si>
  <si>
    <t>biogeography; dating analysis; fungal endemism; Galerina marginata; long-distance dispersal; non-lichenized fungi</t>
  </si>
  <si>
    <t>MCMURDO DRY VALLEYS; FUNGI; DIVERSITY; DISPERSAL; BIOGEOGRAPHY; ASCOMYCOTA; CONNECTION; SELECTION; SOFTWARE; TAXONOMY</t>
  </si>
  <si>
    <t>Fungi are probably the most diverse group of eukaryotic organisms in the Antarctic continent and nearby archipelagos, and they dominate communities in either mild or harsh habitats. However, our knowledge of their global distribution ranges and the temporal origins of their Antarctic populations is rather limited or almost absent, especially for species that do not lichenize. We focused for the first time on elucidating the taxonomic identity and phylogenetic relationships of several Antarctic collections of the deadly fungal Basidiomycota genus Galerina. By using molecular sequence data from the universal fungal barcode and a dataset encompassing 178 specimens, the inferred phylogeny showed that the Antarctic specimens corresponded with the sub-cosmopolitan species Galerina marginata, Galerina badipes and Galerina fallax, and their most closely related intraspecific genetic lineages were from northern Europe and North America. We found that these species probably host Antarctic-endemic intraspecific lineages. Furthermore, our dating analyses indicated that their Antarctic populations originated in the Pleistocene, a temporal frame that agrees with that proposed for the Antarctic colonization of plants such as the grass Deschampsia antarctica, mosses and some amphitropical lichens. Altogether, these findings converge on the same temporal scenario for the assembly of the most conspicuous terrestrial Antarctic plant and fungal communities.</t>
  </si>
  <si>
    <t>[Garrido-Benavent, Isaac] Univ Valencia, Dept Bot &amp; Geol, Fac Ciencies Biol, C Doctor Moliner 50, E-46100 Burjassot, Valencia, Spain; [Blanchette, Robert A.] Univ Minnesota, Dept Plant Pathol, 1991 Upper Buford Circle,495 Borlaug Hall, St Paul, MN 55108 USA; [De Los Rios, Asuncion] CSIC, Natl Museum Nat Sci MNCN, Dept Biogeochem &amp; Microbial Ecol, E-28006 Madrid, Spain</t>
  </si>
  <si>
    <t>University of Valencia; University of Minnesota System; University of Minnesota Twin Cities; Consejo Superior de Investigaciones Cientificas (CSIC)</t>
  </si>
  <si>
    <t>Garrido-Benavent, I (corresponding author), Univ Valencia, Dept Bot &amp; Geol, Fac Ciencies Biol, C Doctor Moliner 50, E-46100 Burjassot, Valencia, Spain.</t>
  </si>
  <si>
    <t>Isaac.Garrido@uv.es</t>
  </si>
  <si>
    <t>de los Rios, Asuncion/L-3694-2014</t>
  </si>
  <si>
    <t>de los Rios, Asuncion/0000-0002-0266-3516</t>
  </si>
  <si>
    <t>MINECO/FEDER, UE [CTM2017-84441-R]; MICINN, AEI [PID2019-105469RB-C22]</t>
  </si>
  <si>
    <t>MINECO/FEDER, UE(Spanish Government); MICINN, AEI</t>
  </si>
  <si>
    <t>This work was supported by grants CTM2017-84441-R(MINECO/FEDER, UE) and PID2019-105469RB-C22(MICINN, AEI).</t>
  </si>
  <si>
    <t>CAMBRIDGE UNIV PRESS</t>
  </si>
  <si>
    <t>CAMBRIDGE</t>
  </si>
  <si>
    <t>EDINBURGH BLDG, SHAFTESBURY RD, CB2 8RU CAMBRIDGE, ENGLAND</t>
  </si>
  <si>
    <t>0954-1020</t>
  </si>
  <si>
    <t>1365-2079</t>
  </si>
  <si>
    <t>ANTARCT SCI</t>
  </si>
  <si>
    <t>Antarct. Sci.</t>
  </si>
  <si>
    <t>OCT</t>
  </si>
  <si>
    <t>10.1017/S0954102023000196</t>
  </si>
  <si>
    <t>AUG 2023</t>
  </si>
  <si>
    <t>Environmental Sciences; Geography, Physical; Geosciences, Multidisciplinary</t>
  </si>
  <si>
    <t>Environmental Sciences &amp; Ecology; Physical Geography; Geology</t>
  </si>
  <si>
    <t>W8FI6</t>
  </si>
  <si>
    <t>WOS:001098577100001</t>
  </si>
  <si>
    <t>Juchem, DP; Schimani, K; Holzinger, A; Permann, C; Abarca, N; Skibbe, O; Zimmermann, J; Graeve, M; Karsten, U</t>
  </si>
  <si>
    <t>Juchem, Desiree P.; Schimani, Katherina; Holzinger, Andreas; Permann, Charlotte; Abarca, Nelida; Skibbe, Oliver; Zimmermann, Jonas; Graeve, Martin; Karsten, Ulf</t>
  </si>
  <si>
    <t>Lipid degradation and photosynthetic traits after prolonged darkness in four Antarctic benthic diatoms, including the newly described species Planothidium wetzelii sp. nov.</t>
  </si>
  <si>
    <t>FRONTIERS IN MICROBIOLOGY</t>
  </si>
  <si>
    <t>Antarctica; benthic diatoms; photosynthesis; polar night; lipid consumption; plastid degradation</t>
  </si>
  <si>
    <t>JAMES-ROSS-ISLAND; SEA-ICE DIATOMS; WEDDELL SEA; CARBON FIXATION; BACILLARIOPHYTA; TEMPERATURE; LIGHT; GROWTH; WATER; DNA</t>
  </si>
  <si>
    <t>In polar regions, the microphytobenthos has important ecological functions in shallow-water habitats, such as on top of coastal sediments. This community is dominated by benthic diatoms, which contribute significantly to primary production and biogeochemical cycling while also being an important component of polar food webs. Polar diatoms are able to cope with markedly changing light conditions and prolonged periods of darkness during the polar night in Antarctica. However, the underlying mechanisms are poorly understood. In this study, five strains of Antarctic benthic diatoms were isolated in the field, and the resulting unialgal cultures were identified as four distinct species, of which one is described as a new species, Planothidium wetzelii sp. nov. All four species were thoroughly examined using physiological, cell biological, and biochemical methods over a fully controlled dark period of 3 months. The results showed that the utilization of storage lipids is one of the key mechanisms in Antarctic benthic diatoms to survive the polar night, although different fatty acids were involved in the investigated taxa. In all tested species, the storage lipid content declined significantly, along with an ultrastructurally observable degradation of the chloroplasts. Surprisingly, photosynthetic performance did not change significantly despite chloroplasts decreasing in thylakoid membranes and an increased number of plastoglobules. Thus, a combination of biochemical and cell biological mechanisms allows Antarctic benthic diatoms to survive the polar night.</t>
  </si>
  <si>
    <t>[Juchem, Desiree P.; Karsten, Ulf] Univ Rostock, Inst Biol Sci, Appl Ecol &amp; Phycol, Rostock, Germany; [Schimani, Katherina; Abarca, Nelida; Skibbe, Oliver; Zimmermann, Jonas] ZE Freie Univ Berlin, Bot Garten &amp; Bot Museum Berlin Dahlem, D-14195 Berlin, Germany; [Holzinger, Andreas; Permann, Charlotte] Univ Innsbruck, Dept Bot, Funct Plant Biol, Innsbruck, Austria; [Graeve, Martin] Alfred Wegener Inst, Helmholtz Ctr Polar &amp; Marine Res, Ecol Chem, Bremerhaven, Germany</t>
  </si>
  <si>
    <t>University of Rostock; University of Innsbruck; Helmholtz Association; Alfred Wegener Institute, Helmholtz Centre for Polar &amp; Marine Research</t>
  </si>
  <si>
    <t>Karsten, U (corresponding author), Univ Rostock, Inst Biol Sci, Appl Ecol &amp; Phycol, Rostock, Germany.</t>
  </si>
  <si>
    <t>ulf.karsten@uni-rostock.de</t>
  </si>
  <si>
    <t>Holzinger, Andreas/A-6396-2008</t>
  </si>
  <si>
    <t>Holzinger, Andreas/0000-0002-7745-3978</t>
  </si>
  <si>
    <t>This study was funded within the framework of the SPP 1158 Antarktisforschung by the DFG under grant numbers ZI 1628/2-1 and KA899/38-1. This study was further supported by the Austrian Science Fund Grant P34181-B to AH. [SPP 1158]; DFG [ZI 1628/2-1, KA899/38-1]; Austrian Science Fund [P34181-B]</t>
  </si>
  <si>
    <t>This study was funded within the framework of the SPP 1158 Antarktisforschung by the DFG under grant numbers ZI 1628/2-1 and KA899/38-1. This study was further supported by the Austrian Science Fund Grant P34181-B to AH.; DFG(German Research Foundation (DFG)); Austrian Science Fund(Austrian Science Fund (FWF))</t>
  </si>
  <si>
    <t>This study was funded within the framework of the SPP 1158 Antarktisforschung by the DFG under grant numbers ZI 1628/2-1 and KA899/38-1. This study was further supported by the Austrian Science Fund Grant P34181-B to AH.r This study was funded within the framework of the SPP 1158 Antarktisforschung by the DFG under grant numbers ZI 1628/2-1 and KA899/38-1. This study was further supported by the Austrian Science Fund Grant P34181-B to AH.</t>
  </si>
  <si>
    <t>1664-302X</t>
  </si>
  <si>
    <t>FRONT MICROBIOL</t>
  </si>
  <si>
    <t>Front. Microbiol.</t>
  </si>
  <si>
    <t>10.3389/fmicb.2023.1241826</t>
  </si>
  <si>
    <t>U0AE0</t>
  </si>
  <si>
    <t>WOS:001081511600001</t>
  </si>
  <si>
    <t>Xue, X; Thompson, AR; Adams, BJ</t>
  </si>
  <si>
    <t>Xue, Xia; Thompson, Andrew R.; Adams, Byron J.</t>
  </si>
  <si>
    <t>An Antarctic worm and its soil ecosystem: A review of an emerging research program in ecological genomics</t>
  </si>
  <si>
    <t>APPLIED SOIL ECOLOGY</t>
  </si>
  <si>
    <t>Ecological amplitude; Ecological succession; Elemental stoichiometry; Extreme environments; Life history evolution; Model systems</t>
  </si>
  <si>
    <t>MCMURDO DRY VALLEYS; NEMATODE PANAGROLAIMUS-DAVIDI; DRONNING-MAUD-LAND; TAYLOR VALLEY; TERRESTRIAL NEMATODES; LIFE-HISTORY; SCOTTNEMA-LINDSAYAE; PLECTUS-MURRAYI; DESICCATION TOLERANCE; COMMUNITY STRUCTURE</t>
  </si>
  <si>
    <t>Relationships between the evolution of species and their ecosystems can be difficult to accurately assess due to the high number of confounding biological variables (e.g., biotic interactions among community members and the resulting complex relationships between genetic pathways and organism phenotypes). Thus, progress in ecological genomics by making inferences about fundamental ecological patterns and processes is hampered by high biodiversity and subsequent complex biotic interactions. Study systems that are naturally low in biological and ecological complexity, and strongly structured by abiotic drivers, can serve as models for bridging the gap between controlled mesocosm experiments and natural ecosystems. The terrestrial ecosystems of the Antarctic dry valleys have low biodiversity and constrained ecological complexity, primarily because ecological communities are so strongly shaped by physical, rather than biological, factors. The harsh constraints of the physical environment on organismal evolution and the structure of ecological communities make this an optimal natural system for disentangling the influence of specific environmental parameters on genotype/phenotype and gene by environment interactions. This work reviews the biology, evolution, and ecology of an emerging model organism, the free-living nematode Plectus murrayi, in a model ecosystem, the McMurdo Dry Valleys (MDVs) of Antarctica. In the MDVs, habitat suitability, including nutrient availability, has been shown to drive organismal (nematode) life history evolution, including growth and reproduction, primarily by way of changes in the expression of developmental genes. Changes in growth rates and reproductive schedules are accomplished primarily through alterations of nuclear rRNA gene copy number. The predicted and observed responses to natural experiments have been replicated in the laboratory, providing a synthesis of field observations and experimental evolution. Studying such natural model systems as this could fill several persistent knowledge gaps in our understanding of how genetic variation, genomic architecture, and gene regulation drive the genotype-phenotype paradigm, and the consequent effects of these drivers on ecosystem structure and functioning.</t>
  </si>
  <si>
    <t>[Xue, Xia] Zhengzhou Univ, Marshall Med Res Ctr, Henan Key Lab Helicobacter pylori &amp; Microbiota &amp; G, Affiliated Hosp 5, Zhengzhou 450052, Henan, Peoples R China; [Xue, Xia; Thompson, Andrew R.; Adams, Byron J.] Brigham Young Univ, Dept Biol, Provo, UT 84602 USA; [Thompson, Andrew R.] Ronin Inst, Riverside, CA 92503 USA; [Adams, Byron J.] Monte L Bean Life Sci Museum, Provo, UT 84602 USA</t>
  </si>
  <si>
    <t>Zhengzhou University; Brigham Young University</t>
  </si>
  <si>
    <t>Xue, X (corresponding author), Zhengzhou Univ, Marshall Med Res Ctr, Henan Key Lab Helicobacter pylori &amp; Microbiota &amp; G, Affiliated Hosp 5, Zhengzhou 450052, Henan, Peoples R China.</t>
  </si>
  <si>
    <t>xue-xiasophia@hotmail.com</t>
  </si>
  <si>
    <t>XUE, XIA/HJZ-1573-2023</t>
  </si>
  <si>
    <t>Thompson, Andrew/0000-0003-4523-9245</t>
  </si>
  <si>
    <t>Natural Science Foundation of China project [42207342]; United States National Science Foundation [OPP-1637708, 1115245, 0423595]</t>
  </si>
  <si>
    <t>Natural Science Foundation of China project(National Natural Science Foundation of China (NSFC)); United States National Science Foundation(National Science Foundation (NSF))</t>
  </si>
  <si>
    <t>XX is supported and funded by Natural Science Foundation of China project (42207342) . This work was also supported by the United States National Science Foundation grants #OPP-1637708, 1115245, and 0423595 for Long Term Ecological Research.</t>
  </si>
  <si>
    <t>0929-1393</t>
  </si>
  <si>
    <t>1873-0272</t>
  </si>
  <si>
    <t>APPL SOIL ECOL</t>
  </si>
  <si>
    <t>Appl. Soil Ecol.</t>
  </si>
  <si>
    <t>JAN</t>
  </si>
  <si>
    <t>10.1016/j.apsoil.2023.105110</t>
  </si>
  <si>
    <t>Soil Science</t>
  </si>
  <si>
    <t>Agriculture</t>
  </si>
  <si>
    <t>T8HA2</t>
  </si>
  <si>
    <t>WOS:001080324400001</t>
  </si>
  <si>
    <t>Boyd, PW; Bach, L; Holden, R; Turney, C</t>
  </si>
  <si>
    <t>Boyd, Philip W.; Bach, Lennart; Holden, Richard; Turney, Christian</t>
  </si>
  <si>
    <t>Redesign carbon-removal offsets to help the planet</t>
  </si>
  <si>
    <t>NATURE</t>
  </si>
  <si>
    <t>Climate change; Economics; Policy</t>
  </si>
  <si>
    <t>Pricing credits according to how much carbon is removed, for how long and how reliably, would direct funding to the most effective climate solutions.</t>
  </si>
  <si>
    <t>[Boyd, Philip W.; Bach, Lennart] Univ Tasmania, Inst Marine &amp; Antarctic Studies, Hobart, Tas, Australia; [Holden, Richard] Univ New South Wales Business Sch, Sch Econ, Sydney, Australia; [Turney, Christian] Univ Technol Sydney, Inst Sustainable Futures, Div Res, Ultimo, Australia</t>
  </si>
  <si>
    <t>University of Tasmania; University of New South Wales Sydney; University of Technology Sydney</t>
  </si>
  <si>
    <t>Boyd, PW (corresponding author), Univ Tasmania, Inst Marine &amp; Antarctic Studies, Hobart, Tas, Australia.</t>
  </si>
  <si>
    <t>philip.boyd@utas.edu.au</t>
  </si>
  <si>
    <t>Boyd, Philip W/J-7624-2014</t>
  </si>
  <si>
    <t>Bach, Lennart/0000-0003-0202-3671</t>
  </si>
  <si>
    <t>0028-0836</t>
  </si>
  <si>
    <t>1476-4687</t>
  </si>
  <si>
    <t>Nature</t>
  </si>
  <si>
    <t>10.1038/d41586-023-02649-8</t>
  </si>
  <si>
    <t>Multidisciplinary Sciences</t>
  </si>
  <si>
    <t>Science &amp; Technology - Other Topics</t>
  </si>
  <si>
    <t>S9KS4</t>
  </si>
  <si>
    <t>WOS:001074287700008</t>
  </si>
  <si>
    <t>Wang, XD; Zhou, HL; Ji, MZ</t>
  </si>
  <si>
    <t>Wang, Xingdong; Zhou, Hailong; Ji, Mingzhu</t>
  </si>
  <si>
    <t>Spatial-temporal variations of one-year ice in Antarctic different regions, 1988-2020</t>
  </si>
  <si>
    <t>ECOLOGICAL INDICATORS</t>
  </si>
  <si>
    <t>Antarctic; One-year ice; Multiyear ice; Spatial -temporal variations</t>
  </si>
  <si>
    <t>SEA-ICE; VARIABILITY; EXTENT; CYCLE</t>
  </si>
  <si>
    <t>In order to increase the comparability of Antarctic sea ice changes, we proposed a new method to quantitatively assess the spatial-temporal variation characteristics of Antarctic one-year ice based on daily Antarctic sea ice concentration data provided by the National Snow and Ice Data Center (NSIDC) from 1988 to 2020. According to the threshold value of 15% sea ice concentration, the definition of one-year ice and multiyear ice, we divided the Antarctic into 5 regions (seawater regions, stable one-year ice regions, one-year ice and seawater coexistence regions, multiyear ice regions, and one-year ice and multiyear ice coexistence regions) for 33 years and finally conducted the spatio-temporal analysis of the one-year ice in three regions (stable one-year ice regions, one-year ice and seawater coexistence regions, and one-year ice and multiyear ice coexistence regions). We examined the changes in sea ice parameters over 33 years. The results showed that from 1988 to 2020, in the stable one-year ice regions the Antarctic melt onset date had a slight delay trend with 0.2504 days year  1 and the melt end date had a slightly advance trend with 0.0524 days year  1, in the one-year ice and seawater coexistence regions the Antarctic annual average sea ice concentration had a weak decreasing trend with a rate of 0.0003/year (The maximal sea ice concentration is 0.238724 in 2010, and the minimal sea ice concentration is 0.166427 in 2019), in one-year ice and multiyear ice coexistence regions the multiyear ice increased at a rate of 0.0039 x 106 km2 and the annual melt index had a slight upward trend with 0.0022 x 108 km2 year  1.</t>
  </si>
  <si>
    <t>[Wang, Xingdong; Zhou, Hailong; Ji, Mingzhu] Henan Univ Technol, Coll Informat Sci &amp; Engn, Zhengzhou 450001, Peoples R China</t>
  </si>
  <si>
    <t>Henan University of Technology</t>
  </si>
  <si>
    <t>Wang, XD (corresponding author), Henan Univ Technol, Coll Informat Sci &amp; Engn, Zhengzhou 450001, Peoples R China.</t>
  </si>
  <si>
    <t>zkywxd@163.com</t>
  </si>
  <si>
    <t>Innovative Funds Plan of Henan University of Technology [2022ZKCJ12]; Cultivation Programme for Young Backbone Teachers in Henan University of Technology [21420070]; Key Projects of Science and Technology Research of Henan Province [202102310334]</t>
  </si>
  <si>
    <t>Innovative Funds Plan of Henan University of Technology; Cultivation Programme for Young Backbone Teachers in Henan University of Technology; Key Projects of Science and Technology Research of Henan Province</t>
  </si>
  <si>
    <t>Funding This research was supported by by the Innovative Funds Plan of Henan University of Technology under Grant 2022ZKCJ12, in part by the Cultivation Programme for Young Backbone Teachers in Henan University of Technology under Grant 21420070, and in part by the Key Projects of Science and Technology Research of Henan Province under Grant 202102310334.</t>
  </si>
  <si>
    <t>1470-160X</t>
  </si>
  <si>
    <t>1872-7034</t>
  </si>
  <si>
    <t>ECOL INDIC</t>
  </si>
  <si>
    <t>Ecol. Indic.</t>
  </si>
  <si>
    <t>10.1016/j.ecolind.2023.110889</t>
  </si>
  <si>
    <t>Biodiversity Conservation; Environmental Sciences</t>
  </si>
  <si>
    <t>Biodiversity &amp; Conservation; Environmental Sciences &amp; Ecology</t>
  </si>
  <si>
    <t>S4BI0</t>
  </si>
  <si>
    <t>WOS:001070633200001</t>
  </si>
  <si>
    <t>Finger, JVG; Krüger, L; Cora, DH; Petry, MV</t>
  </si>
  <si>
    <t>Finger, Julia Victoria Grohmann; Kruger, Lucas; Cora, Denyelle Hennayra; Petry, Maria Virginia</t>
  </si>
  <si>
    <t>Habitat selection of southern giant petrels: potential environmental monitors of the Antarctic Peninsula</t>
  </si>
  <si>
    <t>Article; Early Access</t>
  </si>
  <si>
    <t>breeding distribution; Maritime Antarctic; monitor species; spatial distribution; spatial ecology; tracking</t>
  </si>
  <si>
    <t>CHINSTRAP PENGUINS; STABLE-ISOTOPES; TRACKING DATA; MACRONECTES; MANAGEMENT; PREDATORS; SEABIRDS; TOOLS; SIZE; FOOD</t>
  </si>
  <si>
    <t>The southern giant petrel (Macronectes giganteus) is a widely distributed top predator of the Southern Ocean. To define the fine-scale foraging areas and habitat use of Antarctic breeding populations, 47 southern giant petrels from Nelson Island were GPS-tracked during the summers of 2019-2020 and 2021-2022. Step-selection analysis was applied to test the effects of environmental variables on habitat selection. Visual overlap with seal haul-out sites and fishing areas was also analysed. Birds primarily used waters to the south of the colony in the Weddell and Bellingshausen seas. Females showed a broader distribution, reaching up to -70 &amp; DEG;S to the west of Nelson Island, while males were mainly concentrated in waters off the northern Antarctic Peninsula. Habitat selection of both sexes was associated with water depth and proximity to penguin colonies. Both overlapped their foraging areas with fishing sites and females in particular overlapped with toothfish fishery blocks in Antarctica and with fishing areas in the Patagonian Shelf. Due to their habitat associations and overlap with fisheries, when harnessed with tracking devices and animal-borne cameras, giant petrels can act as platforms for monitoring the condition and occurrence of penguin colonies, haul-out sites and unregulated fisheries on various temporal and spatial scales in Antarctica.</t>
  </si>
  <si>
    <t>[Finger, Julia Victoria Grohmann; Cora, Denyelle Hennayra; Petry, Maria Virginia] Univ Vale Rio dos Sinos, Lab Ornitol &amp; Anim Marinhos, Ave Unisinos, 950, BR-93900000 Sao Leopoldo, Brazil; [Kruger, Lucas] Inst Antart Chileno, Pl Munoz Gamero, 1055, Punta Arenas, Chile; [Kruger, Lucas] Inst Milenio Biodivers Ecosistemas Antart &amp; Subant, 3425, Santiago, Chile</t>
  </si>
  <si>
    <t>Universidade do Vale do Rio dos Sinos (Unisinos)</t>
  </si>
  <si>
    <t>Finger, JVG (corresponding author), Univ Vale Rio dos Sinos, Lab Ornitol &amp; Anim Marinhos, Ave Unisinos, 950, BR-93900000 Sao Leopoldo, Brazil.</t>
  </si>
  <si>
    <t>victoriafinger@hotmail.com</t>
  </si>
  <si>
    <t>Kruger, Lucas/O-8912-2015; petry, maria/K-8410-2013</t>
  </si>
  <si>
    <t>Kruger, Lucas/0000-0003-4637-5302; petry, maria/0000-0002-7870-7394</t>
  </si>
  <si>
    <t>Fondecyt [11180175]; Marine Protected Areas Program of Instituto Antartico Chileno [INACH 2403052]; ANID - Millennium Science Initiative Program [ICN2021_002]; Coordenacao de Aperfeicoamento de Pessoal de Nivel Superior (CAPES) [001]</t>
  </si>
  <si>
    <t>Fondecyt(Comision Nacional de Investigacion Cientifica y Tecnologica (CONICYT)CONICYT FONDECYT); Marine Protected Areas Program of Instituto Antartico Chileno; ANID - Millennium Science Initiative Program; Coordenacao de Aperfeicoamento de Pessoal de Nivel Superior (CAPES)(Coordenacao de Aperfeicoamento de Pessoal de Nivel Superior (CAPES))</t>
  </si>
  <si>
    <t>This study was funded by Fondecyt (Fondecyt Iniciacion 11180175), by the Marine Protected Areas Program of Instituto Antartico Chileno (INACH 2403052) and supported by ANID - Millennium Science Initiative Program - ICN2021_002. It was also partially financed by Coordenacao de Aperfeicoamento de Pessoal de Nivel Superior (CAPES) through a PhD scholarship to JVGF (Finance Code 001) and a master's scholarship to DHC (Finance Code 001).</t>
  </si>
  <si>
    <t>32 AVENUE OF THE AMERICAS, NEW YORK, NY 10013-2473 USA</t>
  </si>
  <si>
    <t>2023 AUG 31</t>
  </si>
  <si>
    <t>10.1017/S0954102023000147</t>
  </si>
  <si>
    <t>R2AN5</t>
  </si>
  <si>
    <t>WOS:001062419100001</t>
  </si>
  <si>
    <t>Light, JJ; Passchier, S</t>
  </si>
  <si>
    <t>Light, Jennifer J.; Passchier, Sandra</t>
  </si>
  <si>
    <t>Eocene to Oligocene cooling and ice growth based on the geochemistry of interglacial mudstones from the East Antarctic continental shelf</t>
  </si>
  <si>
    <t>geochemistry; glaciation; REE; sediment</t>
  </si>
  <si>
    <t>WILKES LAND; PRYDZ BAY; GLACIATION; SEDIMENT; MOUNTAINS; CLIMATE; ONSET; GEOCHRONOLOGY; PROVENANCE; SITE-1166</t>
  </si>
  <si>
    <t>The Eocene-Oligocene Transition at c. 34 million years ago (Ma) marked the global change from greenhouse to icehouse and the establishment of the East Antarctic Ice Sheet (EAIS). How the ice-sheet behaviour changed during interglacials across this climate transition is poorly understood. We analysed major, trace and rare earth elemental data of late Eocene interglacial mudstone from Prydz Bay at Ocean Drilling Program Site 1166 and early Oligocene interglacial mudstone from Integrated Ocean Drilling Program Site U1360 on the Wilkes Land continental shelf. Both sites have comparable glaciomarine depositional settings. Lithofacies and provenance at Site 1166 in Prydz Bay are indicative of a late Eocene glacial retreat in the Lambert Graben. Palaeoclimate proxies, including the Chemical Index of Alteration, mean annual temperature and mean annual precipitation, show a dominant warm and humid palaeoclimate for the late Eocene interglacial. In contrast, at Site U1360, in the early Oligocene, the provenance and interglacial weathering regime remained relatively stable with conditions of physical weathering. These results confirm that the EAIS substantially retreated periodically during late Eocene interglacials and that subglacial basins probably remained partially glaciated during interglacials in the earliest Oligocene.</t>
  </si>
  <si>
    <t>[Light, Jennifer J.; Passchier, Sandra] Montclair State Univ, Ctr Environm &amp; Life Sci, Dept Earth &amp; Environm Studies, 1 Normal Ave, Montclair, NJ 07043 USA</t>
  </si>
  <si>
    <t>Montclair State University</t>
  </si>
  <si>
    <t>Passchier, S (corresponding author), Montclair State Univ, Ctr Environm &amp; Life Sci, Dept Earth &amp; Environm Studies, 1 Normal Ave, Montclair, NJ 07043 USA.</t>
  </si>
  <si>
    <t>passchiers@montclair.edu</t>
  </si>
  <si>
    <t>Passchier, Sandra/B-1993-2008</t>
  </si>
  <si>
    <t>Passchier, Sandra/0000-0001-7204-7025</t>
  </si>
  <si>
    <t>This research uses samples provided by the International Ocean Discovery Program. Dr Xiaona Li is thanked for her assistance in collecting the ICP-MS data at Montclair State University. The data are available at the US Antarctic Program Data Center. This m; International Ocean Discovery Program</t>
  </si>
  <si>
    <t>This research uses samples provided by the International Ocean Discovery Program. Dr Xiaona Li is thanked for her assistance in collecting the ICP-MS data at Montclair State University. The data are available at the US Antarctic Program Data Center. This manuscript received two anonymous reviews, which helped to improve the clarity of the text.</t>
  </si>
  <si>
    <t>10.1017/S0954102023000159</t>
  </si>
  <si>
    <t>R1DU6</t>
  </si>
  <si>
    <t>WOS:001061823700001</t>
  </si>
  <si>
    <t>Chen, LZ; Hong, T; Wu, ZR; Song, WZ; Chen, SX; Liu, YQ; Shen, L</t>
  </si>
  <si>
    <t>Chen, Liangzhong; Hong, Tao; Wu, Zirui; Song, Weizhi; Chen, Shaoxing X.; Liu, Yongqin; Shen, Liang</t>
  </si>
  <si>
    <t>Genomic analyses reveal a low-temperature adapted clade in Halorubrum, a widespread haloarchaeon across global hypersaline environments</t>
  </si>
  <si>
    <t>BMC GENOMICS</t>
  </si>
  <si>
    <t>Genomics; Cold adaptation; Polar and deep Earth environments; Microbial adaptation; Hypersaline environments</t>
  </si>
  <si>
    <t>PERMAFROST BACTERIUM; MICROBIAL ECOLOGY; SP NOV.; COLD; ADAPTATION; ICE; MECHANISMS; GLACIERS; SEQUENCE; QUALITY</t>
  </si>
  <si>
    <t>Background Cold-adapted archaea have diverse ecological roles in a wide range of low-temperature environments. Improving our knowledge of the genomic features that enable psychrophiles to grow in cold environments helps us to understand their adaptive responses. However, samples from typical cold regions such as the remote Arctic and Antarctic are rare, and the limited number of high-quality genomes available leaves us with little data on genomic traits that are statistically associated with cold environmental conditions.Results In this study, we examined the haloarchaeal genus Halorubrum and defined a new clade that represents six isolates from polar and deep earth environments ('PD group' hereafter). The genomic G + C content and amino acid composition of this group distinguishes it from other Halorubrum and the trends are consistent with the established genomic optimization of psychrophiles. The cold adaptation of the PD group was further supported by observations of increased flexibility of proteins encoded across the genome and the findings of a growth test.Conclusions The PD group Halorubrum exhibited denser genome packing, which confers higher metabolic potential with constant genome size, relative to the reference group, resulting in significant differences in carbon, nitrogen and sulfur metabolic patterns. The most marked feature was the enrichment of genes involved in sulfur cycling, especially the production of sulfite from organic sulfur-containing compounds. Our study provides an updated view of the genomic traits and metabolic potential of Halorubrum and expands the range of sources of cold-adapted haloarchaea.</t>
  </si>
  <si>
    <t>[Chen, Liangzhong; Hong, Tao; Wu, Zirui; Chen, Shaoxing X.; Shen, Liang] Anhui Normal Univ, Coll Life Sci, Wuhu 241000, Peoples R China; [Chen, Liangzhong; Shen, Liang] Anhui Normal Univ, Anhui Prov Key Lab Conservat &amp; Exploitat Biol Reso, Wuhu 241000, Peoples R China; [Chen, Liangzhong] Anhui Normal Univ, Anhui Prov Key Lab Mol Enzymol &amp; Mech Major Dis, Wuhu 241000, Peoples R China; [Chen, Liangzhong] Anhui Normal Univ, Auhui Prov Engn Res Ctr Mol Detect &amp; Diagnost, Wuhu 241000, Peoples R China; [Song, Weizhi] Univ New South Wales, Ctr Marine Bioinnovat, Sydney, NSW 2052, Australia; [Liu, Yongqin] Lanzhou Univ, Ctr Pan Pole Environm 3, Lanzhou 730000, Peoples R China; [Liu, Yongqin; Shen, Liang] Chinese Acad Sci, Inst Tibetan Plateau Res, State Key Lab Tibetan Plateau Earth Syst Sci Envir, Beijing 100085, Peoples R China</t>
  </si>
  <si>
    <t>Anhui Normal University; Anhui Normal University; Anhui Normal University; Anhui Normal University; University of New South Wales Sydney; Lanzhou University; Chinese Academy of Sciences; Institute of Tibetan Plateau Research, CAS</t>
  </si>
  <si>
    <t>Chen, SX; Shen, L (corresponding author), Anhui Normal Univ, Coll Life Sci, Wuhu 241000, Peoples R China.;Shen, L (corresponding author), Anhui Normal Univ, Anhui Prov Key Lab Conservat &amp; Exploitat Biol Reso, Wuhu 241000, Peoples R China.;Shen, L (corresponding author), Chinese Acad Sci, Inst Tibetan Plateau Res, State Key Lab Tibetan Plateau Earth Syst Sci Envir, Beijing 100085, Peoples R China.</t>
  </si>
  <si>
    <t>chensx@ahnu.edu.cn; shenliang@ahnu.edu.cn</t>
  </si>
  <si>
    <t>Wang, Jinlong/KHC-3829-2024; WANG, YANAN/KCL-4840-2024; Lu, Yi/KEJ-2560-2024; zhang, hao/KEJ-2291-2024; xu, wei/JZD-2112-2024; Wang, Xingyu/JNE-0602-2023; wang, rong/KFQ-7187-2024; zhang, shengqi/KGL-7519-2024; yan, xu/KCY-8174-2024; yu, hui/KDO-3946-2024; yang, yuyuan/KHC-8879-2024; Yan, Lu/KHW-7015-2024</t>
  </si>
  <si>
    <t>Song, Weizhi/0000-0001-5890-5361; Shen, Liang/0000-0003-0374-4198</t>
  </si>
  <si>
    <t>National Natural Science Foundation of China [41701085]; Innovation and Entrepreneurship Training Program of Anhui Normal University for Undergraduates [202110370090]; Open Project Fund of Anhui Provincial Key Laboratory of Protection and Utilization of Important Biological Resources [swzy202008, swzy202011]; Anhui Provincial Engineering Research Centre for Molecular Detection and Diagnostics [2022AH010012]; Natural Science Foundation of Anhui Province [2208085MC39]</t>
  </si>
  <si>
    <t>National Natural Science Foundation of China(National Natural Science Foundation of China (NSFC)); Innovation and Entrepreneurship Training Program of Anhui Normal University for Undergraduates; Open Project Fund of Anhui Provincial Key Laboratory of Protection and Utilization of Important Biological Resources; Anhui Provincial Engineering Research Centre for Molecular Detection and Diagnostics; Natural Science Foundation of Anhui Province(Natural Science Foundation of Anhui Province)</t>
  </si>
  <si>
    <t>This work was supported by the National Natural Science Foundation of China (no. 41701085), the Innovation and Entrepreneurship Training Program of Anhui Normal University for Undergraduates (no. 202110370090), the Open Project Fund of Anhui Provincial Key Laboratory of Protection and Utilization of Important Biological Resources (no. swzy202008, swzy202011), the Anhui Provincial Engineering Research Centre for Molecular Detection and Diagnostics (2022AH010012) and the Natural Science Foundation of Anhui Province (2208085MC39).</t>
  </si>
  <si>
    <t>1471-2164</t>
  </si>
  <si>
    <t>BMC Genomics</t>
  </si>
  <si>
    <t>10.1186/s12864-023-09597-7</t>
  </si>
  <si>
    <t>Biotechnology &amp; Applied Microbiology; Genetics &amp; Heredity</t>
  </si>
  <si>
    <t>R1PG9</t>
  </si>
  <si>
    <t>WOS:001062125400003</t>
  </si>
  <si>
    <t>Millet, B; Gray, WR; de Lavergne, C; Roche, DM</t>
  </si>
  <si>
    <t>Millet, Bruno; Gray, William R.; de Lavergne, Casimir; Roche, Didier M.</t>
  </si>
  <si>
    <t>Oxygen isotope constraints on the ventilation of the modern and glacial Pacific</t>
  </si>
  <si>
    <t>CLIMATE DYNAMICS</t>
  </si>
  <si>
    <t>Pacific Ocean; Ocean circulation; Ventilation; Oxygen isotopes; Last Glacial Maximum</t>
  </si>
  <si>
    <t>DEEP-WATER FORMATION; ANTARCTIC SEA-ICE; NORTH PACIFIC; GLOBAL OCEAN; INTERGLACIAL CHANGES; CIRCULATION; SALINITY; ABYSSAL; HYDROGRAPHY; TEMPERATURE</t>
  </si>
  <si>
    <t>Changes in Pacific tracer reservoirs and transports are thought to be central to the regulation of atmospheric CO2 on glacial-interglacial timescales. However, there are currently two contrasting views of the circulation of the modern Pacific; the classical view sees southern sourced abyssal waters upwelling to about 1.5 km depth before flowing southward, whereas the bathymetrically constrained view sees the mid-depths (1-2.5 km) largely isolated from the global overturning circulation and predominantly ventilated by diffusion. Furthermore, changes in the circulation of the Pacific under differing climate states remain poorly understood. Through both a modern and a Last Glacial Maximum (LGM) analysis focusing on oxygen isotopes in seawater and benthic foraminifera as conservative tracers, we show that isopycnal diffusion strongly influences the mid-depths of the Pacific. Diapycnal diffusion is most prominent in the subarctic Pacific, where an important return path of abyssal tracers to the surface is identified in the modern state. At the LGM we infer an expansion of North Pacific Intermediate Water, as well as increased layering of the deeper North Pacific which would weaken the return path of abyssal tracers. These proposed changes imply a likely increase in ocean carbon storage within the deep Pacific during the LGM relative to the Holocene.</t>
  </si>
  <si>
    <t>[Millet, Bruno; Gray, William R.; Roche, Didier M.] Univ Paris Saclay, Lab Sci Climat &amp; Environm, LSCE IPSL, CEA CNRS UVSQ, F-91191 Gif Sur Yvette, France; [de Lavergne, Casimir] Sorbonne Univ, LOCEAN Lab, CNRS IRD MNHN, 4 Pl Jussieu, F-75005 Paris, France; [Roche, Didier M.] Vrije Univ Amsterdam, Fac Sci, Dept Earth Sci, Amsterdam, Netherlands</t>
  </si>
  <si>
    <t>Universite Paris Cite; CEA; Centre National de la Recherche Scientifique (CNRS); Universite Paris Saclay; Sorbonne Universite; Institut de Recherche pour le Developpement (IRD); Museum National d'Histoire Naturelle (MNHN); Vrije Universiteit Amsterdam</t>
  </si>
  <si>
    <t>Millet, B (corresponding author), Univ Paris Saclay, Lab Sci Climat &amp; Environm, LSCE IPSL, CEA CNRS UVSQ, F-91191 Gif Sur Yvette, France.</t>
  </si>
  <si>
    <t>bruno.millet@lsce.ipsl.fr; william.gray@lsce.ipsl.fr; casimir.delavergne@locean.ipsl.fr; didier.roche@lsce.ipsl.fr</t>
  </si>
  <si>
    <t>; Roche, Didier M./C-9875-2010</t>
  </si>
  <si>
    <t>Millet, Bruno/0000-0002-1720-8145; de Lavergne, Casimir/0000-0001-9267-7390; Roche, Didier M./0000-0001-6272-9428; Gray, William/0000-0001-5608-7836</t>
  </si>
  <si>
    <t>French Alternative Energies and Atomic Energy Commission (CEA); French national LEFE programme through the ROOF project; ANR grant CARBCOMP</t>
  </si>
  <si>
    <t>French Alternative Energies and Atomic Energy Commission (CEA); French national LEFE programme through the ROOF project; ANR grant CARBCOMP(Agence Nationale de la Recherche (ANR))</t>
  </si>
  <si>
    <t>Financial support was provided by a thesis grant from the French Alternative Energies and Atomic Energy Commission (CEA), the French national LEFE programme through the ROOF project, and ANR grant CARBCOMP.</t>
  </si>
  <si>
    <t>0930-7575</t>
  </si>
  <si>
    <t>1432-0894</t>
  </si>
  <si>
    <t>CLIM DYNAM</t>
  </si>
  <si>
    <t>Clim. Dyn.</t>
  </si>
  <si>
    <t>10.1007/s00382-023-06910-8</t>
  </si>
  <si>
    <t>R2GC3</t>
  </si>
  <si>
    <t>WOS:001062569100001</t>
  </si>
  <si>
    <t>Liu, MY; Zheng, HW; Cai, MG; Leung, KMY; Li, YF; Yan, M; Zhang, ZF; Zhang, K; Chen, M; Ke, HW</t>
  </si>
  <si>
    <t>Liu, Mengyang; Zheng, Haowen; Cai, Minggang; Leung, Kenneth. M. Y.; Li, Yifan; Yan, Meng; Zhang, Zifeng; Zhang, Kai; Chen, Meng; Ke, Hongwei</t>
  </si>
  <si>
    <t>Ocean Stratification Impacts on Dissolved Polycyclic Aromatic Hydrocarbons (PAHs): From Global Observation to Deep Learning</t>
  </si>
  <si>
    <t>polycyclic aromatic hydrocarbons (PAHs); deep learningneural network; ocean stratification; global oceans; marine fate</t>
  </si>
  <si>
    <t>NORTH-ATLANTIC; ORGANIC POLLUTANTS; TAIWAN STRAIT; MIXED-LAYER; SEAWATER; WATER; FATE; BIODEGRADATION; BAY; ATMOSPHERE</t>
  </si>
  <si>
    <t>Ocean stratification plays a crucial role in many biogeochemical processes of dissolved matter, but our understanding of its impact on widespread organic pollutants, such as polycyclic aromatic hydrocarbons (PAHs), remains limited. By analyzing dissolved PAHs collected from global oceans and marginal seas, we found different patterns in vertical distributions of PAHs in relation to ocean primary productivity and stratification index. Notably, a significant positive logarithmic relationship (R-2 = 0.50, p &lt; 0.05) was observed between the stratification index and the PAH stock. To further investigate the impact of ocean stratification on PAHs, we developed a deep learning neural network model. This model incorporated input variables determining the state of the seawater or the stock of PAHs. The modeled PAH stocks displayed substantial agreement with the observed values (R-2 = 0.92), suggesting that intensified stratification could prompt the accumulation of PAHs in the water column. Given the amplified effect of global warming, it is imperative to give more attention to increased ocean stratification and its impact on the environmental fate of organic pollutants.</t>
  </si>
  <si>
    <t>[Liu, Mengyang; Zheng, Haowen; Cai, Minggang; Chen, Meng; Ke, Hongwei] Xiamen Univ, Coll Ocean &amp; Earth Sci, Coll Environm &amp; Ecol, State Key Lab Marine Environm Sci, Xiamen 361102, Peoples R China; [Liu, Mengyang; Leung, Kenneth. M. Y.; Yan, Meng; Zhang, Kai] City Univ Hong Kong, State Key Lab Marine Pollut, Kowloon, Hong Kong 999077, Peoples R China; [Liu, Mengyang; Leung, Kenneth. M. Y.; Yan, Meng; Zhang, Kai] City Univ Hong Kong, Dept Chem, Kowloon, Hong Kong 999077, Peoples R China; [Li, Yifan; Zhang, Zifeng] Harbin Inst Technol, Harbin 150090, Peoples R China</t>
  </si>
  <si>
    <t>Xiamen University; City University of Hong Kong; City University of Hong Kong; Harbin Institute of Technology</t>
  </si>
  <si>
    <t>Cai, MG (corresponding author), Xiamen Univ, Coll Ocean &amp; Earth Sci, Coll Environm &amp; Ecol, State Key Lab Marine Environm Sci, Xiamen 361102, Peoples R China.</t>
  </si>
  <si>
    <t>mgcai@xmu.edu.cn</t>
  </si>
  <si>
    <t>li, cheng/KCZ-0615-2024; zhang, yan/KHC-3163-2024; ren, jun/KHG-7717-2024; li, jing/KHC-8303-2024; liu, qi/KHC-7509-2024; guo, yi/KHC-4669-2024; Zhang, Lu/KHE-5879-2024; zhu, hao/KHW-3813-2024; zhang, hao/KEJ-2291-2024; su, lin/KHC-5034-2024; Liu, Mengyang/JDI-7474-2023; Leung, Kenneth Mei Yee/C-1055-2009</t>
  </si>
  <si>
    <t>Liu, Mengyang/0000-0001-9116-0453; Leung, Kenneth Mei Yee/0000-0002-2164-4281; LIU, Mengyang/0000-0001-6808-6208; Cai, Minggang/0000-0003-2828-0529</t>
  </si>
  <si>
    <t>Innovation and Technology Commission (ITC) of the Hong Kong SAR Government</t>
  </si>
  <si>
    <t>We are grateful to the crews of RV Shiyan I (NORC2013-10),RV Shiyan III (NORC2014-07), RV Kexue (NORC2017-09), and the NationalNatural Science Foundation of China (NSFC) Shiptime Sharing Project.We also wish to express our sincere gratitude to the crew of the 5th Chinese National Arctic Research Expedition and the 27th Chinese National Antarctic Research Expedition onboard RVXuelong. We thank Mr. Junhua Liang, Ms. Mengshan Duan, and Mr. HuihongDu for their assistance during field sampling, Ms. Yi Ye and Ms. LingyaoGan for their assistance during the experiments, and Mr. Mian Chenfor assistance during instrumental analysis. While preparing thismanuscript, Dr. Mengyang Liu is supported by theY Innovation and Technology Commission (ITC) of the Hong Kong SAR Government which provides regularresearch funding to the State Key Laboratory of Marine Pollution.However, any opinions, findings, conclusions, or recommendations expressedin this publication do not reflect the views of the Hong Kong SARGovernment or the ITC.</t>
  </si>
  <si>
    <t>10.1021/acs.est.3c03237</t>
  </si>
  <si>
    <t>Q9YC2</t>
  </si>
  <si>
    <t>WOS:001060989300001</t>
  </si>
  <si>
    <t>Benítez, CY; Lorente-Aznar, T; Labaka, I; Ribeiro, MAF Jr; Viteri, Y; Morishita, K; Baselga, M; Güemes, A</t>
  </si>
  <si>
    <t>Benitez, Carlos Yanez; Lorente-Aznar, Teofilo; Labaka, Idurre; Ribeiro Jr, Marcelo A. F.; Viteri, Yosu; Morishita, Koji; Baselga, Marta; Guemes, Antonio</t>
  </si>
  <si>
    <t>Tourniquet self-application assessment in cold weather conditions</t>
  </si>
  <si>
    <t>BMC EMERGENCY MEDICINE</t>
  </si>
  <si>
    <t>Training; Trauma; Vascular; Tourniquet</t>
  </si>
  <si>
    <t>PULSE OXIMETRY; TEMPERATURE; MORTALITY; MILITARY; EXPOSURE</t>
  </si>
  <si>
    <t>BackgroundOur study aimed to assess the ability of nonmedical civilians to self-apply extremity tourniquets in cold weather conditions while wearing insulating technical clothing after receiving basic training.MethodsA field study was conducted among 37 voluntary participants of an expedition party to the Spanish Antarctic base. The researchers assessed the participant's ability to self-apply five commercial extremity tourniquets (CAT, OMNA, RMT, SWAT-T, and RATS) over cold-weather clothing and their achieved effectiveness for vascular occlusion. Upper extremity self-application was performed with a single-handed technique (OHT), and lower extremity applying a two-handed technique (THT). Perceptions of self-application ease mean values &amp; PLUSMN; standard deviation (SD) were compared by applying a 5% statistical significance threshold. Frequency count determined tourniquet preference.ResultsAll the tested ETs, except the SWAT-T, were properly self-applied with an OHT, resulting in effective vascular occlusion in the upper extremity. The five devices tested were self-applied correctly in the lower extremities using THT. The ratcheting marine-designed OMNA ranked the highest for application easiness on both the upper and lower extremities, and the windlass CAT model was the preferred device by most participants.ConclusionsCivilian extremity tourniquet self-application on both upper and lower extremities can be accomplished in cold weather conditions despite using cold-weather gloves and technical clothing after receiving brief training. The ratcheting marine-designed OMNA ranked the highest for application ease, and the windlass CAT model was the preferred device.</t>
  </si>
  <si>
    <t>[Benitez, Carlos Yanez] San Jorge Univ Hosp, Gen &amp; GI Surg Dept, SALUD, Ave Martinez Velasco 36, Huesca 22004, Spain; [Lorente-Aznar, Teofilo] SALUD, Jaca Hlth Ctr, Paseo Constituc 8, Jaca 22700, Spain; [Labaka, Idurre] Donostia Univ Hosp, Emergency Med, C Begiristain Doktorea Pasealekua, Donostia San Sebastian, Spain; [Ribeiro Jr, Marcelo A. F.] Khalifa Univ, Div Trauma Crit Care &amp; Acute Care Surg, Abu Dhabi, U Arab Emirates; [Viteri, Yosu] Torrelodones Univ Hosp, Emergency Dept, Ave Castillo Olivares s-n, Madrid 28250, Spain; [Morishita, Koji] Tokyo Med &amp; Dent Univ Hosp Med, Dept Acute Crit Care &amp; Disaster Med, Tokyo, Japan; [Baselga, Marta] Inst Hlth Res Aragon, Clin &amp; Expt Res Grp, C San Juan Bosco 13, Zaragoza 50009, Spain; [Guemes, Antonio] Lozano Blesa Univ Hosp, Dept Gen Surg, Ave San Juan Bosco 15, Zaragoza 50009, Spain</t>
  </si>
  <si>
    <t>Hospital Universidad San Jorge; University Hospital Donostia; Khalifa University of Science &amp; Technology; Tokyo Medical &amp; Dental University (TMDU); Lozano Blesa University Clinical Hospital</t>
  </si>
  <si>
    <t>Benítez, CY (corresponding author), San Jorge Univ Hosp, Gen &amp; GI Surg Dept, SALUD, Ave Martinez Velasco 36, Huesca 22004, Spain.</t>
  </si>
  <si>
    <t>carlosyb1@gmail.com</t>
  </si>
  <si>
    <t>Ribeiro Junior, Marcelo Augusto Fontenelle/AFS-6590-2022</t>
  </si>
  <si>
    <t>Ribeiro Junior, Marcelo Augusto Fontenelle/0000-0001-9826-4722; Baselga Lahoz, Marta/0000-0003-2672-5790; Guemes Sanchez, Antonio Tomas/0000-0002-4437-2581; Yanez, Carlos/0000-0003-4998-5915; Lorente-Aznar, Teofilo/0000-0003-4584-9000</t>
  </si>
  <si>
    <t>1471-227X</t>
  </si>
  <si>
    <t>BMC EMERG MED</t>
  </si>
  <si>
    <t>BMC Emerg. Med.</t>
  </si>
  <si>
    <t>10.1186/s12873-023-00871-1</t>
  </si>
  <si>
    <t>Emergency Medicine</t>
  </si>
  <si>
    <t>Q5IL3</t>
  </si>
  <si>
    <t>WOS:001057854700001</t>
  </si>
  <si>
    <t>Gutiérrez, GR; Sparaventi, E; Corta, BG; Tovar-Sánchez, A; Fuente, JRV</t>
  </si>
  <si>
    <t>Gutierrez, Gema Ruiz; Sparaventi, Erica; Corta, Berta Galan; Tovar-Sanchez, Antonio; Fuente, Javier R. Viguri</t>
  </si>
  <si>
    <t>Penguin guano trace metals release to Antarctic waters: A kinetic modelling</t>
  </si>
  <si>
    <t>SCIENCE OF THE TOTAL ENVIRONMENT</t>
  </si>
  <si>
    <t>Gentoo penguin; Guano; Trace metals; Release; Leachable fraction; Flux; Kinetic modelling</t>
  </si>
  <si>
    <t>HEAVY-METALS; POTENTIAL MOBILIZATION; COMMUNITY STRUCTURE; SOUTHERN-OCEAN; LEACHING TESTS; PHYTOPLANKTON; SEDIMENTS; SOILS; IRON; ZN</t>
  </si>
  <si>
    <t>Penguin guano has been considered as a suitable bioindicator of the exposure to environmental contaminants in Antarctic environment. Although trace metal content values in penguin guano have been widely reported, the kinetics of their mobility in seawater have not been determined. In the present study, we have estimated the release rate of dissolved Cd, Co, Cu, Fe, Mn, Mo, Ni, Pb, V, and Zn from Gentoo (Pygoscelis papua) penguins guano to Antarctic seawater by 120 h laboratory and at external natural conditions of temperature and light experiments. A mathematical model using two metal pools guano (labile and equilibrium) and seawater compartments considering pseudo-first-order kinetics, is proposed in order to interpret and predict the release of trace metals. A good statistical agreement between experimental and modelled concentration values allows us obtention of kinetic parameters and partition coefficients (Kd(i)). These values allow to estimate releases into seawater from 5400 to 6.3 mu g/day.penguin of Cu and V, respectively. More than 50 % of the initial content of all the studied elements are released during the first two hours, reaching 90 % release in the decreasing order of speed Ni &gt;&gt; Cu approximate to Mo &gt; Mn &gt; Co &gt; Cd approximate to Pb; periods of up to one hour, Fe, V and Zn reach a maximum release and are then readsorbed. Equilibrium releases &gt;90 % for Mo and Cd, and 55 % - 46 % for Co, Ni, Pb and Mn are obtained; Zn with 5.4 %, V with 1.7 % and Fe with 0.88 % show the lowest values. With an overwhelming growth of estimated population south of 60 degrees S of 259.750 breeding pairs we estimate that the Gentoo penguin population is releasing annually in the Southern Ocean, 716 kg Cu, 188 kg Mn, 113 kg Fe, 102 kg Zn, 17.7 kg Mo, 12.0 kg Ni, 8.70 kg Cd, 4.59 kg Co, 6.27 kg Pb and 0.790 kg V of soluble metals.</t>
  </si>
  <si>
    <t>[Gutierrez, Gema Ruiz; Corta, Berta Galan; Fuente, Javier R. Viguri] Univ Cantabria, Dept Quim &amp; Ingn Proc &amp; Recursos, Green Engn &amp; Resources Res Grp GER, ETSIIT, Avda Castros 46, Santander 39005, Cantabria, Spain; [Sparaventi, Erica; Tovar-Sanchez, Antonio] Campus Univ Rio San Pedro, Dept Ecol &amp; Gestio Costeran, Inst Ciencias Marinas Andalucia ICMAN CSIC, Puerto Real 11519, Spain</t>
  </si>
  <si>
    <t>Universidad de Cantabria; Universidad de Cadiz; Consejo Superior de Investigaciones Cientificas (CSIC); CSIC - Instituto de Ciencias Marinas de Andalucia (ICMAN)</t>
  </si>
  <si>
    <t>Fuente, JRV (corresponding author), Univ Cantabria, Dept Quim &amp; Ingn Proc &amp; Recursos, Green Engn &amp; Resources Res Grp GER, ETSIIT, Avda Castros 46, Santander 39005, Cantabria, Spain.</t>
  </si>
  <si>
    <t>vigurij@unican.es</t>
  </si>
  <si>
    <t>Ruiz, Gema/KFT-0035-2024; Tovar-Sánchez, Antonio/B-8003-2010</t>
  </si>
  <si>
    <t>Tovar-Sanchez, Antonio/0000-0003-4375-1982; Ruiz Gutierrez, Gema/0000-0001-5070-3909</t>
  </si>
  <si>
    <t>Spanish Government [RTI2018-098048-B-I00, PID2021-125783OB-I00]; Spanish Government FPI grant [PRE2019-089679]; Spanish Polar Committee</t>
  </si>
  <si>
    <t>Spanish Government(Spanish Government); Spanish Government FPI grant; Spanish Polar Committee</t>
  </si>
  <si>
    <t>This research has been funded by the Spanish Government projects PIMETAN (ref. RTI2018-098048-B-I00) and DICHOSO (PID2021-125783OB-I00) . E.S. is supported by the Spanish Government FPI grant (Ref:PRE2019-089679) . Permissions to work and collect guano samples in the study area were granted by the Spanish Polar Committee. We thank the Marine Technology Unit (UTM-CSIC) for their logistic support, for making the 2021-2022 Spanish Antarctic campaign possible.</t>
  </si>
  <si>
    <t>0048-9697</t>
  </si>
  <si>
    <t>1879-1026</t>
  </si>
  <si>
    <t>SCI TOTAL ENVIRON</t>
  </si>
  <si>
    <t>Sci. Total Environ.</t>
  </si>
  <si>
    <t>DEC 1</t>
  </si>
  <si>
    <t>10.1016/j.scitotenv.2023.166448</t>
  </si>
  <si>
    <t>Environmental Sciences</t>
  </si>
  <si>
    <t>S6PR7</t>
  </si>
  <si>
    <t>WOS:001072367700001</t>
  </si>
  <si>
    <t>Vaideanu, P; Stepanek, C; Dima, M; Schrepfer, J; Matos, F; Ionita, M; Lohmann, G</t>
  </si>
  <si>
    <t>Vaideanu, Petru; Stepanek, Christian; Dima, Mihai; Schrepfer, Jule; Matos, Fernanda; Ionita, Monica; Lohmann, Gerrit</t>
  </si>
  <si>
    <t>Large-scale sea ice-Surface temperature variability linked to Atlantic meridional overturning circulation</t>
  </si>
  <si>
    <t>PLOS ONE</t>
  </si>
  <si>
    <t>INTERNAL VARIABILITY; MULTIDECADAL OSCILLATION; THERMOHALINE CIRCULATION; OCEAN CIRCULATION; ARCTIC-OCEAN; NORTH; CLIMATE; MECHANISMS; TRENDS; SLOWDOWN</t>
  </si>
  <si>
    <t>Due to its involvement in numerous feedbacks, sea ice plays a crucial role not only for polar climate but also at global scale. We analyse state-of-the-art observed, reconstructed, and modelled sea-ice concentration (SIC) together with sea surface temperature (SST) to disentangle the influence of different forcing factors on the variability of these coupled fields. Canonical Correlation Analysis provides distinct pairs of coupled Arctic SIC-Atlantic SST variability which are linked to prominent oceanic and atmospheric modes of variability over the period 1854-2017. The first pair captures the behaviour of the Atlantic meridional overturning circulation (AMOC) while the third and can be associated with the North Atlantic Oscillation (NAO) in a physically consistent manner. The dominant global SIC-Atlantic SST coupled mode highlights the contrast between the responses of Arctic and Antarctic sea ice to changes in AMOC over the 1959-2021 period. Model results indicate that coupled SST-SIC patterns can be associated with changes in ocean circulation. We conclude that a correct representation of AMOC-induced coupled SST-SIC variability in climate models is essential to understand the past, present and future sea-ice evolution.</t>
  </si>
  <si>
    <t>[Vaideanu, Petru; Stepanek, Christian; Dima, Mihai; Schrepfer, Jule; Matos, Fernanda; Ionita, Monica; Lohmann, Gerrit] Helmholtz Ctr Polar &amp; Marine Res, Alfred Wegener Inst, Bremerhaven, Germany; [Vaideanu, Petru; Dima, Mihai] Univ Bucharest, Fac Phys, Bucharest, Romania; [Ionita, Monica] Romanian Acad, Emil Racovita Inst Speleol, Cluj Napoca, Romania; [Ionita, Monica] Stefan cel Mare Univ Suceava, Fac Forestry, Suceava, Romania; [Lohmann, Gerrit] Univ Bremen, Dept Environm Phys, Bremen, Germany; [Lohmann, Gerrit] Univ Bremen, MARUM, Bremen, Germany</t>
  </si>
  <si>
    <t>Helmholtz Association; Alfred Wegener Institute, Helmholtz Centre for Polar &amp; Marine Research; University of Bucharest; Romanian Academy of Sciences; Emil Racovita Institute of Speleology; Stefan cel Mare University of Suceava; University of Bremen; University of Bremen</t>
  </si>
  <si>
    <t>Vaideanu, P (corresponding author), Helmholtz Ctr Polar &amp; Marine Res, Alfred Wegener Inst, Bremerhaven, Germany.;Vaideanu, P (corresponding author), Univ Bucharest, Fac Phys, Bucharest, Romania.</t>
  </si>
  <si>
    <t>petru.cosmin.vaideanu@awi.de</t>
  </si>
  <si>
    <t>Stepanek, Christian/ABA-9210-2021</t>
  </si>
  <si>
    <t>Oliveira Matos, Fernanda DI Alzira/0000-0002-6355-7514</t>
  </si>
  <si>
    <t>Helmholtz Association; Romanian UEFISCDI [PN-III-P1-1.1-PD-2021-0505]; Helmholtz Information &amp; Data Science Academy (HIDA) via Helmholtz Visiting Researcher Grant; German Federal Ministry of Education and Research (BMBF) [01LP2004A]; Alfred-Wegener-Institut Helmholtz-Zentrum fur Polar- und Meeresforschung</t>
  </si>
  <si>
    <t>Helmholtz Association(Helmholtz Association); Romanian UEFISCDI(Consiliul National al Cercetarii Stiintifice (CNCS)Unitatea Executiva pentru Finantarea Invatamantului Superior, a Cercetarii, Dezvoltarii si Inovarii (UEFISCDI)); Helmholtz Information &amp; Data Science Academy (HIDA) via Helmholtz Visiting Researcher Grant; German Federal Ministry of Education and Research (BMBF)(Federal Ministry of Education &amp; Research (BMBF)); Alfred-Wegener-Institut Helmholtz-Zentrum fur Polar- und Meeresforschung</t>
  </si>
  <si>
    <t>This work was funded by the Helmholtz Association through the joint program Changing Earth - Sustaining our Future (PoF IV) program of the Alfred Wegener Institute for Polar and Marine Research (AWI). P.V. and M.D. were also funded by project PN-III-P1-1.1-PD-2021-0505, Ctr. PD22/ 2022, CLIMATICFOOTPRINTS of the Romanian UEFISCDI. P.V. was also funded by the Helmholtz Information &amp; Data Science Academy (HIDA) via Helmholtz Visiting Researcher Grant. The specific roles of these authors are articulated in the 'author contributions' section. This work is also part of the Abrupt Climate Shifts and Extremes over Eurasia in Response to Arctic Sea Ice Change (ACE) project funded by the German Federal Ministry of Education and Research (BMBF) 01LP2004A. Publication fees were covered by the Open Access Publication Funds of Alfred-Wegener-Institut Helmholtz-Zentrum fur Polar- und Meeresforschung. The funders had no role in study design, data collection, and analysis, the decision to publish, or the preparation of the manuscript.</t>
  </si>
  <si>
    <t>PUBLIC LIBRARY SCIENCE</t>
  </si>
  <si>
    <t>SAN FRANCISCO</t>
  </si>
  <si>
    <t>1160 BATTERY STREET, STE 100, SAN FRANCISCO, CA 94111 USA</t>
  </si>
  <si>
    <t>1932-6203</t>
  </si>
  <si>
    <t>PLoS One</t>
  </si>
  <si>
    <t>AUG 30</t>
  </si>
  <si>
    <t>e0290437</t>
  </si>
  <si>
    <t>10.1371/journal.pone.0290437</t>
  </si>
  <si>
    <t>Q6SJ5</t>
  </si>
  <si>
    <t>WOS:001058799800029</t>
  </si>
  <si>
    <t>Zheng, F; Liu, XN; Wang, H; Li, YX; Wang, R; Yao, SAL; Dong, WJ</t>
  </si>
  <si>
    <t>Zheng, Fei; Liu, Xiaoning; Wang, Hao; Li, Yuxun; Wang, Rui; Yao, Shuailei; Dong, Wenjie</t>
  </si>
  <si>
    <t>Reversing seasonality of Southern Hemisphere Annular Mode trend in the 21st century</t>
  </si>
  <si>
    <t>INTERNATIONAL JOURNAL OF CLIMATOLOGY</t>
  </si>
  <si>
    <t>linear trend; ozone recovery; seasonality; Southern Hemisphere Annular Mode</t>
  </si>
  <si>
    <t>ANTARCTIC OSCILLATION; PART I; CLIMATE; IMPACT; VARIABILITY; CIRCULATION; SIGNATURES; CHINA</t>
  </si>
  <si>
    <t>The Southern Hemisphere Annular Mode (SAM) is the dominant mode of atmospheric circulation in the Southern Hemisphere extratropical region. In the late 20th century, the SAM underwent a remarkable positive trend, with the strongest trend occurring in austral summer because of Antarctic ozone depletion. In this study, we quantitatively explore changes in the seasonality of the SAM trend under the background of ozone recovery. As expected, accompanied by ozone recovery since 2001, the summer SAM trend has decreased, thus reducing the seasonal difference in the SAM trend between summer and winter. However, what was not expected and found in this study is that the winter SAM has meanwhile shown an increasing positive trend in the early 21st century, which further reverses the seasonality of the SAM trend, leading to a stronger trend in winter rather than summer, which is different from the seasonality in the late 20th century. The reason underlying the winter SAM changes is explored from the perspective of natural variability. Winter SAM exhibits clear multidecadal variability, and the recent increasing trend is a part of multidecadal oscillation. The multidecadal variability of winter SAM may partly originate from the Atlantic Multidecadal Oscillation. The seasonality of linear trend in extratropical surface climate also exhibits reversing characteristics since 2001. In the early 21st century, the acceleration of westerlies and the strengthening of Amundsen Sea Low are stronger in winter, reversing the previous seasonality in the late 20th century, in which the acceleration of westerlies and the strengthening of Amundsen Sea Low is stronger in summer.</t>
  </si>
  <si>
    <t>[Zheng, Fei; Wang, Rui; Dong, Wenjie] Sun Yat Sen Univ, Sch Atmospher Sci, Key Lab Trop Atmosphere Ocean Syst, Minist Educ, Zhuhai, Peoples R China; [Zheng, Fei] Southern Marine Sci &amp; Engn Guangdong Lab, Zhuhai, Peoples R China; [Liu, Xiaoning; Li, Yuxun] Lanzhou Univ, Coll Earth &amp; Environm Sci, Key Lab Western Chinas Environm Syst, Minist Educ, Lanzhou, Peoples R China; [Wang, Hao] Ocean Univ China, Frontiers Sci Ctr Deep Ocean Multispheres &amp; Earth, Key Lab Phys Oceanog, Inst Adv Ocean Studies,Acad Future Ocean, Qingdao, Peoples R China; [Yao, Shuailei] Chinese Acad Sci, Inst Atmospher Phys, State Key Lab Numer Modeling Atmospher Sci &amp; Geop, Beijing, Peoples R China</t>
  </si>
  <si>
    <t>Sun Yat Sen University; Southern Marine Science &amp; Engineering Guangdong Laboratory; Lanzhou University; Ocean University of China; Chinese Academy of Sciences; Institute of Atmospheric Physics, CAS</t>
  </si>
  <si>
    <t>Zheng, F (corresponding author), Sun Yat Sen Univ, Sch Atmospher Sci, Key Lab Trop Atmosphere Ocean Syst, Minist Educ, Zhuhai, Peoples R China.</t>
  </si>
  <si>
    <t>zhengf35@mail.sysu.edu.cn</t>
  </si>
  <si>
    <t>Zheng, Fei/AAV-7512-2021; dong, wenjie/F-4314-2012</t>
  </si>
  <si>
    <t>Zheng, Fei/0000-0001-6135-6148; Dong, Wenjie/0000-0002-9635-6292</t>
  </si>
  <si>
    <t>National Natural Science Foundation of China [42375027]; Natural Science Foundation of Guangdong Province [2023A1515010889]</t>
  </si>
  <si>
    <t>National Natural Science Foundation of China(National Natural Science Foundation of China (NSFC)); Natural Science Foundation of Guangdong Province(National Natural Science Foundation of Guangdong Province)</t>
  </si>
  <si>
    <t>National Natural Science Foundation of China, Grant/Award Number: 42375027; Natural Science Foundation of Guangdong Province, Grant/Award Number: 2023A1515010889</t>
  </si>
  <si>
    <t>0899-8418</t>
  </si>
  <si>
    <t>1097-0088</t>
  </si>
  <si>
    <t>INT J CLIMATOL</t>
  </si>
  <si>
    <t>Int. J. Climatol.</t>
  </si>
  <si>
    <t>NOV 30</t>
  </si>
  <si>
    <t>10.1002/joc.8235</t>
  </si>
  <si>
    <t>IA3J0</t>
  </si>
  <si>
    <t>WOS:001063880600001</t>
  </si>
  <si>
    <t>Chen, XC; Zhang, XR; Yu, H; Han, MAX; Sun, JH; Liu, G; Ji, Y; Zhai, C; Zhu, LY; Shao, HB; Liang, YT; Mcminn, A; Wang, M</t>
  </si>
  <si>
    <t>Chen, Xuechao; Zhang, Xinran; Yu, Hao; Han, Meiaoxue; Sun, Jianhua; Liu, Gang; Ji, Yan; Zhai, Chuan; Zhu, Liyan; Shao, Hongbing; Liang, Yantao; Mcminn, Andrew; Wang, Min</t>
  </si>
  <si>
    <t>Spatio-temporal variation of bacterial community structure in two intertidal sediment types of Jiaozhou Bay</t>
  </si>
  <si>
    <t>ENVIRONMENTAL RESEARCH</t>
  </si>
  <si>
    <t>Biofilm; Seasonal variation; Grain size; LEfSe; Gene function</t>
  </si>
  <si>
    <t>MICROBIAL COMMUNITY; DIVERSITY; BIOFILM; OXYGEN; DENITRIFICATION; NITRIFICATION; COLONIZATION; ABUNDANCE; DYNAMICS; REMOVAL</t>
  </si>
  <si>
    <t>The intertidal sediment environment is dynamic and the biofilm bacterial community within it must constantly adapt, but an understanding of the differences in the biofilm bacterial community within sediments of different types is still relatively limited. The semi-enclosed Jiaozhou Bay has a temperate monsoon climate, with strong currents at the mouth of the bay. In this study, the structure of the bacterial community in Jiaozhou Bay sediment biofilms are described using high-throughput 16 S rRNA gene sequencing and the effects of temporal change and different sediment environment types are discussed. Alpha diversity was significantly higher in sandy samples than in muddy samples. Sandy sediments with increased heterogeneity promote bacterial aggregation. Beta diversity analysis showed significant differences between sediment types and between stations. Proteobacteria and Acidobacteria were significantly more abundant at ZQ, while Campilobacterota was significantly more abundant at LC. The relative abundances of Bacteroidetes, Campilobacterota, Firmicutes, and Chloroflexi were significantly higher in the muddy samples, while Actinobacteria and Proteobacteria were higher in the sandy samples. There were different phylum-level biomarkers between sediment types at different stations. There were also different patterns of functional enrichment in biogeochemical cycles between sediment types and stations with the former having more gene families that differed significantly, highlighting their greater role in determining bacterial function. Bacterial amplicon sequence variant variation between months was less than KEGG ortholog variation between months, presumably the temporal change had an impact on shaping the intertidal sediment bacterial community, although this was less clear at the gene family level. Random forest prediction yielded a combination of 43 family-level features that responded well to temporal change, reflecting the influence of temporal change on sediment biofilm bacteria.</t>
  </si>
  <si>
    <t>[Chen, Xuechao; Zhang, Xinran; Yu, Hao; Han, Meiaoxue; Sun, Jianhua; Liu, Gang; Ji, Yan; Shao, Hongbing; Liang, Yantao; Mcminn, Andrew; Wang, Min] Ocean Univ China, Inst Evolut &amp; Marine Biodivers, Coll Marine Life Sci, Frontiers Sci Ctr Deep Ocean Multispheres &amp; Earth, Qingdao, Peoples R China; [Zhai, Chuan; Mcminn, Andrew] Univ Tasmania, Inst Marine &amp; Antarctic Studies, Hobart, Tas 7001, Australia; [Zhu, Liyan] Ocean Univ China, Coll Marine Life Sci, Qingdao 266003, Peoples R China; [Shao, Hongbing; Liang, Yantao; Wang, Min] UMT OUC Joint Ctr Marine Studies, Qingdao 266003, Peoples R China; [Wang, Min] Ocean Univ China, Haide Coll, Qingdao 266003, Peoples R China; [Wang, Min] Qingdao Univ, Affiliated Hosp, Qingdao 266000, Peoples R China</t>
  </si>
  <si>
    <t>Ocean University of China; University of Tasmania; Ocean University of China; Ocean University of China; Qingdao University</t>
  </si>
  <si>
    <t>Liang, YT; Mcminn, A; Wang, M (corresponding author), Ocean Univ China, Inst Evolut &amp; Marine Biodivers, Coll Marine Life Sci, Frontiers Sci Ctr Deep Ocean Multispheres &amp; Earth, Qingdao, Peoples R China.;Mcminn, A (corresponding author), Univ Tasmania, Inst Marine &amp; Antarctic Studies, Hobart, Tas 7001, Australia.;Liang, YT; Wang, M (corresponding author), UMT OUC Joint Ctr Marine Studies, Qingdao 266003, Peoples R China.</t>
  </si>
  <si>
    <t>liangyantao@ouc.edu.cn; andrew.mcminn@utas.edu.au; mingwang@ouc.edu.cn</t>
  </si>
  <si>
    <t>Liu, Gang/AAC-4177-2020; Wang, Min/AFR-9645-2022</t>
  </si>
  <si>
    <t>Liu, Gang/0000-0003-2613-7286; Wang, Min/0000-0002-2357-589X</t>
  </si>
  <si>
    <t>Fundamental Research Funds for the Central Universities [42120104006, 41976117, 42176111]; [202172002]; [201812002]; [202072001]</t>
  </si>
  <si>
    <t>Fundamental Research Funds for the Central Universities(Fundamental Research Funds for the Central Universities); ; ;</t>
  </si>
  <si>
    <t>We are grateful for the use of the high-performance server at the Center for High Performance Computing and System Simulation, Pilot National Laboratory for Marine Science and Technology (Qingdao, China) . We appreciate the computational resources provided by IEMB-1, a high-performance computing cluster operated by the Institute of Evolution and Marine Biodiversity, and the Marine Big Data Center of the Institute for Advanced Ocean Study of Ocean University of China. The data were also analyzed on the free online platform of Majorbio I-Sanger Cloud Platform ( www.i-sanger.com ) and OECloud tools (https://cloud.oebiotech.cn) . This work was supported by the Laoshan Laboratory (No. LSKJ202203201) , National Key Research and Development Program of China (2022YFC2807500) , Natural Science Foundation of China (No. 42120104006, 41976117 and 42176111) and the Fundamental Research Funds for the Central Universities (202172002, 201812002, 202072001 and Andrew McMinn) .r 42120104006, 41976117 and 42176111) and the Fundamental Research Funds for the Central Universities (202172002, 201812002, 202072001 and Andrew McMinn) .</t>
  </si>
  <si>
    <t>ACADEMIC PRESS INC ELSEVIER SCIENCE</t>
  </si>
  <si>
    <t>SAN DIEGO</t>
  </si>
  <si>
    <t>525 B ST, STE 1900, SAN DIEGO, CA 92101-4495 USA</t>
  </si>
  <si>
    <t>0013-9351</t>
  </si>
  <si>
    <t>1096-0953</t>
  </si>
  <si>
    <t>ENVIRON RES</t>
  </si>
  <si>
    <t>Environ. Res.</t>
  </si>
  <si>
    <t>NOV 15</t>
  </si>
  <si>
    <t>10.1016/j.envres.2023.116743</t>
  </si>
  <si>
    <t>Environmental Sciences; Public, Environmental &amp; Occupational Health</t>
  </si>
  <si>
    <t>Environmental Sciences &amp; Ecology; Public, Environmental &amp; Occupational Health</t>
  </si>
  <si>
    <t>T2SI4</t>
  </si>
  <si>
    <t>Green Submitted, Bronze</t>
  </si>
  <si>
    <t>WOS:001076529900001</t>
  </si>
  <si>
    <t>Maslov, VA; Kaminsky, VD; Rodionov, NV; Vorobiev, DM</t>
  </si>
  <si>
    <t>Maslov, V. A.; Kaminsky, V. D.; Rodionov, N. V.; Vorobiev, D. M.</t>
  </si>
  <si>
    <t>New Data on the Geological Structure and Precambrian Evolution of the Mountain Framework of the Denman Glacier Western Side (East Antarctica): First Paleoarchean Age for Plagiogneisses</t>
  </si>
  <si>
    <t>DOKLADY EARTH SCIENCES</t>
  </si>
  <si>
    <t>East Antarctica; mountain framework of the Denman Glacier; Paleoarchean; geodynamics; geochronology of the Precambrian; U-Pb age; zircons</t>
  </si>
  <si>
    <t>The mountain framework of the Denman Glacier is a poorly explored area. However, it is a key region of East Antarctica in the context of studying the Precambrian geological history and geodynamic evolution of the Archean protocratons of the Antarctic Shield and in their comparison with the Archean crust-forming events of other regions of the Earth. Original U-Pb isotope geochronology data from zircons of metamorphic and intrusive rocks sampled from the western side of the Denman Glacier are reported. A geotectonic interpretation of the data was carried out. The Paleoarchean age of crystallization (3355 +/- 5.4 Ma) of the magmatic protolith of tonalitic orthogneisses of the Davis granite-gneiss complex was obtained for the first time in this sector of Antarctica. In the Archean time interval, the Davis Paleoarchean protocraton was affected by multistage polymetamorphism in the intervals similar to 3100-3000 and 2900-2800 Ma ago. A crustal extension associated with the late stage is indicated by syntectonic intrusion of ultramafic dikes and pyroxenite sills (2827 +/- 6 Ma). The time when granite veins and subalkaline granitoid plutons formed corresponds to the time of tectono-thermal Pan-African activization in the interval of 550-510 Ma typical for the Rayner Province of East Antarctica. The terrane of Davis craton is similar to the Paleo-Mesoarchean protocratons of East Antarctica, India, and Australia for the time of formation and the evolution of geodynamic processes.</t>
  </si>
  <si>
    <t>[Maslov, V. A.; Kaminsky, V. D.] Gramberg All Russia Sci Res Inst Geol &amp; Mineral Re, St Petersburg 189510, Russia; [Rodionov, N. V.] Karpinsky Russian Geol Res Inst, St Petersburg 199106, Russia; [Vorobiev, D. M.] Polar Marine Geol Prospecting Expedit, St Petersburg 189510, Russia</t>
  </si>
  <si>
    <t>A.P. Karpinsky Russian Geological Research Institute (VSEGEI)</t>
  </si>
  <si>
    <t>Maslov, VA (corresponding author), Gramberg All Russia Sci Res Inst Geol &amp; Mineral Re, St Petersburg 189510, Russia.</t>
  </si>
  <si>
    <t>massev@gmail.com</t>
  </si>
  <si>
    <t>MAIK NAUKA/INTERPERIODICA/SPRINGER</t>
  </si>
  <si>
    <t>233 SPRING ST, NEW YORK, NY 10013-1578 USA</t>
  </si>
  <si>
    <t>1028-334X</t>
  </si>
  <si>
    <t>1531-8354</t>
  </si>
  <si>
    <t>DOKL EARTH SCI</t>
  </si>
  <si>
    <t>Dokl. Earth Sci.</t>
  </si>
  <si>
    <t>10.1134/S1028334X23601566</t>
  </si>
  <si>
    <t>T6YY9</t>
  </si>
  <si>
    <t>WOS:001063917200001</t>
  </si>
  <si>
    <t>Jeon, M; Iriarte, JL; Yang, EJ; Park, J; Alves-de-Souza, C; Park, SJ</t>
  </si>
  <si>
    <t>Jeon, Misa; Iriarte, Jose Luis; Yang, Eun Jin; Park, Jisoo; Alves-de-Souza, Catharina; Park, Sang Jong</t>
  </si>
  <si>
    <t>Importance of nanophytoplankton biomass during summer 2019 in a retreating marine-terminating glacier-fjord system, Marian Cove, West Antarctica (62°S)</t>
  </si>
  <si>
    <t>glacial freshwater; cell carbon biomass; Antarctic shallow fjords; diatoms; nanophytoflagellates; phytoplankton size fractions</t>
  </si>
  <si>
    <t>KING-GEORGE-ISLAND; PHYTOPLANKTON COMMUNITY COMPOSITION; NEARSHORE WATERS; COASTAL WATERS; AUSTRAL SUMMER; SOUTH SHETLAND; CLIMATE-CHANGE; SIZE-STRUCTURE; ADMIRALTY BAY; PENINSULA</t>
  </si>
  <si>
    <t>The biogeochemical dynamics of fjords around Antarctica are strongly influenced by cryospheric, climatic, and oceanographic processes that occur on a seasonal scale. Furthermore, as global climate change continues, there is a growing awareness of the impact of ocean warming on glacier melting, which is expected to affect the composition of phytoplankton community structure in West Antarctica's nearshore marine areas. In this study, we describe the role of hydrographic forcing on the short-term summer variability of the phytoplankton community in Marian Cove, an Antarctic glacial fjord (62 &amp; DEG;S). Phytoplankton and hydrographic variables were measured at five stations along the Marian Cove during summer 2019 (January-February). The highest concentrations of microphytoplankton biomass were found in the outer area of the fjord, whereas nanophytoplankton biomass displayed continued dominance during most of the summer period in Marian Cove. Hydrographic assessment showed that freshwater inputs from the glacier influenced the surface layer of the fjord, modulating phytoplankton biomass, which was dominated by nanodiatoms (Minidiscus sp., Thalassiosira spp.) and nanophytoflagellates (Cryptomonas spp., Phaeocystis sp.). Concurrent measurement of phytoplankton biomass and environmental conditions during December 2018-January 2019 indicated that a period of weak southeastern winds generated vertical stability, which led to the development of a major peak of microphytoplankton biomass in the outer cove, driven by warm, allochthonous, oceanic, nutrient-rich waters. High carbon biomass dominated by nanodiatoms and nanophytoflagellates was observed in cold, fresh, and low-light subsurface waters of the cove. Our results highlight the effects of a warming ocean, which may favor the summer resurgence of nanodiatom and nanophytoflagellate communities in Antarctic fjords due to increased glacial meltwater inputs.</t>
  </si>
  <si>
    <t>[Jeon, Misa; Yang, Eun Jin; Park, Jisoo] Korea Polar Res Inst, Div Ocean Sci, Incheon, South Korea; [Iriarte, Jose Luis] Univ Austral Chile, Res Ctr, Ctr Investigac Dinam Ecosistemas Marinos Altas Lat, Inst Acuicultura, Puerto Montt, Chile; [Alves-de-Souza, Catharina] Univ North Carolina Wilmington, Algal Resources Collect, Ctr Marine Sci, Wilmington, NC 28409 USA; [Park, Sang Jong] Korea Polar Res Inst, Div Climate Change Sci, Inchon, South Korea</t>
  </si>
  <si>
    <t>Korea Polar Research Institute (KOPRI); Universidad Austral de Chile; University of North Carolina; University of North Carolina Wilmington; Korea Polar Research Institute (KOPRI); Korea Institute of Ocean Science &amp; Technology (KIOST)</t>
  </si>
  <si>
    <t>Yang, EJ (corresponding author), Korea Polar Res Inst, Div Ocean Sci, Incheon, South Korea.;Iriarte, JL (corresponding author), Univ Austral Chile, Res Ctr, Ctr Investigac Dinam Ecosistemas Marinos Altas Lat, Inst Acuicultura, Puerto Montt, Chile.</t>
  </si>
  <si>
    <t>jluisiriarte@gmail.com; ejyang@kopri.re.kr</t>
  </si>
  <si>
    <t>Park, Sang-Jong/B-7049-2011</t>
  </si>
  <si>
    <t>Korea Polar Research Institute grant (KOPRI) [PE23110]; program FONDAP-IDEAL [15150003]</t>
  </si>
  <si>
    <t>Korea Polar Research Institute grant (KOPRI)(Korea Polar Research Institute of Marine Research Placement (KOPRI)); program FONDAP-IDEAL</t>
  </si>
  <si>
    <t>This study was supported by the Korea Polar Research Institute grant (KOPRI, PE23110). JI was partially supported by program FONDAP-IDEAL 15150003.</t>
  </si>
  <si>
    <t>AUG 29</t>
  </si>
  <si>
    <t>10.3389/fmars.2023.1174722</t>
  </si>
  <si>
    <t>R5DD6</t>
  </si>
  <si>
    <t>WOS:001064545000001</t>
  </si>
  <si>
    <t>Lin, W; Yu, ZC; Wang, TQ; He, W; Chen, LB; Peng, CL</t>
  </si>
  <si>
    <t>Lin, Wei; Yu, Zhengchao; Wang, Tingqin; He, Wei; Chen, Liangbiao; Peng, Changlian</t>
  </si>
  <si>
    <t>Overexpression of V-ATPase c Subunit Gene (VHA-c) from Antarctic Notothenioid Fish Improves Tolerance of Transgenic Arabidopsis to Low Temperature</t>
  </si>
  <si>
    <t>JOURNAL OF PLANT BIOLOGY</t>
  </si>
  <si>
    <t>V-ATPase; Cold tolerance; Overexpressed lines; ATP content; Arabidopsis; Dissostichus mawsoni</t>
  </si>
  <si>
    <t>VACUOLAR H+-ATPASE; ENHANCES FREEZING TOLERANCE; COLD TOLERANCE; ESCHERICHIA-COLI; STRESS TOLERANCE; CUCUMIS-SATIVUS; ENZYME-ACTIVITY; OSMOTIC-STRESS; LEAVES; CONFERS</t>
  </si>
  <si>
    <t>To understand the possible role of vacuolar H+-ATPase c subunit in resistance to low temperature, the VHA-c gene was isolated from Antarctic notothenioid fishes (Dissostichus mawsoni), and two overexpression plants were constructed and obtained from Arabidopsis: VHA-c8 and VHA-c11. The physiological responses of VHA-c overexpression plants and wild-type Arabidopsis to low temperature were studied at 4 &amp; DEG;C. Arabidopsis with overexpression of VHA-c showed stronger low-temperature tolerance than wild type. The membrane damage indexes (malondialdehyde and membrane leakage rate) of wild-type plants were significantly higher than those of overexpressing lines VHA-c8 and VHA-c11, and wild-type plants are more susceptible to photoinhibition than VHA-c8 and VHA-c11 at low temperature. In addition, the content of various osmoregulatory substances in wild-type plants, including proline, soluble protein and soluble sugar, was significantly lower than that of VHA-c8 and VHA-c11. However, the ATP content of VHA-c8 and VHA-c11 was significantly higher than that of wild-type plants. The change of ATP content is consistent with the change of osmoregulatory substances content, and is opposite to the change of membrane damage indexes. These results suggest that VHA-c gene may provide energy for the synthesis of osmoregulatory substances by promoting the increase of ATP synthesis, so as to improve the cold resistance of Arabidopsis. In addition, the increased ATP can also be used as a compensatory strategy under low temperature.</t>
  </si>
  <si>
    <t>[Lin, Wei; He, Wei; Peng, Changlian] South China Normal Univ, Sch Life Sci, Guangzhou Key Lab Subtrop Biodivers &amp; Biomonitorin, Guangdong Prov Key Lab Biotechnol Plant Dev, Guangzhou 510631, Peoples R China; [Yu, Zhengchao] Hanshan Normal Univ, Sch Life Sci &amp; Food Engn, Chaozhou 521041, Peoples R China; [Wang, Tingqin] Guangdong Ocean Univ, Coll Coastal Agr Sci, Zhanjiang 524088, Peoples R China; [Chen, Liangbiao] Shanghai Ocean Univ, Coll Fisheries &amp; Life Sci, Internal Joint Res Ctr Marine Biosci, Minist Sci &amp; Technol, Shanghai 201306, Peoples R China</t>
  </si>
  <si>
    <t>South China Normal University; Hanshan Normal University; Guangdong Ocean University; Shanghai Ocean University</t>
  </si>
  <si>
    <t>Peng, CL (corresponding author), South China Normal Univ, Sch Life Sci, Guangzhou Key Lab Subtrop Biodivers &amp; Biomonitorin, Guangdong Prov Key Lab Biotechnol Plant Dev, Guangzhou 510631, Peoples R China.</t>
  </si>
  <si>
    <t>13527044032@163.com; yuzhengchao199301@163.com; 59641300@qq.com; hfhew813@126.com; lbchen@shou.edu.cn; pengchl@scib.ac.cn</t>
  </si>
  <si>
    <t>National Natural Science Foundation of China [31870374]; National Special Project for Genetic Improving of Agricultural Species [2009ZX08009003B]</t>
  </si>
  <si>
    <t>National Natural Science Foundation of China(National Natural Science Foundation of China (NSFC)); National Special Project for Genetic Improving of Agricultural Species</t>
  </si>
  <si>
    <t>This research was funded by the National Natural Science Foundation of China (31870374) and the National Special Project for Genetic Improving of Agricultural Species (2009ZX08009003B).</t>
  </si>
  <si>
    <t>1226-9239</t>
  </si>
  <si>
    <t>1867-0725</t>
  </si>
  <si>
    <t>J PLANT BIOL</t>
  </si>
  <si>
    <t>J. Plant Biol.</t>
  </si>
  <si>
    <t>10.1007/s12374-023-09407-3</t>
  </si>
  <si>
    <t>AH4C3</t>
  </si>
  <si>
    <t>WOS:001063908800001</t>
  </si>
  <si>
    <t>Ghosh, S; Barik, DK; Renganayaki, P; Kang, BS; Gumber, S; Venkatesh, S; Saini, DS; Akunuri, S</t>
  </si>
  <si>
    <t>Ghosh, Satyajit; Barik, Dillip Kumar; Renganayaki, Parimala; Kang, Boosik; Gumber, Siddharth; Venkatesh, Sundarapandian; Saini, Dev Shree; Akunuri, Srichander</t>
  </si>
  <si>
    <t>The impact of short-duration precipitation events over the historic Cauvery basin: a study on altered water resource patterns and associated threats</t>
  </si>
  <si>
    <t>SCIENTIFIC REPORTS</t>
  </si>
  <si>
    <t>FLOOD; FRAMEWORK; MODEL</t>
  </si>
  <si>
    <t>The Cauvery Delta, the Rice Bowl' of India follows a time-tested cultivation pattern over several irrigation zones. However, in this era of the Anthropocene, it is now well-established that short-duration, intense precipitation episodes will batter the flood plains year after year. The purpose of this first study is thus to quantify the impacts that such episodes may have on the floodplains of the Cauvery Delta and the concomitant threats to the historic Kallanai Dam. Precipitation events during the North-East monsoon period are driven not just by warm rain microphysics but also by large frozen hydrometeors falling from deep clouds causing undesirable flooding over the region to the extent of 66%. Additionally, from an assessment of the velocity heads and the floodwater depths, this study projects a heightened vulnerability. The total extent of submergence along riverbanks and other flow paths was estimated to be 145.98 km(2) out of which 65.14% of the submerged area is agricultural land. The most important conceptual advance established in this paper is that sub-zones in major watersheds that are currently safe will get inundated in the RCP8.5 warming scenario in 2050.</t>
  </si>
  <si>
    <t>[Ghosh, Satyajit; Gumber, Siddharth] Vellore Inst Technol, Sch Mech Engn, Vellore 632014, India; [Ghosh, Satyajit] Univ Leeds, Sch Earth &amp; Environm, Leeds, England; [Barik, Dillip Kumar; Renganayaki, Parimala; Venkatesh, Sundarapandian; Saini, Dev Shree] Vellore Inst Technol, Sch Civil Engn, Vellore 632014, India; [Kang, Boosik] Dankook Univ, Dept Civil Environm Engn, Yongin, South Korea; [Gumber, Siddharth] British Antarctic Survey, Atmosphere Ice &amp; Climate Team, Cambridge CB3 0ET, England; [Akunuri, Srichander] Vellore Inst Technol, Sch Comp Sci &amp; Engn, Vellore 632014, India</t>
  </si>
  <si>
    <t>Vellore Institute of Technology (VIT); VIT Vellore; University of Leeds; Vellore Institute of Technology (VIT); VIT Vellore; Dankook University; UK Research &amp; Innovation (UKRI); Natural Environment Research Council (NERC); NERC British Antarctic Survey; Vellore Institute of Technology (VIT); VIT Vellore</t>
  </si>
  <si>
    <t>Ghosh, S (corresponding author), Vellore Inst Technol, Sch Mech Engn, Vellore 632014, India.;Ghosh, S (corresponding author), Univ Leeds, Sch Earth &amp; Environm, Leeds, England.</t>
  </si>
  <si>
    <t>satgleeds@gmail.com</t>
  </si>
  <si>
    <t>Barik, Dillip/A-2247-2016; Barik, Dillip/AFT-1313-2022</t>
  </si>
  <si>
    <t>Barik, Dillip/0000-0002-4401-1428; Barik, Dillip/0000-0002-4401-1428; Akunuri, Sri Chander/0009-0004-5700-0869; Gumber, Siddharth/0000-0002-1648-1537</t>
  </si>
  <si>
    <t>The authors gratefully acknowledge the vision and foresightedness of Dr G. Viswanathan, Chancellor, VIT for undertaking this study. The authors put on record the support received from the Deans- School of Mechanical and Civil Engineering. Sat Ghosh acknowl; Chancellor, VIT; Deans- School of Mechanical and Civil Engineering</t>
  </si>
  <si>
    <t>The authors gratefully acknowledge the vision and foresightedness of Dr G. Viswanathan, Chancellor, VIT for undertaking this study. The authors put on record the support received from the Deans- School of Mechanical and Civil Engineering. Sat Ghosh acknowledges Arth Chowdhury (insideFPV), Juzer Ekhlas and Dr Jason R. Picardo for their enthusiasm and good wishes.</t>
  </si>
  <si>
    <t>2045-2322</t>
  </si>
  <si>
    <t>SCI REP-UK</t>
  </si>
  <si>
    <t>Sci Rep</t>
  </si>
  <si>
    <t>10.1038/s41598-023-41417-6</t>
  </si>
  <si>
    <t>Q5PG6</t>
  </si>
  <si>
    <t>WOS:001058035700029</t>
  </si>
  <si>
    <t>Gilbert, A; Gimbert, F; Gagliardini, O; Vincent, C</t>
  </si>
  <si>
    <t>Gilbert, A.; Gimbert, F.; Gagliardini, O.; Vincent, C.</t>
  </si>
  <si>
    <t>Inferring the Basal Friction Law From Long Term Changes of Glacier Length, Thickness and Velocity on an Alpine Glacier</t>
  </si>
  <si>
    <t>GEOPHYSICAL RESEARCH LETTERS</t>
  </si>
  <si>
    <t>ice dynamics; mountain glaciers; glacier sliding</t>
  </si>
  <si>
    <t>ANTARCTIC ICE-SHEET; SEA-LEVEL RISE; SUBGLACIAL DRAINAGE; POLAR ICE; MASS-LOSS; MODEL; PHYSICS; DEFORMATION; PERFORMANCE; PROJECTIONS</t>
  </si>
  <si>
    <t>Basal sliding of glaciers and ice sheets remains a source of uncertainty in simulating the long-term evolution of ice masses. In particular, the response of ice flow to changes in driving stress depends strongly on the value of the exponent m in nonlinear friction laws (e.g., Weertman's law), which is poorly constrained by observations. Here we constrain the friction law at a natural scale on Argentiere Glacier (French Alps, hard-bed), taking advantage of well-resolved observations of glacier mass balance, geometry and basal sliding over time spans that include large changes in driving stress. By combining three different independent methods based on (a) surface velocity inversion, (b) transient length change modeling, and (c) direct local sliding measurements, we consistently find a value of m = 3.1 +/- 0.3. We suggest that Weertman's law is suitable for modeling the long-term evolution of hard-bedded glaciers and ice sheets.</t>
  </si>
  <si>
    <t>[Gilbert, A.; Gimbert, F.; Gagliardini, O.; Vincent, C.] Univ Grenoble Alpes, CNRS, IRD, Grenoble INP,IGE, Grenoble, France</t>
  </si>
  <si>
    <t>Centre National de la Recherche Scientifique (CNRS); Communaute Universite Grenoble Alpes; Universite Grenoble Alpes (UGA); Institut de Recherche pour le Developpement (IRD); Institut National Polytechnique de Grenoble</t>
  </si>
  <si>
    <t>Gilbert, A (corresponding author), Univ Grenoble Alpes, CNRS, IRD, Grenoble INP,IGE, Grenoble, France.</t>
  </si>
  <si>
    <t>adrien.gilbert@univ-grenoble-alpes.fr</t>
  </si>
  <si>
    <t>Gilbert, Adrien/F-9354-2018</t>
  </si>
  <si>
    <t>Gilbert, Adrien/0000-0001-9009-5143</t>
  </si>
  <si>
    <t>French ANR project SAUSSURE [ANR-18-CE01-0015-01]; Observatoire des Sciences de l'Univers de Grenoble (OSUG); Institut des Sciences de l'Univers (INSU-CNRS)</t>
  </si>
  <si>
    <t>French ANR project SAUSSURE(Agence Nationale de la Recherche (ANR)); Observatoire des Sciences de l'Univers de Grenoble (OSUG); Institut des Sciences de l'Univers (INSU-CNRS)</t>
  </si>
  <si>
    <t>The authors acknowledge funding from the French ANR project SAUSSURE (ANR-18-CE01-0015-01) and the Observatoire des Sciences de l'Univers de Grenoble (OSUG) and the Institut des Sciences de l'Univers (INSU-CNRS) in the framework of the French GLACIOCLIM program (). The authors thank Diego Cusicanqui and Romain Milan for proceeding Pleiades satellite images and all those who conducted the field measurements. The authors would also like to thank Andy Aschwanden and an anonymous reviewer for helping to improve the clarity and quality of the manuscript.</t>
  </si>
  <si>
    <t>0094-8276</t>
  </si>
  <si>
    <t>1944-8007</t>
  </si>
  <si>
    <t>GEOPHYS RES LETT</t>
  </si>
  <si>
    <t>Geophys. Res. Lett.</t>
  </si>
  <si>
    <t>AUG 28</t>
  </si>
  <si>
    <t>e2023GL104503</t>
  </si>
  <si>
    <t>10.1029/2023GL104503</t>
  </si>
  <si>
    <t>Q6RN1</t>
  </si>
  <si>
    <t>WOS:001058777300001</t>
  </si>
  <si>
    <t>Huneke, WGC; Morrison, AK; Hogg, AM</t>
  </si>
  <si>
    <t>Huneke, Wilma G. C.; Morrison, Adele K.; Hogg, Andrew McC.</t>
  </si>
  <si>
    <t>Decoupling of the Surface and Bottom-Intensified Antarctic Slope Current in Regions of Dense Shelf Water Export</t>
  </si>
  <si>
    <t>Antarctic slope current; dense shelf water; Antarctica; plume transport</t>
  </si>
  <si>
    <t>CIRCUMPOLAR DEEP-WATER; SOUTHERN-OCEAN; EDDY; TRANSPORT; DRIVEN; CIRCULATION; VARIABILITY; RELEASE; MODEL</t>
  </si>
  <si>
    <t>The Antarctic Slope Current is guided by the topographic gradient of the Antarctic continental slope and creates a dynamical barrier between the continental shelf and the open ocean. The current's vertical structure varies around the continent affecting cross-slope water mass exchange with consequences for Antarctic mass loss, ventilation of the deep ocean, and carbon uptake. The Antarctic Slope Current is surface-intensified in many regions but bottom-intensified in regions of dense overflows. This study investigates the role of dense overflows in modifying the dynamics of the bottom-intensified flow using a 0.1 &amp; DEG; global ocean-sea ice model. The occurrence of bottom-intensification is tightly linked with dense overflows and bottom speeds correlate with dense overflows on interannual time scales. A lack of vertical connectivity between the bottom and surface flow, however, suggests that the along-slope bottom water flows are coincidentally co-located with the Antarctic Slope Current, rather than dynamically a part of the current. The Antarctic Slope Current is a narrow ocean current that travels around Antarctica following the continental slope. It separates the shallow and cold continental shelf from much warmer waters in the open ocean. Intrusions of the relatively warm water across the continental slope impacts melting of Antarctic ice shelves and global sea level rise. Understanding what controls the strength and variability of the Antarctic Slope Current is therefore important. The Antarctic Slope Current usually has the largest velocities near the surface, but there are regions where there is also a strong bottom flow. We use a coupled ocean-sea ice model and show that the bottom flow is controlled by the export of very dense shelf water that flows down the continental slope in a few locations around the continent. However, the bottom and surface flow does not vary together on interannual time scales which tells us that the two components of the Antarctic Slope Current are largely independent. The result is important as the formation of dense shelf water is expected to reduce in the future which will impact the deep flow, but not the surface component. Simulations reveal a close spatial relationship between the bottom-intensified Antarctic Slope Current and Dense Shelf Water exportInterannual variability of Dense Shelf Water is reflected in the bottom speed of the bottom-intensified Antarctic Slope CurrentThe surface component varies independently from the bottom-intensified flow implying two distinct, co-located currents</t>
  </si>
  <si>
    <t>[Huneke, Wilma G. C.; Morrison, Adele K.; Hogg, Andrew McC.] Australian Natl Univ, Res Sch Earth Sci, Canberra, ACT, Australia; [Huneke, Wilma G. C.; Morrison, Adele K.; Hogg, Andrew McC.] Australian Natl Univ, Australian Ctr Excellence Climate Extremes, Canberra, ACT, Australia; [Huneke, Wilma G. C.; Morrison, Adele K.; Hogg, Andrew McC.] Australian Natl Univ, Australian Earth Syst Simulator Natl Res Infrastru, Canberra, ACT, Australia</t>
  </si>
  <si>
    <t>Australian National University; Australian National University; Australian National University</t>
  </si>
  <si>
    <t>Huneke, WGC (corresponding author), Australian Natl Univ, Res Sch Earth Sci, Canberra, ACT, Australia.;Huneke, WGC (corresponding author), Australian Natl Univ, Australian Ctr Excellence Climate Extremes, Canberra, ACT, Australia.;Huneke, WGC (corresponding author), Australian Natl Univ, Australian Earth Syst Simulator Natl Res Infrastru, Canberra, ACT, Australia.</t>
  </si>
  <si>
    <t>wilma.huneke@anu.edu.au</t>
  </si>
  <si>
    <t>Huneke, Wilma/GSE-1332-2022; Hogg, Andy/AAZ-8733-2021; Hogg, Andy McC./A-7553-2011; Morrison, Adele/C-1774-2012</t>
  </si>
  <si>
    <t>Huneke, Wilma/0000-0001-8624-365X; Hogg, Andy/0000-0001-5898-7635; Hogg, Andy McC./0000-0001-5898-7635; Morrison, Adele/0000-0002-9904-4980</t>
  </si>
  <si>
    <t>This research was undertaken on the National Computational Infrastructure (NCI) in Canberra, Australia, which is supported by the Australian Commonwealth Government. All authors were supported by the Australian Research Council (ARC) Discovery Project (DP1; Australian Commonwealth Government [CE170100023]; Australian Research Council (ARC) Discovery Project [DE170100184]; ARC Centre of Excellence for Climate Extremes [SR200100008]; ARC DECRA Fellowship; ARC Australian Centre for Excellence in Antarctic Science; Australian National University, as part of the Wiley - Australian National University agreement via the Council of Australian University Librarians; [DP190100494]</t>
  </si>
  <si>
    <t>This research was undertaken on the National Computational Infrastructure (NCI) in Canberra, Australia, which is supported by the Australian Commonwealth Government. All authors were supported by the Australian Research Council (ARC) Discovery Project (DP1; Australian Commonwealth Government(Australian Government); Australian Research Council (ARC) Discovery Project(Australian Research Council); ARC Centre of Excellence for Climate Extremes; ARC DECRA Fellowship(Australian Research Council); ARC Australian Centre for Excellence in Antarctic Science(Australian Research Council); Australian National University, as part of the Wiley - Australian National University agreement via the Council of Australian University Librarians;</t>
  </si>
  <si>
    <t>This research was undertaken on the National Computational Infrastructure (NCI) in Canberra, Australia, which is supported by the Australian Commonwealth Government. All authors were supported by the Australian Research Council (ARC) Discovery Project (DP190100494). WH was supported by the ARC Centre of Excellence for Climate Extremes (CE170100023). AKM was supported by an ARC DECRA Fellowship (DE170100184) and by the ARC Australian Centre for Excellence in Antarctic Science (SR200100008). We thank the COSIMA consortium () for technical support and the development of the ACCESS-OM2-01 model configuration used. Open access publishing facilitated by Australian National University, as part of the Wiley - Australian National University agreement via the Council of Australian University Librarians.</t>
  </si>
  <si>
    <t>e2023GL104834</t>
  </si>
  <si>
    <t>10.1029/2023GL104834</t>
  </si>
  <si>
    <t>Q5PD8</t>
  </si>
  <si>
    <t>WOS:001058032900001</t>
  </si>
  <si>
    <t>Laffin, MK; Zender, CS; van Wessem, M; Noel, B; Wang, WS</t>
  </si>
  <si>
    <t>Laffin, Matthew K.; Zender, Charles S.; van Wessem, Melchior; Noel, Brice; Wang, Wenshan</t>
  </si>
  <si>
    <t>Wind-Associated Melt Trends and Contrasts Between the Greenland and Antarctic Ice Sheets</t>
  </si>
  <si>
    <t>SURFACE MASS-BALANCE; KATABATIC WINDS; ENERGY BUDGET; CLIMATE; SHELF; RETREAT; LARSEN; SNOW; MAR</t>
  </si>
  <si>
    <t>Fohn and katabatic winds (downslope winds) can increase ice sheet surface melt, run-off, and ice-shelf vulnerability to hydrofracture and are poorly constrained on the Greenland and Antarctic ice sheets (GIS and AIS). We use regional climate model simulations of the GIS and AIS to quantify and intercompare trends in downslope winds and associated melt since 1960. Results reveal surface melt associated with downslope wind is significant on both the GIS and AIS representing 27.5 +/- 4.5% and 19.7 +/- 3.8% of total surface melt respectively. Wind-associated melt has decreased 31.8 +/- 5.3% on the AIS while total melt decreased 15.4 +/- 2.4% due to decreased fohn-induced melt on the Antarctic Peninsula and increasing stratospheric ozone. Wind-associated melt has increased 10.3 +/- 2.5% on the GIS, combining with a more positive North Atlantic Oscillation and warmer surface to increase total melt 34 +/- 5.8%.</t>
  </si>
  <si>
    <t>[Laffin, Matthew K.; Zender, Charles S.; Wang, Wenshan] Univ Calif Irvine, Dept Earth Syst Sci, Irvine, CA 92697 USA; [Zender, Charles S.] Univ Calif Irvine, Dept Comp Sci, Irvine, CA USA; [van Wessem, Melchior; Noel, Brice] Univ Utrecht, Inst Marine &amp; Atmospher Res Utrecht IMAU, Utrecht, Netherlands</t>
  </si>
  <si>
    <t>University of California System; University of California Irvine; University of California System; University of California Irvine; Utrecht University</t>
  </si>
  <si>
    <t>Laffin, MK (corresponding author), Univ Calif Irvine, Dept Earth Syst Sci, Irvine, CA 92697 USA.</t>
  </si>
  <si>
    <t>mlaffin@uci.edu</t>
  </si>
  <si>
    <t>Wang, wenshan/JDW-8228-2023</t>
  </si>
  <si>
    <t>MKL was supported by the National Science Foundation (NRT-1633631) and NASA AIST (80NSSC17K0540). CSZ and WW gratefully acknowledges support from the DOE BER ESM and SciDAC programs (DE-SC0019278, LLNL-B641620, LANL-520117). JMVW acknowledges support by PR [80NSSC17K0540]; National Science Foundation [DE-SC0019278]; NASA AIST [LLNL-B641620, VI.Veni.192.083]; DOE BER ESM and SciDAC programs [VI.Veni.192.019]; PROTECT - NWO (Netherlands Organisation for Scientific Research) VENI; NWO VENI; Institute for Marine and Atmospheric research Utrecht (IMAU); [NRT-1633631]</t>
  </si>
  <si>
    <t>MKL was supported by the National Science Foundation (NRT-1633631) and NASA AIST (80NSSC17K0540). CSZ and WW gratefully acknowledges support from the DOE BER ESM and SciDAC programs (DE-SC0019278, LLNL-B641620, LANL-520117). JMVW acknowledges support by PR; National Science Foundation(National Science Foundation (NSF)); NASA AIST; DOE BER ESM and SciDAC programs(United States Department of Energy (DOE)); PROTECT - NWO (Netherlands Organisation for Scientific Research) VENI; NWO VENI(Netherlands Organization for Scientific Research (NWO)); Institute for Marine and Atmospheric research Utrecht (IMAU);</t>
  </si>
  <si>
    <t>MKL was supported by the National Science Foundation (NRT-1633631) and NASA AIST (80NSSC17K0540). CSZ and WW gratefully acknowledges support from the DOE BER ESM and SciDAC programs (DE-SC0019278, LLNL-B641620, LANL-520117). JMVW acknowledges support by PROTECT and was partly funded by the NWO (Netherlands Organisation for Scientific Research) VENI Grant VI.Veni.192.083. BN was funded by the NWO VENI Grant VI.Veni.192.019. We also thank the Institute for Marine and Atmospheric research Utrecht (IMAU) for providing RACMO2 output.</t>
  </si>
  <si>
    <t>e2023GL102828</t>
  </si>
  <si>
    <t>10.1029/2023GL102828</t>
  </si>
  <si>
    <t>Q6QH6</t>
  </si>
  <si>
    <t>WOS:001058745800001</t>
  </si>
  <si>
    <t>Sun, YD; Riel, B; Minchew, B</t>
  </si>
  <si>
    <t>Sun, Yudong; Riel, Bryan; Minchew, Brent</t>
  </si>
  <si>
    <t>Disintegration and Buttressing Effect of the Landfast Sea Ice in the Larsen B Embayment, Antarctic Peninsula</t>
  </si>
  <si>
    <t>remote sensing; synthetic aperture radar; geodesy; landfast sea ice; ice shelf; glacier</t>
  </si>
  <si>
    <t>OUTLET GLACIERS; MASS-BALANCE; SHELF; VELOCITY; SHEET; STABILITY; DYNAMICS; BREAKUP; PATTERN; DRIVEN</t>
  </si>
  <si>
    <t>The speed-up of glaciers following ice shelf collapse can accelerate ice mass loss dramatically. Investigating the deformation of landfast sea ice enables studying its resistive (buttressing) stresses and mechanisms driving ice collapse. Here, we apply offset tracking to Sentinel-1A/B synthetic aperture radar data to obtain a 2014-2022 time-series of horizontal velocity and strain rate fields of landfast ice filling the embayment formerly covered by the Larsen B Ice Shelf, Antarctic Peninsula until 2002. The landfast ice disintegrated in 2022, and we find that it was precipitated by a few large opening rifts. Grounded glaciers did not accelerate instantaneously after the collapse, which implies little buttressing effect from landfast ice, a conclusion also supported by the near-zero correlation between glacier velocity and landfast ice area. Our observations suggest that buttressing stresses are unlikely to be recovered by landfast sea ice over sub-decadal timescales following the collapse of an ice shelf.</t>
  </si>
  <si>
    <t>[Sun, Yudong; Riel, Bryan; Minchew, Brent] MIT, Dept Earth Atmospher &amp; Planetary Sci, Cambridge, MA 02139 USA; [Riel, Bryan] Zhejiang Univ, Sch Earth Sci, Hangzhou, Peoples R China</t>
  </si>
  <si>
    <t>Massachusetts Institute of Technology (MIT); Zhejiang University</t>
  </si>
  <si>
    <t>Sun, YD (corresponding author), MIT, Dept Earth Atmospher &amp; Planetary Sci, Cambridge, MA 02139 USA.</t>
  </si>
  <si>
    <t>yudong@mit.edu</t>
  </si>
  <si>
    <t>The authors thank Camilla Cattania, Justin Linick, Colin Meyer, Enrico Milanese, Joanna Millstein, Meghana Ranganathan, and Sarah Wells-Moran for helpful discussions. Y. S. received fundings from MIT Mathworks Fellowship. B. M. and B. R. received funding f; MIT Mathworks Fellowship; NSFGEO-NERC Grant; Seed Fund for Science Innovation; Earl A Killian III; [1853918]</t>
  </si>
  <si>
    <t>The authors thank Camilla Cattania, Justin Linick, Colin Meyer, Enrico Milanese, Joanna Millstein, Meghana Ranganathan, and Sarah Wells-Moran for helpful discussions. Y. S. received fundings from MIT Mathworks Fellowship. B. M. and B. R. received funding f; MIT Mathworks Fellowship; NSFGEO-NERC Grant; Seed Fund for Science Innovation; Earl A Killian III;</t>
  </si>
  <si>
    <t>The authors thank Camilla Cattania, Justin Linick, Colin Meyer, Enrico Milanese, Joanna Millstein, Meghana Ranganathan, and Sarah Wells-Moran for helpful discussions. Y. S. received fundings from MIT Mathworks Fellowship. B. M. and B. R. received funding from NSFGEO-NERC Grant 1853918, the John W. Jarve (1978) Seed Fund for Science Innovation, and the Earl A Killian III (1978) and Waidy Lee Fund.</t>
  </si>
  <si>
    <t>e2023GL104066</t>
  </si>
  <si>
    <t>10.1029/2023GL104066</t>
  </si>
  <si>
    <t>Q0WX4</t>
  </si>
  <si>
    <t>Green Submitted, hybrid</t>
  </si>
  <si>
    <t>WOS:001054817400001</t>
  </si>
  <si>
    <t>da Silva, J; Taniguchi, S; Colabuono, FI; Leonel, J; Dalla Rosa, L; Secchi, ER; Borges, JCG; Siciliano, S; Acevedo, J; Aguayo-Lobo, A; Baldassin, P; Montone, RC; Lourenço, RA</t>
  </si>
  <si>
    <t>da Silva, Josilene; Taniguchi, Satie; Colabuono, Fernanda Imperatrice; Leonel, Juliana; Dalla Rosa, Luciano; Secchi, Eduardo Resende; Borges, Joao Carlos Gomes; Siciliano, Salvatore; Acevedo, Jorge; Aguayo-Lobo, Anelio; Baldassin, Paula; Montone, Rosalinda Carmela; Lourenco, Rafael Andre</t>
  </si>
  <si>
    <t>Mobilization of persistent organic pollutants in humpback whales: Insights from feeding areas in the Antarctic peninsula and Strait of Magellan to migration, breeding, and calving grounds along the Brazilian coast</t>
  </si>
  <si>
    <t>MARINE POLLUTION BULLETIN</t>
  </si>
  <si>
    <t>Humpback whales; Migration distances; Lipophilic contaminants; Persistent organic pollutants (POPs); Antartic peninsula</t>
  </si>
  <si>
    <t>POLYBROMINATED DIPHENYL ETHERS; KING GEORGE ISLAND; ORGANOCHLORINE PESTICIDES; MEGAPTERA-NOVAEANGLIAE; POLYCHLORINATED-BIPHENYLS; NORTHERN-HEMISPHERE; URSUS-MARITIMUS; CONTAMINANTS; METABOLISM; BELUGA</t>
  </si>
  <si>
    <t>Southern Hemisphere Megaptera novaeangliae undertake the longest migration, which reflect their exposure to lipophilic contaminants. To assess these changes, persistent organic pollutants were analyzed in blubber samples of humpback whales from three regions: the Antarctic Peninsula (n = 46), the Strait of Magellan, Chile (n = 22), and the Brazilian coast (n = 38). The similarity in PCB and HCB levels between individuals from feeding grounds and breeding grounds suggests contamination during feeding. The whales around the Antarctic Peninsula exhibited a predominance of tetrachlorobiphenyl PCBs. Whales feeding in the Strait of Magellan showed a slight prevalence of 5Cl biphenyls, likely due to their consumption of subantarctic krill species as well as small fishes potentially contaminated by industrial activities in Chile. The dominance of 5-6Cl congeners in whales in Brazil, may be attributed to the extreme physiological changes during fasting when whales utilize blubber reserves and metabolize lighter congeners, or transfer them to their calves.</t>
  </si>
  <si>
    <t>[da Silva, Josilene; Taniguchi, Satie; Colabuono, Fernanda Imperatrice; Montone, Rosalinda Carmela; Lourenco, Rafael Andre] Univ Sao Paulo, Inst Oceanog, Praca Oceanog,191, BR-05508120 Sao Paulo, Brazil; [Leonel, Juliana] Univ Fed Santa Catarina, Dept Oceanog, BR-88040900 Florianopolis, SC, Brazil; [Dalla Rosa, Luciano; Secchi, Eduardo Resende] Univ Fed Rio Grande FURG, Lab Ecol &amp; Conservacao Megafauna Marinha, Inst Oceanog, BR-96203000 Rio Grande, RS, Brazil; [Borges, Joao Carlos Gomes] Fdn Mamiferos Aquat, Estr Matapua,411,Anexo Chacara Anjo Gabriel, BR-49100000 Sao Cristovao, Sergipe, Brazil; [Borges, Joao Carlos Gomes] Univ Fed Paraiba UFPB, Programa Posgrad Ecol &amp; Monitoramento Ambiental, Av Santa Elisabete,160, BR-58297000 Rio Tinto, Paraiba, Brazil; [Siciliano, Salvatore] Escola Nacl Saude Publ Fiocruz, Dept Ciencias Biol, BR-21041210 Rio De Janeiro, RJ, Brazil; [Acevedo, Jorge] Ctr Reg Estudios Cuaternario Fuego Patagonia &amp; Ant, Punta Arenas, Chile; [Aguayo-Lobo, Anelio] Inst Antartico Chileno, Punta Arenas, Chile; [Baldassin, Paula] Inst BW Conservacao &amp; Med Fauna Marinha, R Profa Suely Brasil Flores,88 Praia Seca, BR-28972765 Araruama, RJ, Brazil</t>
  </si>
  <si>
    <t>Universidade de Sao Paulo; Universidade Federal de Santa Catarina (UFSC); Universidade Federal do Rio Grande; Fundacao Oswaldo Cruz</t>
  </si>
  <si>
    <t>da Silva, J (corresponding author), Univ Sao Paulo, Inst Oceanog, Praca Oceanog,191, BR-05508120 Sao Paulo, Brazil.</t>
  </si>
  <si>
    <t>josisilva@usp.br</t>
  </si>
  <si>
    <t>Montone, Rosalinda C/J-9110-2012; Taniguchi, Satie/D-2552-2013; Lourenço, Rafael/IZD-8070-2023; Lourenco, Rafael Andre/I-7041-2015</t>
  </si>
  <si>
    <t>Leonel, Juliana/0000-0003-1452-860X; Lourenco, Rafael Andre/0000-0002-1446-5074</t>
  </si>
  <si>
    <t>Projeto Baleias/Brazilian Antarctic Program (CNPq) [557064/2009-0, 408096/2013-6]; INCT-APA (National Institute of Science and Technology on Antarctic Environmental Research); Petroleo Brasileiro SA (Petrobras); Petrobras through the Petrobras Socio-environmental Program [PQ309258/2016-2, PQ307846/2014-8, PQ305373/2018-8, PQ304274/2018-6, PQ310786/2018-5, PQ308136/2020-9]; National Research and Technology Agency [R20F0009]; FAPESP [2016/18348-1, 2020/15305-5]</t>
  </si>
  <si>
    <t>Projeto Baleias/Brazilian Antarctic Program (CNPq)(Conselho Nacional de Desenvolvimento Cientifico e Tecnologico (CNPQ)Fundacao de Apoio a Pesquisa do Distrito Federal (FAPDF)); INCT-APA (National Institute of Science and Technology on Antarctic Environmental Research); Petroleo Brasileiro SA (Petrobras)(Fundacao de Amparo a Pesquisa do Amapa (FAPEAP)Petrobras); Petrobras through the Petrobras Socio-environmental Program; National Research and Technology Agency; FAPESP(Fundacao de Amparo a Pesquisa do Estado de Sao Paulo (FAPESP))</t>
  </si>
  <si>
    <t>The authors are grateful to all crew members of the Polar Vessel Almirante Maximiano of the Brazilian Navy and the researchers who helped collect samples and data in the Southern Ocean, especially Alexandre Azevedo and Artur Andriolo, and to Foundation Biomar and the crew members of M/N Forrest and the investigators who helped collect samples and data in the Strait of Magellan. This study was conducted by the Projeto Baleias/Brazilian Antarctic Program (CNPq grants 557064/2009-0 and 408096/2013-6), with additional support from INCT-APA (National Institute of Science and Technology on Antarctic Environmental Research) and Petroleo Brasileiro SA (Petrobras) within the PMP and PMC (Beach Monitoring Project and Cetacean Monitoring Project) in compliance with the requirements of the environmental licensing process for Oil and Natural Gas Production and Flow Activities of the Santos Basin Pre-Salt Pole, conducted by IBAMA. The authors are grateful to the Projeto Viva o Peixe-Boi-Marinho of the Aquatic Mammal Foundation sponsored by Petrobras through the Petrobras Socio-environmental Program. CNPq provided research fellowships to L.D.R. (PQ309258/2016-2), E.R.S. (PQ 307846/2014-8), R.C.M. (PQ305373/ 2018-8), M.C.B. (PQ304274/2018-6), J.L (PQ310786/2018-5), R.A.L (PQ 308136/2020-9). JAR thanks the National Research and Technology Agency (Grant R20F0009) and AAL to the INACH for allowing time to collaborate on the manuscript. The authors are also grateful to the Brazilian fostering agency FAPESP (Process 2016/18348-1) for the use of gas chromatograph with triple quadrupole mass spectrometer (GC/MS/MS) and financial support (Process 2020/15305-5). Humpback whale biopsies in the Strait of Magellan were approved by the National Fisheries and Aquaculture Agency of Chile. This study is a contribution of the Research Groups Ecologia e Conservacao da Megafauna Marinha-ECOMEGA/CNPq and Grupo de Oceanografia de Altas Latitudes - GOAL/CNPq.</t>
  </si>
  <si>
    <t>PERGAMON-ELSEVIER SCIENCE LTD</t>
  </si>
  <si>
    <t>THE BOULEVARD, LANGFORD LANE, KIDLINGTON, OXFORD OX5 1GB, ENGLAND</t>
  </si>
  <si>
    <t>0025-326X</t>
  </si>
  <si>
    <t>1879-3363</t>
  </si>
  <si>
    <t>MAR POLLUT BULL</t>
  </si>
  <si>
    <t>Mar. Pollut. Bull.</t>
  </si>
  <si>
    <t>A</t>
  </si>
  <si>
    <t>10.1016/j.marpolbul.2023.115448</t>
  </si>
  <si>
    <t>S2BC7</t>
  </si>
  <si>
    <t>WOS:001069264400001</t>
  </si>
  <si>
    <t>Giddy, IS; Nicholson, SA; Queste, BY; Thomalla, S; Swart, S</t>
  </si>
  <si>
    <t>Giddy, I. S.; Nicholson, S. -A; Queste, B. Y.; Thomalla, S.; Swart, S.</t>
  </si>
  <si>
    <t>Sea-Ice Impacts Inter-Annual Variability of Phytoplankton Bloom Characteristics and Carbon Export in the Weddell Sea</t>
  </si>
  <si>
    <t>sea-ice; bloom phenology; Antarctic marginal ice zone; gliders; Weddell sea; carbon export</t>
  </si>
  <si>
    <t>PARTICULATE ORGANIC-CARBON; OCEAN; IRON; FLUX; SEQUESTRATION; CHLOROPHYLL; ATTENUATION; DECLINE; ZONE</t>
  </si>
  <si>
    <t>The Antarctic Marginal Ice Zone (MIZ) accounts for 15% of the Southern Ocean's primary production (PP), but limited data has hindered understanding of its variability and connection to carbon export. Using a combination of gliders, biogeochemical Argo floats and satellite observations in the northeast Weddell Sea, we show that years with more sea-ice formation over winter are followed by more intense phytoplankton blooms (&amp; SIM;15% greater daily PP) and export to 100 m (&amp; SIM;50% higher daily carbon export) the following summer. However, the carbon export beyond the deepest winter mixed layer did not vary in proportion to PP, suggesting different drivers of carbon export at depth compared to surface waters. Furthermore, across the entire MIZ, the response of blooms to sea-ice volume was spatially variable, indicating the need to consider spatial heterogeneity in the response of the biological carbon pump to future sea-ice changes.Algae in the ocean surface take up carbon dioxide from the atmosphere through photosynthesis and transfer it to the deep ocean when they die and sink. This process is key to maintaining a habitable planet and is known as the biological carbon pump (BCP). The seasonally ice-covered ocean around Antarctica is one of the most active areas for algal growth, but also a region of rapid climate change. Because of the difficulty in taking measurements in this remote region, the physical and biological processes that control the growth and sinking of algae and its response to changing sea-ice remain uncertain. In this study, we use a combination of satellites and autonomous robots to elucidate the role of sea-ice variability on the BCP. We find that sea-ice impacts algal growth by its influence on both the light and nutrient conditions needed for photosynthesis. Predicting the amount of algae that subsequently sinks to depth as carbon flux, although influenced by sea-ice conditions, is more complex and linked to the greater marine ecosystem. Evidence suggests that the species of algae, zooplankton grazing, and the rate at which dead algae breaks down and sinks are important and should be a focus point for further research.</t>
  </si>
  <si>
    <t>[Giddy, I. S.; Thomalla, S.; Swart, S.] Univ Cape Town, Dept Oceanog, Rondebosch, South Africa; [Giddy, I. S.; Queste, B. Y.; Swart, S.] Univ Gothenburg, Dept Marine Sci, Gothenburg, Sweden; [Giddy, I. S.; Nicholson, S. -A; Thomalla, S.] CSIR, Southern Ocean Carbon Climate Observ SOCCO, Cape Town, South Africa</t>
  </si>
  <si>
    <t>University of Cape Town; University of Gothenburg; Council for Scientific &amp; Industrial Research (CSIR) - South Africa</t>
  </si>
  <si>
    <t>Giddy, IS (corresponding author), Univ Cape Town, Dept Oceanog, Rondebosch, South Africa.;Giddy, IS (corresponding author), Univ Gothenburg, Dept Marine Sci, Gothenburg, Sweden.</t>
  </si>
  <si>
    <t>isabelle.giddy@gu.se</t>
  </si>
  <si>
    <t>Swart, Sebastiaan/U-5498-2017</t>
  </si>
  <si>
    <t>Swart, Sebastiaan/0000-0002-2251-8826; Thomalla, Sandy/0000-0002-6802-520X; Queste, Bastien/0000-0002-3786-2275; Giddy, Isabelle/0000-0002-8926-3311; Nicholson, Sarah-Anne/0000-0002-1226-1828</t>
  </si>
  <si>
    <t>Swedish Research Council [STNT180910357293, 821001 (SO-CHIC)]; European Unions Horizon 2020 research and innovation programme [SNA170522231782, 1941483]; CSIR Parliamentary Grant [SNA170506229906, 818123, SG643]; [WAF 2015.0186]</t>
  </si>
  <si>
    <t>Swedish Research Council(Swedish Research Council); European Unions Horizon 2020 research and innovation programme(Horizon 2020); CSIR Parliamentary Grant(Council of Scientific &amp; Industrial Research (CSIR) - India);</t>
  </si>
  <si>
    <t>This work was supported by the following grants of S. Swart: Wallenberg Academy Fellowship (WAF 2015.0186), Swedish Research Council (VR 2019-04400); S.Swart and S. Thomalla: STINT-NRF Mobility Grant (STNT180910357293); S.-A. Nicholson and S. Swart are supported by the European Unions Horizon 2020 research and innovation programme under Grant 821001 (SO-CHIC) and the NRF-SANAP (SNA170522231782, SANAP200324510487); S.Thomalla: CSIR Parliamentary Grant. B. Queste was supported by NSFGEO-NERC: Collaborative Research: Accelerating Thwaites Ecosystem Impacts for the Southern Ocean (ARTEMIS, Grant 1941483). I.S Giddy acknowledges the support of the NRF-SANAP (SNA170506229906) and iAtlantic Horizon 2020 Grant (818123). This work would not have been possible without the valuable fieldwork aboard the RV SA Agulhas II, her captain and crew for deployment of gliders; Andy Thompson and the glider piloting team at Caltech for their contributions to the ROAM-MIZ project, including glider SG643 and its associated data. The authors would like to thank Nathan Briggs for advice regarding the calculation of particulate organic carbon export, Hannah Joy-Warren for feedback at the final stages of the manuscript and the three anonymous reviewers whose constructive comments contributed to the improvement of this manuscript.</t>
  </si>
  <si>
    <t>e2023GL103695</t>
  </si>
  <si>
    <t>10.1029/2023GL103695</t>
  </si>
  <si>
    <t>Q5EJ2</t>
  </si>
  <si>
    <t>WOS:001057745900001</t>
  </si>
  <si>
    <t>Riechelson, H; Bova, SC; Rosenthal, Y; Meyers, S; Bu, K</t>
  </si>
  <si>
    <t>Riechelson, H.; Bova, S. C.; Rosenthal, Y.; Meyers, S.; Bu, K.</t>
  </si>
  <si>
    <t>Solar Cycles Forced Southern Westerly Wind Migrations During the Holocene</t>
  </si>
  <si>
    <t>ANNULAR MODE; HEMISPHERE WESTERLIES; TEMPERATURE; PACIFIC; VARIABILITY; STALAGMITES; PATAGONIA; SHIFTS; CHILE; FIRE</t>
  </si>
  <si>
    <t>Despite small direct changes to radiative forcing, solar sunspot cycles are observed in climate records because of climate system amplification that primarily affects wind and precipitation belts. We present a proxy record resolving the dominant sub-millennial periodicities across the entire Holocene in the Southern Westerly Winds (SWW), whose migrations are linked to ocean-atmosphere heat and carbon exchange. We use X-ray fluorescence core scanning to examine a rapidly accumulating sediment record (6 m/kyr) recovered from the Chilean margin, yielding unprecedented &lt;2-year resolution for the Holocene. We show that variations in terrigenous inputs to the site are linked to precipitation, which is controlled by SWW latitudinal migrations. Superimposed on a long-term decreasing trend throughout the Holocene, we detect significant centennial cycles in the terrestrial input consistent with solar periodicities. We then propose a mechanism by which southward (northward) SWW movement in response to increasing (decreasing) total solar irradiance cools (warms) Antarctic temperatures.</t>
  </si>
  <si>
    <t>[Riechelson, H.; Rosenthal, Y.; Bu, K.] Rutgers State Univ, Dept Marine &amp; Coastal Sci, New Brunswick, NJ 08901 USA; [Bova, S. C.] San Diego State Univ, Dept Geol Sci, San Diego, CA USA; [Rosenthal, Y.] Rutgers State Univ, Dept Earth &amp; Planetary Sci, New Brunswick, NJ USA; [Meyers, S.] Univ Wisconsin Madison, Dept Geosci, Madison, WI USA</t>
  </si>
  <si>
    <t>Rutgers University System; Rutgers University New Brunswick; California State University System; San Diego State University; Rutgers University System; Rutgers University New Brunswick; University of Wisconsin System; University of Wisconsin Madison</t>
  </si>
  <si>
    <t>Riechelson, H (corresponding author), Rutgers State Univ, Dept Marine &amp; Coastal Sci, New Brunswick, NJ 08901 USA.</t>
  </si>
  <si>
    <t>hriechelson@marine.rutgers.edu</t>
  </si>
  <si>
    <t>Rosenthal, yair/0000-0002-7546-6011; Meyers, Stephen/0000-0003-4422-720X; Bova, Samantha/0000-0002-5064-8775</t>
  </si>
  <si>
    <t>The authors thank the captain and crew of the D/V JOIDES Resolution, the Expedition 379T scientists, and JRSO for their efforts towards Expedition 379T, organized by S. C. Bova, Y. Rosenthal, and L. Childress. Funding was provided by the NSF Grant OCE-1756; NSF; [OCE-1756241]</t>
  </si>
  <si>
    <t>The authors thank the captain and crew of the D/V JOIDES Resolution, the Expedition 379T scientists, and JRSO for their efforts towards Expedition 379T, organized by S. C. Bova, Y. Rosenthal, and L. Childress. Funding was provided by the NSF Grant OCE-1756; NSF(National Science Foundation (NSF));</t>
  </si>
  <si>
    <t>The authors thank the captain and crew of the D/V JOIDES Resolution, the Expedition 379T scientists, and JRSO for their efforts towards Expedition 379T, organized by S. C. Bova, Y. Rosenthal, and L. Childress. Funding was provided by the NSF Grant OCE-1756241 to S. Bova and Y. Rosenthal, and an additional GSA Graduate Student Grant to H. Riechelson. N. Anest completed the XRF analysis. H. Riechelson, S. Bova, Y. Rosenthal, S. Meyers, and K. Bu performed analyses and prepared the manuscript.</t>
  </si>
  <si>
    <t>e2023GL104148</t>
  </si>
  <si>
    <t>10.1029/2023GL104148</t>
  </si>
  <si>
    <t>WOS:001057745900008</t>
  </si>
  <si>
    <t>Flores, H; Veyssière, G; Castellani, G; Wilkinson, J; Hoppmann, M; Karcher, M; Valcic, L; Cornils, A; Geoffroy, M; Nicolaus, M; Niehoff, B; Priou, P; Schmidt, K; Stroeve, J</t>
  </si>
  <si>
    <t>Flores, Hauke; Veyssiere, Gaelle; Castellani, Giulia; Wilkinson, Jeremy; Hoppmann, Mario; Karcher, Michael; Valcic, Lovro; Cornils, Astrid; Geoffroy, Maxime; Nicolaus, Marcel; Niehoff, Barbara; Priou, Pierre; Schmidt, Katrin; Stroeve, Julienne</t>
  </si>
  <si>
    <t>Sea-ice decline could keep zooplankton deeper for longer</t>
  </si>
  <si>
    <t>NATURE CLIMATE CHANGE</t>
  </si>
  <si>
    <t>DIEL VERTICAL MIGRATION; COPEPOD CALANUS-HYPERBOREUS; ALGAE-PRODUCED CARBON; COD BOREOGADUS-SAIDA; ARCTIC-OCEAN; REPRODUCTION; NOISE; IMAGE</t>
  </si>
  <si>
    <t>As Arctic sea ice deteriorates, more light enters the ocean, causing largely unknown effects on the ecosystem. Using an autonomous biophysical observatory, we recorded zooplankton vertical distribution under Arctic sea ice from dusk to dawn of the polar night. Here we show that zooplankton ascend into the under-ice habitat during autumn twilight, following an isolume of 2.4 x 10-4 W m-2. We applied this trigger isolume to CMIP6 model outputs accounting for incoming radiation after sunset and before sunrise of the polar night. The models project that, in about three decades, the total time spent by zooplankton in the under-ice habitat could be reduced by up to one month, depending on geographic region. This will impact zooplankton winter survival, the Arctic foodweb, and carbon and nutrient fluxes. These findings highlight the importance of biological processes during the twilight periods for predicting change in high-latitude ecosystems. The authors used an autonomous biophysical observatory to estimate the light intensity triggering seasonal zooplankton vertical migration under Arctic sea ice. Considering this trigger, they project future reductions in time spent in the under-ice habitat, with implications for Arctic ecosystems.</t>
  </si>
  <si>
    <t>[Flores, Hauke; Castellani, Giulia; Hoppmann, Mario; Karcher, Michael; Cornils, Astrid; Nicolaus, Marcel; Niehoff, Barbara] Helmholtz Zentrum Polar &amp; Meeresforsch, Alfred Wegener Inst, Bremerhaven, Germany; [Veyssiere, Gaelle; Wilkinson, Jeremy] British Antarctic Survey, Cambridge, England; [Veyssiere, Gaelle; Stroeve, Julienne] UCL, Earth Sci Dept, London, England; [Karcher, Michael] OASys Ocean Atmosphere Syst GmbH, Hamburg, Germany; [Valcic, Lovro] Bruncin Observat Syst, Zagreb, Croatia; [Geoffroy, Maxime; Priou, Pierre] Mem Univ Newfoundland &amp; Labrador, Ctr Fisheries Ecosyst Res, Fisheries &amp; Marine Inst, St John, NF, Canada; [Geoffroy, Maxime] Arctic Univ Norway, Dept Arctic &amp; Marine Biol, Tromso, Norway; [Priou, Pierre] Akvaplan Niva, Fram Ctr, Tromso, Norway; [Schmidt, Katrin] Univ Plymouth, Sch Geog Earth &amp; Environm Sci, Plymouth, Devon, England; [Stroeve, Julienne] Univ Manitoba, Ctr Earth Observat Sci, Winnipeg, MB, Canada</t>
  </si>
  <si>
    <t>Helmholtz Association; Alfred Wegener Institute, Helmholtz Centre for Polar &amp; Marine Research; UK Research &amp; Innovation (UKRI); Natural Environment Research Council (NERC); NERC British Antarctic Survey; University of London; University College London; Memorial University Newfoundland; UiT The Arctic University of Tromso; Akvaplan-niva; University of Plymouth; University of Manitoba</t>
  </si>
  <si>
    <t>Flores, H (corresponding author), Helmholtz Zentrum Polar &amp; Meeresforsch, Alfred Wegener Inst, Bremerhaven, Germany.</t>
  </si>
  <si>
    <t>Hauke.Flores@awi.de</t>
  </si>
  <si>
    <t>Cornils, Astrid/P-2943-2014; Hoppmann, Mario/KFB-0363-2024; Nicolaus, Marcel/A-3658-2013; Keyes, Dennis/AAZ-9285-2021</t>
  </si>
  <si>
    <t>Cornils, Astrid/0000-0003-4536-9015; Hoppmann, Mario/0000-0003-1294-9531; Nicolaus, Marcel/0000-0003-0903-1746; Geoffroy, Maxime/0000-0003-2633-5565; Flores, Hauke/0000-0003-1617-5449; Karcher, Michael/0000-0002-9587-811X; Veyssiere, Gaelle/0000-0003-4843-4935</t>
  </si>
  <si>
    <t>Alfred-Wegener-Institut; MOSAiC PS122/5; project EcoLight; British National Environmental Research Council (NERC); German Ministry for Education and Research (BMBF); BMBF; MOSAiC 3 [AWI_PS122_00]; Helmholtz Association's Programme Oriented Funding Period 4 (POF-4); NERC [NE/R012725/1]; Ocean Frontier Institute of the Canada First Research Excellence Fund [03V01465, 03F0811A]; Natural Sciences and Engineering Research Council Discovery Grant programme [03F0917A]; ArcticNet a Network of Centres of Excellence Canada; Research Council of Norway; Deep Impact [NE/S002502/1]; Fisheries and Oceans Canada; European Union; Frontiers in Arctic Marine Monitoring (FRAM); Multidisciplinary Ice-based Distributed Observatory (MIDO) infrastructure programmes [300333]</t>
  </si>
  <si>
    <t>Alfred-Wegener-Institut; MOSAiC PS122/5; project EcoLight; British National Environmental Research Council (NERC); German Ministry for Education and Research (BMBF)(Federal Ministry of Education &amp; Research (BMBF)); BMBF(Federal Ministry of Education &amp; Research (BMBF)); MOSAiC 3; Helmholtz Association's Programme Oriented Funding Period 4 (POF-4); NERC(UK Research &amp; Innovation (UKRI)Natural Environment Research Council (NERC)); Ocean Frontier Institute of the Canada First Research Excellence Fund; Natural Sciences and Engineering Research Council Discovery Grant programme; ArcticNet a Network of Centres of Excellence Canada; Research Council of Norway(Research Council of Norway); Deep Impact; Fisheries and Oceans Canada; European Union(European Union (EU)); Frontiers in Arctic Marine Monitoring (FRAM); Multidisciplinary Ice-based Distributed Observatory (MIDO) infrastructure programmes</t>
  </si>
  <si>
    <t>Open access funding provided by Alfred-Wegener-Institut.We thank the MOSAiC science crew of the teams ECO, OCEAN and ICE, and the captain and crew of RV Polarstern for their support during MOSAiC PS122/5 (grant number AWI_PS122_00). We are particularly grateful to Z. Koenig, J. Allerholt, S. Karam, M. Gallagher, Z. Brasseur and J. Regnery for their help with the field deployments. We thank J.-H. Kim, the captain, crew and science crew of RV Araon cruise ARA10B for their support in a preliminary study without which the autonomous AZFP buoy would not have been possible. We thank S. Kraegefsky (AWI) and A. Atkinson (PLM) for their advice. N. Knueppel (AWI) supported the zooplankton analysis. This study was primarily funded by the project EcoLight, as part of the bilateral Changing Arctic Ocean programme by the British National Environmental Research Council (NERC) under grant number NE/R012725/1 and the German Ministry for Education and Research (BMBF) under grant number 03V01465 and 03F0811A and B. A.C. was funded through BMBF grant 03F0917A, MOSAiC 3. G.C., H.F. and B.N. were also funded by the Helmholtz Association's Programme Oriented Funding Period 4 (POF-4), Topic and 6.1 and 6.3. K.S. was funded through NERC Grant NE/S002502/1. M.G. and P.P. were financially supported by the Ocean Frontier Institute of the Canada First Research Excellence Fund, Natural Sciences and Engineering Research Council Discovery Grant programme, ArcticNet a Network of Centres of Excellence Canada, Research Council of Norway grant 300333 Deep Impact, and Fisheries and Oceans Canada &amp; nbsp;through the Atlantic Fisheries Fund. M.K.'s work described in this paper has been partially funded from the European Union's Horizon 2020 research and innovation programme through the project Arctic PASSION under grant agreement number 101003472. The instruments and buoy developments were funded by the Frontiers in Arctic Marine Monitoring (FRAM) and the Multidisciplinary Ice-based Distributed Observatory (MIDO) infrastructure programmes.</t>
  </si>
  <si>
    <t>1758-678X</t>
  </si>
  <si>
    <t>1758-6798</t>
  </si>
  <si>
    <t>NAT CLIM CHANGE</t>
  </si>
  <si>
    <t>Nat. Clim. Chang.</t>
  </si>
  <si>
    <t>2023 AUG 28</t>
  </si>
  <si>
    <t>10.1038/s41558-023-01779-1</t>
  </si>
  <si>
    <t>Environmental Sciences; Environmental Studies; Meteorology &amp; Atmospheric Sciences</t>
  </si>
  <si>
    <t>Environmental Sciences &amp; Ecology; Meteorology &amp; Atmospheric Sciences</t>
  </si>
  <si>
    <t>Q9BH3</t>
  </si>
  <si>
    <t>Green Published, Green Accepted, hybrid, Green Submitted</t>
  </si>
  <si>
    <t>WOS:001060393300001</t>
  </si>
  <si>
    <t>Huang, Z; Nanson, R; Mcneil, M; Wenderlich, M; Gafeira, J; Post, A; Nichol, S</t>
  </si>
  <si>
    <t>Huang, Zhi; Nanson, Rachel; Mcneil, Mardi; Wenderlich, Michal; Gafeira, Joana; Post, Alexandra; Nichol, Scott</t>
  </si>
  <si>
    <t>Rule-based semi-automated tools for mapping seabed morphology from bathymetry data</t>
  </si>
  <si>
    <t>seabed; morphology; bathymetry; semi-automated; mapping; python; ArcGIS Pro</t>
  </si>
  <si>
    <t>MULTIBEAM SONAR; HABITAT DISTRIBUTION; CONTINENTAL-MARGIN; EAST ANTARCTICA; FLOOR PROCESSES; GEOMORPHOLOGY; SHELF; CLASSIFICATION; SLOPE; REEFS</t>
  </si>
  <si>
    <t>Seabed morphology maps and data are critical for knowledge-building and best practice management of marine environments. To facilitate objective and repeatable production of these maps, we have developed a number of semi-automated, rule-based GIS tools (Geoscience Australia's Semi-automated Morphological Mapping Tools - GA-SaMMT) to operationalise the mapping of a common set of bathymetric high and bathymetric low seabed Morphological Features. The tools have a graphical user interface and were developed using Python scripts under the widely-adopted proprietary ArcGIS Pro platform. The utility of these tools was tested across nine case study areas that represent a diverse range of complex bathymetric and physiographic settings. Overall, the mapping results are found to be more consistent than manual mapping and allow for capture of greater detail across a range of spatial scales. The mapping results demonstrate a number of advantages of GA-SaMMT, including: 1) requirement of only a bathymetry grid as sole data input; 2) flexibility to apply domain knowledge to user-defined tool parameters, or to instead use the default parameter settings; 3) repeatability and consistency in the mapping outputs when using a consistent set of tool parameters (user defined or default); 4) high-degree of objectivity; and 5) efficiency in mapping a large number (thousands) of seabed morphology features in a single dataset. In addition, GA-SaMMT can comprehensively quantify the characteristics of individual seabed bathymetric high and low features, respectively generating 34 and 46 metrics for each type of feature. Our results indicate that attribute metrics are invaluable in the interpretation and modelling of mapped Morphology Features and provide insights into their formative processes and habitat potential for marine communities.</t>
  </si>
  <si>
    <t>[Huang, Zhi; Nanson, Rachel; Mcneil, Mardi; Wenderlich, Michal; Post, Alexandra; Nichol, Scott] Oceans Reefs Coasts &amp; Antarctic Branch, Canberra, Australia; [Gafeira, Joana] British Geol Survey, Edinburgh, Scotland</t>
  </si>
  <si>
    <t>UK Research &amp; Innovation (UKRI); Natural Environment Research Council (NERC); NERC British Geological Survey</t>
  </si>
  <si>
    <t>Huang, Z (corresponding author), Oceans Reefs Coasts &amp; Antarctic Branch, Canberra, Australia.</t>
  </si>
  <si>
    <t>zhi.Huang@ga.gov.au</t>
  </si>
  <si>
    <t>The open access publishing fee for this paper was kindly provided by Geoscience Australia.</t>
  </si>
  <si>
    <t>We thank the following people for testing the earlier versions of GA-SaMMT: Tina Yang and Larissa Taylor of Geoscience Australia, Riccardo Arosio of University College Cork and Alysha Johnson of University of Wollongong. We also acknowledge numerous GA colleagues and external collaborators who collected and processed, and various funding programs (Commonwealth Environmental Research Facilities Program; National Environmental Research Program; National Environmental Science Program; Offshore Energy Security Program; National Low Emissions Coal Initiative/National CO2 Infrastructure Plan) that supported the acquisition of the multibeam data used in this study. The valuable comments from Tony Nicholas, Kim Picard, Andrew Carroll and Duncan Moore of Geoscience Australia have improved the manuscript. We would like to thank two reviewers for their detailed and constructive comments that have significantly improved this manuscript. This paper is published with permission of the CEO, Geoscience Australia.r The open access publishing fee for this paper was kindly provided by Geoscience Australia.</t>
  </si>
  <si>
    <t>10.3389/fmars.2023.1236788</t>
  </si>
  <si>
    <t>R1OH8</t>
  </si>
  <si>
    <t>Green Accepted, gold</t>
  </si>
  <si>
    <t>WOS:001062100200001</t>
  </si>
  <si>
    <t>Moorman, R; Thompson, AF; Wilson, EA</t>
  </si>
  <si>
    <t>Moorman, Ruth; Thompson, Andrew F.; Wilson, Earle A.</t>
  </si>
  <si>
    <t>Coastal Polynyas Enable Transitions Between High and Low West Antarctic Ice Shelf Melt Rates</t>
  </si>
  <si>
    <t>Amundsen Sea; ice shelf; basal melting; polynya; Dotson ice shelf; decadal variability</t>
  </si>
  <si>
    <t>CIRCUMPOLAR DEEP-WATER; AMUNDSEN SEA EMBAYMENT; CONTINENTAL-SHELF; VARIABILITY; IMPACT; MODEL; CIRCULATION; TRANSPORT; DRIVEN</t>
  </si>
  <si>
    <t>Melt rates of West Antarctic ice shelves in the Amundsen Sea track large decadal variations in the volume of warm water at their outlets. This variability is generally attributed to wind-driven variations in warm water transport toward ice shelves. Inspired by conceptual representations of the global overturning circulation, we introduce a simple model for the evolution of the thermocline, which caps the warm water layer at the ice-shelf front. This model demonstrates that interannual variations in coastal polynya buoyancy forcing can generate large decadal-scale thermocline depth variations, even when the supply of warm water from the shelf-break is fixed. The modeled variability involves transitions between bistable high and low melt regimes, enabled by feedbacks between basal melt rates and ice front stratification strength. Our simple model captures observed variations in near-coast thermocline depth and stratification strength, and poses an alternative mechanism for warm water volume changes to wind-driven theories.</t>
  </si>
  <si>
    <t>[Moorman, Ruth; Thompson, Andrew F.] CALTECH, Environm Sci &amp; Engn, Pasadena, CA 91125 USA; [Wilson, Earle A.] Stanford Univ, Dept Earth Syst Sci, Stanford, CA USA</t>
  </si>
  <si>
    <t>California Institute of Technology; Stanford University</t>
  </si>
  <si>
    <t>Moorman, R (corresponding author), CALTECH, Environm Sci &amp; Engn, Pasadena, CA 91125 USA.</t>
  </si>
  <si>
    <t>rmoorman@caltech.edu</t>
  </si>
  <si>
    <t>Wilson, Earle/0000-0003-2329-5115</t>
  </si>
  <si>
    <t>General Sir John Monash Foundation; NSF [OPP-1644172, OCE-2023259]; Caltech's Terrestrial Hazard Observations and Reporting Center</t>
  </si>
  <si>
    <t>General Sir John Monash Foundation; NSF(National Science Foundation (NSF)); Caltech's Terrestrial Hazard Observations and Reporting Center</t>
  </si>
  <si>
    <t>RM acknowledges the support of the General Sir John Monash Foundation. AT acknowledges support from NSF grants OPP-1644172 and OCE-2023259. EW acknowledges support from Caltech's Terrestrial Hazard Observations and Reporting Center. We thank Michael Schodlock and Mar Flexas for their assistance in accessing and utilizing WAIS 1080 output. We thank Channing Prend and Ryan Eusebi for their helpful comments on the initial manuscript. We also thank Kevin Speer and Alessandro Silvano for helpful conversations. Finally, we acknowledge valuable work performed in the collection, collation and open access publishing of shipborne observational data by the Marine Geoscience Data System (MGDS), the Korean Polar Data Center (KPDC), and the authors of Jenkins et &amp; nbsp;al.&amp; nbsp;(2018).</t>
  </si>
  <si>
    <t>e2023GL104724</t>
  </si>
  <si>
    <t>10.1029/2023GL104724</t>
  </si>
  <si>
    <t>P9LT3</t>
  </si>
  <si>
    <t>WOS:001053825800001</t>
  </si>
  <si>
    <t>Zou, X; Rowe, PM; Gorodetskaya, I; Bromwich, DH; Lazzara, MA; Cordero, RR; Zhang, ZH; Kawzenuk, B; Cordeira, JM; Wille, JD; Ralph, FM; Bai, LS</t>
  </si>
  <si>
    <t>Zou, Xun; Rowe, Penny M.; Gorodetskaya, Irina; Bromwich, David H.; Lazzara, Matthew A.; Cordero, Raul R.; Zhang, Zhenhai; Kawzenuk, Brian; Cordeira, Jason M.; Wille, Jonathan D.; Ralph, F. Martin; Bai, Le-Sheng</t>
  </si>
  <si>
    <t>Strong Warming Over the Antarctic Peninsula During Combined Atmospheric River and Foehn Events: Contribution of Shortwave Radiation and Turbulence</t>
  </si>
  <si>
    <t>JOURNAL OF GEOPHYSICAL RESEARCH-ATMOSPHERES</t>
  </si>
  <si>
    <t>atmospheric river; foehn warming; Antarctic Peninsula; polar AR scale</t>
  </si>
  <si>
    <t>POLAR WEATHER RESEARCH; ICE SHELVES; SURFACE MELT; ANNULAR MODE; CLOUDS; CLIMATE; IMPACT; SCALE; OCEAN; PART</t>
  </si>
  <si>
    <t>The Antarctica Peninsula (AP) has experienced more frequent and intense surface melting recently, jeopardizing the stability of ice shelves and ultimately leading to ice loss. Among the key phenomena that can initiate surface melting are atmospheric rivers (ARs) and leeside foehn; the combined impact of ARs and foehn led to moderate surface warming over the AP in December 2018 and record-breaking surface melting in February 2022. Focusing on the more intense 2022 case, this study uses high-resolution Polar WRF simulations with advanced model configurations, Reference Elevation Model of Antarctica topography, and observed surface albedo to better understand the relationship between ARs and foehn and their impacts on surface warming. With an intense AR (AR3) intrusion during the 2022 event, weak low-level blocking and heavy orographic precipitation on the upwind side resulted in latent heat release, which led to a more deep-foehn like case. On the leeside, sensible heat flux associated with the foehn magnitude was the major driver during the night and the secondary contributor during the day due to a stationary orographic gravity wave. Downward shortwave radiation was enhanced via cloud clearance and dominated surface melting during the daytime, especially after the peak of the AR/foehn events. However, due to the complex terrain of the AP, ARs can complicate the foehn event by transporting extra moisture to the leeside via gap flows. During the peak of the 2022 foehn warming, cloud formation on the leeside hampered the downward shortwave radiation and slightly increased the downward longwave radiation.</t>
  </si>
  <si>
    <t>[Zou, Xun; Zhang, Zhenhai; Kawzenuk, Brian; Cordeira, Jason M.; Ralph, F. Martin] Univ Calif San Diego, Scripps Inst Oceanog, CW3E, La Jolla, CA 92093 USA; [Rowe, Penny M.] North West Res Associates, Redmond, WA 98052 USA; [Gorodetskaya, Irina] Univ Aveiro, CESAM Ctr Environm &amp; Marine Studies, Dept Phys, Aveiro, Portugal; [Gorodetskaya, Irina] Univ Porto, CIIMAR, Interdisciplinary Ctr Marine &amp; Environm Res, Porto, Portugal; [Bromwich, David H.; Bai, Le-Sheng] Ohio State Univ, Byrd Polar &amp; Climate Res Ctr, Columbus, OH USA; [Lazzara, Matthew A.] Univ Wisconsin Madison, Antarctic Meteorol Res &amp; Data Ctr, Space Sci &amp; Engn Ctr, Madison, WI USA; [Lazzara, Matthew A.] Madison Area Tech Coll, Dept Phys Sci, Sch Engn Sci &amp; Math, Madison, WI USA; [Cordero, Raul R.] Univ Santiago Chile, Dept Phys, Santiago, Chile; [Wille, Jonathan D.] Univ Grenoble Alpes, CNRS, IGE, St Martin Dheres, France</t>
  </si>
  <si>
    <t>University of California System; University of California San Diego; Scripps Institution of Oceanography; Universidade de Aveiro; Universidade do Porto; University System of Ohio; Ohio State University; University of Wisconsin System; University of Wisconsin Madison; Universidad de Santiago de Chile; Centre National de la Recherche Scientifique (CNRS); Communaute Universite Grenoble Alpes; Universite Grenoble Alpes (UGA)</t>
  </si>
  <si>
    <t>Zou, X (corresponding author), Univ Calif San Diego, Scripps Inst Oceanog, CW3E, La Jolla, CA 92093 USA.;Rowe, PM (corresponding author), North West Res Associates, Redmond, WA 98052 USA.</t>
  </si>
  <si>
    <t>x4zou@ucsd.edu; penny@nwra.com</t>
  </si>
  <si>
    <t>Zhang, Zhenhai/ACT-3866-2022; zou, xun/I-2438-2015</t>
  </si>
  <si>
    <t>Bromwich, David/0000-0003-4608-8071; Zhang, Zhenhai/0000-0001-8459-4704; Cordero, Raul R./0000-0001-7607-7993; Wille, Jonathan/0000-0002-3918-5204; Kawzenuk, Brian/0000-0003-1194-4296; Rowe, Penny/0000-0002-7594-0553; zou, xun/0000-0003-1620-3198</t>
  </si>
  <si>
    <t>National Science Foundation (NSF) [2127632, 2229392, FIRO2 W912HZ-19-2-0023]; FCTFundacao para a Ciencia e a Tecnologia [UIDP/50017/2020, UIDB/50017/2020, LA/P/0094/2020, UIDB/04423/2020, UIDP/04423/2020, 2021.03140. CEECIND, CIRCNA/CAC/0273/2019]; NSF [2205398, 1924730, 1951603, 1951720]; Agence Nationale de la Recherche [ANR-20-CE01-0013]; INACH [Preis RT_69-20]; ANID [Preis FONDECYT 1191932, ANILLO ACT210046]; State of California, Department of Water Resources [460001361, 4600014294]; Agence Nationale de la Recherche (ANR) [ANR-20-CE01-0013] Funding Source: Agence Nationale de la Recherche (ANR)</t>
  </si>
  <si>
    <t>National Science Foundation (NSF)(National Science Foundation (NSF)); FCTFundacao para a Ciencia e a Tecnologia(Fundacao para a Ciencia e a Tecnologia (FCT)); NSF(National Science Foundation (NSF)); Agence Nationale de la Recherche(Agence Nationale de la Recherche (ANR)); INACH; ANID; State of California, Department of Water Resources; Agence Nationale de la Recherche (ANR)(Agence Nationale de la Recherche (ANR))</t>
  </si>
  <si>
    <t>This collaborative research was supported by National Science Foundation (NSF) Grants 2127632, 2229392 and FIRO2 W912HZ-19-2-0023 (U.S. Army Corps of Engineers). I.V.G. thanks the support by the strategic funding to CESAM (Grant UIDP/50017/2020, UIDB/50017/2020, and LA/P/0094/2020), to CIIMAR (UIDB/04423/2020, UIDP/04423/2020), 2021.03140. CEECIND and Project ATLACE (CIRCNA/CAC/0273/2019) through national funds provided by FCTFundacao para a Ciencia e a Tecnologia. D.H.B. acknowledges support from NSF Grant 2205398. M.A.L. acknowledges support from NSF Grants 1924730, 1951603, 1951720. J.D.W. acknowledges support from the Agence Nationale de la Recherche projects ANR-20-CE01-0013 (ARCA). R.R.C. thanks the support of INACH (Preis RT_69-20) and ANID (Preis FONDECYT 1191932 and ANILLO ACT210046). The Polar WRF model is developed and is maintained by the Polar Meteorology Group, Byrd Polar and Climate Research Center (BPCRC), The Ohio State University. Contribution number 1607 of BPCRC. Polar WRF simulations were performed on the San Diego Supercomputing Center's COMET resource through AR Program, Phase II 460001361 and III 4600014294 (State of California, Department of Water Resources). We are grateful to the Instituto Antarctica Argentino (IAA/DNA), the Servicio Meteorologico Nacional (SMN), the Integrated Global Radiosonde Archive for radiosonde and surface meteorological data from Marambio Station, the Direccion Meteorologica de Chile (DMC), and to the Instituto Antartico Chileno (INACH) for supporting observations in the Antarctic Peninsula. We acknowledge the use of imagery from the NASA Worldview application (https://worldview.earthdata.nasa.gov/), part of the NASA Earth Observing System Data and Information System (EOSDIS). We also want to thank Diego Campos and Edgardo Sepulveda for radiosonde measurements and Dr. Matthew Mazloff for his input on the role of oceanic processes during the AR intrusion. We thank the three anonymous reviewers for their many constructive suggestions.</t>
  </si>
  <si>
    <t>2169-897X</t>
  </si>
  <si>
    <t>2169-8996</t>
  </si>
  <si>
    <t>J GEOPHYS RES-ATMOS</t>
  </si>
  <si>
    <t>J. Geophys. Res.-Atmos.</t>
  </si>
  <si>
    <t>AUG 27</t>
  </si>
  <si>
    <t>e2022JD038138</t>
  </si>
  <si>
    <t>10.1029/2022JD038138</t>
  </si>
  <si>
    <t>MD2F2</t>
  </si>
  <si>
    <t>WOS:001191616100001</t>
  </si>
  <si>
    <t>Riddle, M</t>
  </si>
  <si>
    <t>Riddle, Martin</t>
  </si>
  <si>
    <t>Ecological Studies in the Antarctic Sea Ice Zone</t>
  </si>
  <si>
    <t>JOURNAL OF EXPERIMENTAL MARINE BIOLOGY AND ECOLOGY</t>
  </si>
  <si>
    <t>Book Review</t>
  </si>
  <si>
    <t>[Riddle, Martin] Australian Antarct Div, Human Impacts Res Program, Channel Highway, Kingston, Tas 7050, Australia</t>
  </si>
  <si>
    <t>Australian Antarctic Division</t>
  </si>
  <si>
    <t>Riddle, M (corresponding author), Australian Antarct Div, Human Impacts Res Program, Channel Highway, Kingston, Tas 7050, Australia.</t>
  </si>
  <si>
    <t>Martin.Riddle@aad.gov.au</t>
  </si>
  <si>
    <t>0022-0981</t>
  </si>
  <si>
    <t>1879-1697</t>
  </si>
  <si>
    <t>J EXP MAR BIOL ECOL</t>
  </si>
  <si>
    <t>J. Exp. Mar. Biol. Ecol.</t>
  </si>
  <si>
    <t>AUG 26</t>
  </si>
  <si>
    <t>NB8E0</t>
  </si>
  <si>
    <t>WOS:001198066600002</t>
  </si>
  <si>
    <t>Picton, HJ; Stokes, CR; Jamieson, SSR; Floricioiu, D; Krieger, L</t>
  </si>
  <si>
    <t>Picton, Hannah J.; Stokes, Chris R.; Jamieson, Stewart S. R.; Floricioiu, Dana; Krieger, Lukas</t>
  </si>
  <si>
    <t>Extensive and anomalous grounding line retreat at Vanderford Glacier,Vincennes Bay, Wilkes Land, East Antarctica</t>
  </si>
  <si>
    <t>AMUNDSEN SEA EMBAYMENT; PINE ISLAND GLACIER; BASAL MELT RATES; ICE-SHELF; WEST ANTARCTICA; THWAITES GLACIER; MASS-LOSS; OUTLET GLACIERS; TOTTEN GLACIER; ELEVATION CHANGE</t>
  </si>
  <si>
    <t>Wilkes Land, East Antarctica, has been losing mass at an accelerating rate over recent decades in response to enhanced oceanic forcing. Overlying the Aurora Subglacial Basin, it has been referred to as the weak underbelly of the East Antarctic Ice Sheet and is drained by several major outlet glaciers. Despite their potential importance, few of these glaciers have been studied in detail. This includes the six outlet glaciers which drain into Vincennes Bay, a region recently discovered to have the warmest intrusions of modified Circumpolar Deep Water (mCDW) ever recorded in East Antarctica. Here, we use satellite imagery; differential synthetic aperture radar interferometry (DInSAR); and remotely sensed datasets of ice-surface velocity, ice-surface elevation and grounding line position to investigate ice dynamics between 1963 and 2022. Our results support previous observations of extensive grounding line retreat at Vanderford Glacier, measured at 18.6 km between 1996 and 2020. The persistent grounding line retreat, averaging 0.8 km yr - 1 , places Vanderford Glacier as the fastest retreating glacier in East Antarctica, and the third fastest in Antarctica, across decadal timescales. Such rapid retreat is consistent with the hypothesis that warm mCDW is able to access deep cavities formed below the Vanderford Ice Shelf, driving high rates of basal melting close to the grounding line. With a retrograde slope observed inland along the Vanderford Trench, such oceanic forcing may have significant implications for the future stability of Vanderford Glacier.</t>
  </si>
  <si>
    <t>[Picton, Hannah J.; Stokes, Chris R.; Jamieson, Stewart S. R.] Univ Durham, Dept Geog, Durham DH1 3LE, England; [Floricioiu, Dana; Krieger, Lukas] German Aerosp Ctr, Remote Sensing Technol Inst, D-82234 Wessling, Germany; [Picton, Hannah J.] Univ Edinburgh, Sch Geosci, Edinburgh EH8 9XP, Scotland</t>
  </si>
  <si>
    <t>Durham University; Helmholtz Association; German Aerospace Centre (DLR); University of Edinburgh</t>
  </si>
  <si>
    <t>Picton, HJ (corresponding author), Univ Durham, Dept Geog, Durham DH1 3LE, England.;Picton, HJ (corresponding author), Univ Edinburgh, Sch Geosci, Edinburgh EH8 9XP, Scotland.</t>
  </si>
  <si>
    <t>hannah.picton@ed.ac.uk</t>
  </si>
  <si>
    <t>Krieger, Lukas/0000-0002-2464-3102; Picton, Hannah/0000-0002-1196-5524; Floricioiu, Dana/0000-0002-1647-7191</t>
  </si>
  <si>
    <t>Natural Environment Research Council; [NE/R000824/1]; NERC [NE/R000824/1] Funding Source: UKRI</t>
  </si>
  <si>
    <t>Natural Environment Research Council(UK Research &amp; Innovation (UKRI)Natural Environment Research Council (NERC)); ; NERC(UK Research &amp; Innovation (UKRI)Natural Environment Research Council (NERC))</t>
  </si>
  <si>
    <t>Chris R. Stokes and Stewart S. R. Jamieson acknowledge funding from the Natural Environment Research Council (NE/R000824/1). The authors would also like to thank the editor (Huw Horgan), Wei Ji Leong and an anonymous reviewer for their constructive comments on this paper.</t>
  </si>
  <si>
    <t>10.5194/tc-17-3593-2023</t>
  </si>
  <si>
    <t>IV0X4</t>
  </si>
  <si>
    <t>WOS:001169005300001</t>
  </si>
  <si>
    <t>Putnam, AE; Denton, GH; Schaefer, JM</t>
  </si>
  <si>
    <t>Putnam, Aaron E.; Denton, George H.; Schaefer, Joerg M.</t>
  </si>
  <si>
    <t>A 10Be chronology of the Esmark Moraine and Lysefjorden region, southwestern Norway: Evidence for coeval glacier resurgence in both polar hemispheres during the Antarctic Cold Reversal</t>
  </si>
  <si>
    <t>QUATERNARY SCIENCE REVIEWS</t>
  </si>
  <si>
    <t>Pleistocene; Glaciation; Paleoclimatology; North Atlantic; Scandinavia; New Zealand; South America; Southern Ocean; Cosmogenic isotopes; Glacial geomorphology; Ice cores; Radiocarbon</t>
  </si>
  <si>
    <t>PRODUCTION-RATE CALIBRATION; SCANDINAVIAN ICE-SHEET; FRANZ-JOSEF-GLACIER; SOUTHERN ALPS; NEW-ZEALAND; EAST GREENLAND; LAST DEGLACIATION; WESTERN NORWAY; RAKAIA VALLEY; FLUCTUATIONS</t>
  </si>
  <si>
    <t>From 10Be surface-exposure dating we make the case that classic late-glacial moraines in southwestern Norway, including the iconic Esmark moraine, and in the Southern Hemisphere middle latitudes, including the iconic Birch Hill moraine of the Southern Alps of New Zealand, were constructed coevally within dating uncertainties. This finding of simultaneous glacier resurgence in the two polar hemispheres carries the implication that the millennial-scale climate reversal of the last deglaciation was global and required a change in the energy budget of the earth's climate system.</t>
  </si>
  <si>
    <t>[Putnam, Aaron E.; Denton, George H.] Univ Maine, Sch Earth &amp; Climate Sci, Orono, ME 04469 USA; [Putnam, Aaron E.; Denton, George H.] Univ Maine, Climate Change Inst, Orono, ME 04469 USA; [Schaefer, Joerg M.] Columbia Univ, Lamont Doherty Earth Observ, Palisades, NY USA; [Schaefer, Joerg M.] Columbia Univ, Dept Earth &amp; Environm Sci, New York, NY USA</t>
  </si>
  <si>
    <t>University of Maine System; University of Maine Orono; University of Maine System; University of Maine Orono; Columbia University; Columbia University</t>
  </si>
  <si>
    <t>Putnam, AE (corresponding author), Univ Maine, Sch Earth &amp; Climate Sci, Orono, ME 04469 USA.;Putnam, AE (corresponding author), Univ Maine, Climate Change Inst, Orono, ME 04469 USA.</t>
  </si>
  <si>
    <t>aaron.putnam@maine.edu</t>
  </si>
  <si>
    <t>Putnam, Aaron/0000-0002-5358-1473</t>
  </si>
  <si>
    <t>E.R. Quesada Foundation; Comer Family Foundation; Lamont Post-doctoral Fellowship; Comer Science and Education Foundation; Lamont Assistant Research Professorship; Lenfest Foundation; National Science Foundation CAREER Award [1554990]</t>
  </si>
  <si>
    <t>E.R. Quesada Foundation; Comer Family Foundation; Lamont Post-doctoral Fellowship; Comer Science and Education Foundation; Lamont Assistant Research Professorship; Lenfest Foundation; National Science Foundation CAREER Award(National Science Foundation (NSF))</t>
  </si>
  <si>
    <t>We thank Hilde Levik of Lysefjord Hyttegrend for their gracious accommodation. We also thank Gordon Bromley for valuable discussions over the years, and for sharing his insights on the late-glacial chronology of glaciation in the British Isles. We thank David Barrell for sharing his valuable thoughts on the Southern Hemisphere moraine record and the interhemispheric signature of millennial-scale glacier fluctuations. Roseanne Schwartz, Laura Mattas, and Peter Strand assisted with laboratory work. Two anonymous reviewers provided thoughtful and constructive comments and the paper is improved as a result. We are grateful to the E.R. Quesada Foundation and the Comer Family Foundation for their support. Putnam was supported by a Lamont Post-doctoral Fellowship, the Comer Science and Education Foundation, a Lamont Assistant Research Professorship, the Lenfest Foundation, and a National Science Foundation CAREER Award (no. 1554990) .</t>
  </si>
  <si>
    <t>0277-3791</t>
  </si>
  <si>
    <t>1873-457X</t>
  </si>
  <si>
    <t>QUATERNARY SCI REV</t>
  </si>
  <si>
    <t>Quat. Sci. Rev.</t>
  </si>
  <si>
    <t>SEP 15</t>
  </si>
  <si>
    <t>10.1016/j.quascirev.2023.108259</t>
  </si>
  <si>
    <t>S3ZW2</t>
  </si>
  <si>
    <t>WOS:001070595200001</t>
  </si>
  <si>
    <t>Belcher, A; Henley, SF; Hendry, K; Wootton, M; Friberg, L; Dallman, U; Wang, T; Coath, C; Manno, C</t>
  </si>
  <si>
    <t>Belcher, Anna; Henley, Sian F.; Hendry, Katharine; Wootton, Marianne; Friberg, Lisa; Dallman, Ursula; Wang, Tong; Coath, Christopher; Manno, Clara</t>
  </si>
  <si>
    <t>Seasonal cycles of biogeochemical fluxes in the Scotia Sea, Southern Ocean:a stable isotope approach</t>
  </si>
  <si>
    <t>BIOGEOSCIENCES</t>
  </si>
  <si>
    <t>ZOOPLANKTON FECAL PELLETS; DIATOM RESTING SPORES; SILICON ISOTOPES; BIOGENIC SILICA; ORGANIC-CARBON; INORGANIC CARBON; MARINE DIATOMS; SEDIMENT TRAPS; EXPORT FLUX; POLAR FRONT</t>
  </si>
  <si>
    <t>The biological carbon pump is responsible for much of the decadal variability in the ocean carbon dioxide (CO 2 ) sink, driving the transfer of carbon from the atmosphere to the deep ocean. A mechanistic understanding of the ecological drivers of particulate organic carbon (POC) flux is key both to the assessment of the magnitude of the ocean CO 2 sink and for accurate predictions as to how this will change with changing climate. This is particularly important in the Southern Ocean, a key region for the uptake of CO 2 and the supply of nutrients to the global thermocline. In this study we examine sediment-trap-derived particle fluxes and stable isotope signatures of carbon (C), nitrogen (N), and biogenic silica (BSi) at a study site in the biologically productive waters of the northern Scotia Sea in the Southern Ocean. Both deep (2000 m) and shallow (400 m) sediment traps exhibited two main peaks in POC, particulate N, and BSi flux: one in austral spring and one in summer, reflecting periods of high surface productivity. Particulate fluxes and isotopic compositions were similar in both deep and shallow sediment traps, highlighting that most remineralisation occurred in the upper 400 m of the water column. Differences in the seasonal cycles of isotopic compositions of C, N, and Si provide insights into the degree of coupling of these key nutrients. We measured increasing isotopic enrichment of POC and BSi in spring, consistent with fractionation during biological uptake. Since we observed isotopically light particulate material in the traps in summer, we suggest physically mediated replenishment of lighter isotopes of key nutrients from depth, enabling the full expression of the isotopic fractionation associated with biological uptake. The change in the nutrient and remineralisation regimes, indicated by the different isotopic compositions of the spring and summer productive periods, suggests a change in the source region of material reaching the traps and associated shifts in phytoplankton community structure. This, combined with the occurrence of advective inputs at certain times of the year, highlights the need to make synchronous measurements of physical processes to improve our ability to track changes in the source regions of sinking particulate material. We also highlight the need to conduct particle-specific (e.g. faecal pellets, phytoplankton detritus, zooplankton moults) isotopic analysis to improve the use of this tool in assessing particle composition of the sinking material and to develop our understanding of the drivers of biogeochemical fluxes.</t>
  </si>
  <si>
    <t>[Belcher, Anna; Hendry, Katharine; Manno, Clara] British Antarctic Survey, Cambridge CB3 0ET, England; [Henley, Sian F.; Dallman, Ursula] Univ Edinburgh, Sch GeoSci, Edinburgh EH9 3FE, Scotland; [Hendry, Katharine; Friberg, Lisa; Wang, Tong; Coath, Christopher] Univ Bristol, Sch Earth Sci, Bristol BS8 1RJ, England; [Wootton, Marianne] Marine Biol Assoc UK, Plymouth PL1 2PB, England</t>
  </si>
  <si>
    <t>UK Research &amp; Innovation (UKRI); Natural Environment Research Council (NERC); NERC British Antarctic Survey; University of Edinburgh; University of Bristol; Marine Biological Association United Kingdom</t>
  </si>
  <si>
    <t>Belcher, A; Manno, C (corresponding author), British Antarctic Survey, Cambridge CB3 0ET, England.</t>
  </si>
  <si>
    <t>annbel@bas.ac.uk; clanno@bas.ac.uk</t>
  </si>
  <si>
    <t>Hendry, Katharine/E-4793-2011</t>
  </si>
  <si>
    <t>Hendry, Katharine/0000-0002-0790-5895</t>
  </si>
  <si>
    <t>British Antarctic Survey [DY098]; NERC [NE/K010034/1] Funding Source: UKRI</t>
  </si>
  <si>
    <t>British Antarctic Survey; NERC(UK Research &amp; Innovation (UKRI)Natural Environment Research Council (NERC))</t>
  </si>
  <si>
    <t>We are very grateful to the scientists and crew aboard research cruises JR17002 and DY098 for their efforts to deploy and recover the P3 mooring. We thank staff at the Bristol Isotope Group for running and maintenance of the mass spectrometer facilities at the University of Bristol, as well as Colin Chilcott for technical support for C and N analysis at the University of Edinburgh. We thank Sally Thorpe and Emma Young for insights into the physical oceanographic conditions of the region. Finally, a special thanks to Flo Atherden for her dedicated work picking out swimmers from the shallow sediment trap.</t>
  </si>
  <si>
    <t>1726-4170</t>
  </si>
  <si>
    <t>1726-4189</t>
  </si>
  <si>
    <t>Biogeosciences</t>
  </si>
  <si>
    <t>AUG 25</t>
  </si>
  <si>
    <t>10.5194/bg-20-3573-2023</t>
  </si>
  <si>
    <t>IV1F8</t>
  </si>
  <si>
    <t>gold, Green Accepted, Green Submitted</t>
  </si>
  <si>
    <t>WOS:001169013700001</t>
  </si>
  <si>
    <t>Monteiro, T; Henley, SF; Pollery, RCG; Mendes, CRB; Mata, M; Tavano, VM; Garcia, CAE; Kerr, R</t>
  </si>
  <si>
    <t>Monteiro, Thiago; Henley, Sian F.; Pollery, Ricardo Cesar Goncalves; Mendes, Carlos Rafael Borges; Mata, Mauricio; Tavano, Virginia Maria; Garcia, Carlos Alberto Eiras; Kerr, Rodrigo</t>
  </si>
  <si>
    <t>Spatiotemporal variability of dissolved inorganic macronutrients along the northern Antarctic Peninsula (1996-2019)</t>
  </si>
  <si>
    <t>LIMNOLOGY AND OCEANOGRAPHY</t>
  </si>
  <si>
    <t>CARBONATE SYSTEM PROPERTIES; GERLACHE STRAIT; DEEP WATERS; WEDDELL SEA; PHYTOPLANKTON COMMUNITIES; BRANSFIELD STRAIT; IRON; OCEAN; SUMMER; IMPACT</t>
  </si>
  <si>
    <t>The northern Antarctic Peninsula is a key region of the Southern Ocean due to its complex ocean dynamics, distinct water mass sources, and the climate-driven changes taking place in the region. Despite the importance of macronutrients in supporting strong biological carbon uptake and storage, little is known about their spatiotemporal variability along the northern Antarctic Peninsula. Hence, we explored for the first time a 24-year time series (1996-2019) in this region to understand the processes involved in the spatial and interannual variability of macronutrients. We found high macronutrient concentrations, even in surface waters and during strong phytoplankton blooms. Minimum concentrations of dissolved inorganic nitrogen (DIN; 16 mu mol kg-1), phosphate (0.7 mu mol kg-1), and silicic acid (40 mu mol kg-1) in surface waters are higher than those recorded in surrounding regions. The main source of macronutrients is the intrusions of Circumpolar Deep Water and its modified variety, while local sources (organic matter remineralization, water mass mixing, and mesoscale structures) can enhance their spatiotemporal variability. However, we identified a depletion in silicic acid due to the influence of Dense Shelf Water from the Weddell Sea. Macronutrient concentrations show substantial interannual variability driven by the balance between the intrusions of modified Circumpolar Deep Water and advection of Dense Shelf Water, which is largely modulated by the Southern Annular Mode (SAM) and to some extent by El Nino-Southern Oscillation (ENSO). These findings are critical to improving our understanding of the natural variability of this Southern Ocean ecosystem and how it is responding to climate changes.</t>
  </si>
  <si>
    <t>[Monteiro, Thiago; Garcia, Carlos Alberto Eiras; Kerr, Rodrigo] Univ Fed Rio Grande FURG, Programa Posgrad Oceanol, Inst Oceanog, Rio Grande, Brazil; [Monteiro, Thiago; Mendes, Carlos Rafael Borges; Mata, Mauricio; Garcia, Carlos Alberto Eiras; Kerr, Rodrigo] Univ Fed Rio Grande FURG, Lab Estudos Oceanos &amp; Clima, Inst Oceanog, Rio Grande, Brazil; [Monteiro, Thiago; Kerr, Rodrigo] Brazilian Ocean Acidificat Network BrOA, Rio Grande, Brazil; [Monteiro, Thiago; Henley, Sian F.] Univ Edinburgh, Sch GeoSci, Edinburgh, Scotland; [Pollery, Ricardo Cesar Goncalves] Univ Fed Rio de Janeiro UFRJ, Ctr Ciencias Saude, Unidade Multiusuario Anal Ambientais, Rio De Janeiro, Brazil; [Mendes, Carlos Rafael Borges; Tavano, Virginia Maria] Univ Fed Rio Grande FURG, Lab Fitoplancton &amp; Microorganismos Marinhos, Inst Oceanog, Rio Grande, Brazil</t>
  </si>
  <si>
    <t>Universidade Federal do Rio Grande; Universidade Federal do Rio Grande; University of Edinburgh; Universidade Federal do Rio de Janeiro; Universidade Federal do Rio Grande</t>
  </si>
  <si>
    <t>Monteiro, T; Kerr, R (corresponding author), Univ Fed Rio Grande FURG, Programa Posgrad Oceanol, Inst Oceanog, Rio Grande, Brazil.;Monteiro, T; Kerr, R (corresponding author), Univ Fed Rio Grande FURG, Lab Estudos Oceanos &amp; Clima, Inst Oceanog, Rio Grande, Brazil.;Monteiro, T; Kerr, R (corresponding author), Brazilian Ocean Acidificat Network BrOA, Rio Grande, Brazil.;Monteiro, T (corresponding author), Univ Edinburgh, Sch GeoSci, Edinburgh, Scotland.</t>
  </si>
  <si>
    <t>thiagomonteiro@furg.br; rodrigokerr@furg.br</t>
  </si>
  <si>
    <t>Kerr, Rodrigo/I-2494-2012; Mendes, Carlos/I-1520-2012; Monteiro, Thiago/AAJ-7902-2020; Mata, Mauricio/H-4605-2011; Tavano, Virginia/C-5241-2013</t>
  </si>
  <si>
    <t>Kerr, Rodrigo/0000-0002-2632-3137; Mendes, Carlos/0000-0001-6875-8860; Monteiro, Thiago/0000-0001-7643-0646; Mata, Mauricio/0000-0002-9028-8284; Henley, Sian Frances/0000-0003-1221-1983; Tavano, Virginia/0000-0003-0039-8111</t>
  </si>
  <si>
    <t>This study contributes to the activities of the CARBON Team (), the Brazilian Ocean Acidification Network (BrOA; ) and the Brazilian High Latitude Oceanography Group (GOAL; ), which is part of the Brazilian Antarctic Program (PROANTAR). GOAL has been funde; Brazilian Ocean Acidification Network (BrOA); Brazilian High Latitude Oceanography Group; Brazilian Antarctic Program (PROANTAR) - Brazilian Ministry of the Environment (MMA); Brazilian Ministry of Science, Technology, and Innovation (MCTI); Council for Research and Scientific Development of Brazil (CNPq) [200649/2020-5]; CNPq [17/2551-0000518-0]; FAPERGS [405869/2013-4, 407889/2013-2]; NAUTILUS [23038.001421/2014-30]; Higher Education Personnel Improvement Coordination (CAPES) [88887.360799/2019-00]; Brazilian Improving Coordination of Higher Education Personnel (CAPES) [NE/K010034/1]; UK Natural Environment Research Council [304937/2018-5, 309978/2021-1]; CNPq researcher Grant; CAPES; FURG project CAPES-PrInt</t>
  </si>
  <si>
    <t>This study contributes to the activities of the CARBON Team (), the Brazilian Ocean Acidification Network (BrOA; ) and the Brazilian High Latitude Oceanography Group (GOAL; ), which is part of the Brazilian Antarctic Program (PROANTAR). GOAL has been funde; Brazilian Ocean Acidification Network (BrOA); Brazilian High Latitude Oceanography Group; Brazilian Antarctic Program (PROANTAR) - Brazilian Ministry of the Environment (MMA); Brazilian Ministry of Science, Technology, and Innovation (MCTI); Council for Research and Scientific Development of Brazil (CNPq)(Conselho Nacional de Desenvolvimento Cientifico e Tecnologico (CNPQ)Fundacao de Apoio a Pesquisa do Distrito Federal (FAPDF)); CNPq(Conselho Nacional de Desenvolvimento Cientifico e Tecnologico (CNPQ)); FAPERGS(Fundacao de Amparo a Ciencia e Tecnologia do Estado do Rio Grande do Sul (FAPERGS)); NAUTILUS; Higher Education Personnel Improvement Coordination (CAPES)(Coordenacao de Aperfeicoamento de Pessoal de Nivel Superior (CAPES)); Brazilian Improving Coordination of Higher Education Personnel (CAPES)(Coordenacao de Aperfeicoamento de Pessoal de Nivel Superior (CAPES)); UK Natural Environment Research Council(UK Research &amp; Innovation (UKRI)Natural Environment Research Council (NERC)); CNPq researcher Grant(Conselho Nacional de Desenvolvimento Cientifico e Tecnologico (CNPQ)); CAPES(Coordenacao de Aperfeicoamento de Pessoal de Nivel Superior (CAPES)); FURG project CAPES-PrInt</t>
  </si>
  <si>
    <t>This study contributes to the activities of the CARBON Team (), the Brazilian Ocean Acidification Network (BrOA; ) and the Brazilian High Latitude Oceanography Group (GOAL; ), which is part of the Brazilian Antarctic Program (PROANTAR). GOAL has been funded by and/or has received logistical support from the Brazilian Ministry of the Environment (MMA), the Brazilian Ministry of Science, Technology, and Innovation (MCTI), the Brazilian Navy, the Secretariat of the Interministerial Commission for the Resources of the Sea (SECIRM), and the Council for Research and Scientific Development of Brazil (CNPq) through grants from the Brazilian National Institute of Science and Technology of Cryosphere (INCT-CRIOSFERA; CNPq Grants Nos. 573720/2008-8 and 465680/2014-3; FAPERGS Grant no. 17/2551-0000518-0), NAUTILUS, INTERBIOTA, PROVOCCAR and ECOPELAGOS projects (CNPq Grants Nos. 405869/2013-4, 407889/2013-2, 442628/2018-8 and 442637/2018-7, respectively), and Higher Education Personnel Improvement Coordination (CAPES Grant No. 23038.001421/2014-30). T.M. received financial support from the Brazilian Improving Coordination of Higher Education Personnel (CAPES, PhD Grant No. 88887.360799/2019-00) supervised by R.K., and from CNPq Grant No. 200649/2020-5 for an abroad PhD period at the University of Edinburgh (UK) supervised by S.H. This study was supported by the UK Natural Environment Research Council through grant NE/K010034/1 awarded to S.H. R.K. received financial support from CNPq researcher Grant Nos. 304937/2018-5 and 309978/2021-1. We are thankful for the support provided by CAPES to the Graduate Program in Oceanology and the FURG project CAPES-PrInt. We appreciate the availability of high-quality data from GLODAP ().</t>
  </si>
  <si>
    <t>0024-3590</t>
  </si>
  <si>
    <t>1939-5590</t>
  </si>
  <si>
    <t>LIMNOL OCEANOGR</t>
  </si>
  <si>
    <t>Limnol. Oceanogr.</t>
  </si>
  <si>
    <t>10.1002/lno.12424</t>
  </si>
  <si>
    <t>Limnology; Oceanography</t>
  </si>
  <si>
    <t>Y4YX0</t>
  </si>
  <si>
    <t>WOS:001077025400001</t>
  </si>
  <si>
    <t>Kim, S; De Santis, L; Hong, JK; Colizza, E; Kim, S; Bergamasco, A; Lee, SH; Kang, SG; Lee, MK; Kim, H; Choi, Y; Geniram, A; Choi, HG; Lee, JI; Yoo, KC; Park, Y</t>
  </si>
  <si>
    <t>Kim, Sookwan; De Santis, Laura; Hong, Jong Kuk; Colizza, Ester; Kim, Sunghan; Bergamasco, Andrea; Lee, Sang-Hoon; Kang, Seung-Goo; Lee, Min Kyung; Kim, Hyoungjun; Choi, Yeonjin; Geniram, Andrea; Choi, Hyoung Gyu; Lee, Jae Il; Yoo, Kyu-Cheul; Park, Yongcheol</t>
  </si>
  <si>
    <t>Hunting paleoceanographic archives of ice sheet-ocean interaction in the northwestern Ross Sea, Antarctica</t>
  </si>
  <si>
    <t>FRONTIERS IN EARTH SCIENCE</t>
  </si>
  <si>
    <t>contourite; bottom current; Antarctica; Ross Sea; seismic stratigraphy; seafloor morphology</t>
  </si>
  <si>
    <t>TROUGH MOUTH FANS; SEDIMENTARY PROCESSES; CONTINENTAL-SLOPE; BOTTOM-CURRENT; AMUNDSEN SEA; HIGH-LATITUDE; SCOTIA SEA; SHELF; BASIN; WEST</t>
  </si>
  <si>
    <t>The analysis of sedimentary deposits influenced by bottom currents in glaciated continental margins provides crucial insights into paleo-depositional and oceanographic conditions. These reconstructions enable the assessment of interactions between advance and retreat of grounded ice sheets and past ocean circulation patterns. However, questions regarding these interactions and their specific mechanisms remain largely unanswered due to a lack of data in this remote area. In this study, we conducted a comprehensive analysis by integrating marine geophysical data, surficial sediment cores, oceanographic measurements, and ocean circulation models. Our aim was to understand spatial and temporal variations in sedimentary and oceanographic conditions during the past glacial and interglacial periods in combination with the long-term stratigraphic evolution. By integrating and cross-referencing diverse datasets, we were able to infer how bottom-current-controlled deposits (i.e., contourites) developed along the western bathymetric high of the Central Basin in the northwestern Ross Sea margin, Antarctica. Contouritic deposits lying over and along the flanks of bathymetric highs were identified through their mound-shaped external geometry and acoustically stratified facies, characterized by reflectors pinching toward the moat. Acoustic facies and multi-beam backscatter results, in conjunction with sedimentary core data, revealed contrasting patterns. Bathymetric highs exhibited thin (&lt;10 m thick) coarser-grained sedimentary layers with higher backscatter, while the lower slope and rise displayed thick (&gt;10 m thick), finer-grained stratified sediments with lower backscatter. These findings indicate that seabed winnowing occurred by strong bottom current during past glacial periods as supported by sedimentological analysis. The pathways of the westward-deflected dense shelf water outflow and the westward-flowing along-slope current, as simulated by oceanographic models, explain the distinctive development of contourites influenced by bottom-current processes. Moreover, the large accumulations of sediment in the contourites, resulting from bathymetric barriers in the north of the Central Basin, may contribute to submarine slope failures.</t>
  </si>
  <si>
    <t>[Kim, Sookwan; Lee, Sang-Hoon] Korea Inst Ocean Sci &amp; Technol, Busan, South Korea; [De Santis, Laura] Natl Inst Oceanog &amp; Appl Geophys OGS, Trieste, Italy; [Hong, Jong Kuk; Kim, Sunghan; Kang, Seung-Goo; Lee, Min Kyung; Kim, Hyoungjun; Choi, Yeonjin; Choi, Hyoung Gyu; Lee, Jae Il; Yoo, Kyu-Cheul; Park, Yongcheol] Korea Polar Res Inst, Incheon, South Korea; [Colizza, Ester; Geniram, Andrea] Univ Trieste, Dept Math &amp; Geosci, Trieste, Italy; [Bergamasco, Andrea] Inst Marine Sci, Natl Res Council, Venice, Italy</t>
  </si>
  <si>
    <t>Korea Institute of Ocean Science &amp; Technology (KIOST); Istituto Nazionale di Oceanografia e di Geofisica Sperimentale; Korea Polar Research Institute (KOPRI); University of Trieste; Consiglio Nazionale delle Ricerche (CNR); Istituto di Scienze Marine (ISMAR-CNR)</t>
  </si>
  <si>
    <t>Kim, S (corresponding author), Korea Inst Ocean Sci &amp; Technol, Busan, South Korea.</t>
  </si>
  <si>
    <t>skwan@kiost.ac.kr</t>
  </si>
  <si>
    <t>Kim, Sookwan/JJD-3241-2023</t>
  </si>
  <si>
    <t>Kim, Sookwan/0000-0001-9960-2295</t>
  </si>
  <si>
    <t>Korea Polar Research Institute - Ministry of Oceans and Fisheries [2010/A2.07]; Korea-Italy Bilateral Program; National Research Foundation of Korea [20212010200020]; Italian National Antarctic Research Program (PNRA); Italian Foreign Ministry (MAECI)-STREAM Project - Korea Institute of Energy Technology Evaluation and Planning (KETEP); Ministry of Trade, Industry, and Energy (MOTIE) of the Republic of Korea; [PE23050]</t>
  </si>
  <si>
    <t>Korea Polar Research Institute - Ministry of Oceans and Fisheries; Korea-Italy Bilateral Program; National Research Foundation of Korea(National Research Foundation of Korea); Italian National Antarctic Research Program (PNRA)(Ministry of Education, Universities and Research (MIUR)); Italian Foreign Ministry (MAECI)-STREAM Project - Korea Institute of Energy Technology Evaluation and Planning (KETEP); Ministry of Trade, Industry, and Energy (MOTIE) of the Republic of Korea(Ministry of Trade, Industry &amp; Energy (MOTIE), Republic of Korea);</t>
  </si>
  <si>
    <t>This work was supported by grants from the Korea Polar Research Institute funded by the Ministry of Oceans and Fisheries (PE23050 and PE23090). This work was partly funded by the Korea-Italy Bilateral Program (2019K1A3A1A25000116) by National Research Foundation of Korea and by the Italian National Antarctic Research Program (PNRA)-ROSSLOPE Project (2010/A2.07) and partly co-funded by the Italian Foreign Ministry (MAECI)-STREAM Project. SoK and S-HL were funded by the Korea Institute of Energy Technology Evaluation and Planning (KETEP) and the Ministry of Trade, Industry, and Energy (MOTIE) of the Republic of Korea (No. 20212010200020).</t>
  </si>
  <si>
    <t>2296-6463</t>
  </si>
  <si>
    <t>FRONT EARTH SC-SWITZ</t>
  </si>
  <si>
    <t>Front. Earth Sci.</t>
  </si>
  <si>
    <t>10.3389/feart.2023.1234347</t>
  </si>
  <si>
    <t>R3SK9</t>
  </si>
  <si>
    <t>WOS:001063581500001</t>
  </si>
  <si>
    <t>Kalakoski, N; Verronen, PT; Szelag, ME; Jackman, CH</t>
  </si>
  <si>
    <t>Kalakoski, Niilo; Verronen, Pekka T.; Szelag, Monika E.; Jackman, Charles H.</t>
  </si>
  <si>
    <t>Global ozone loss following extreme solar proton storms based on the July 2012 coronal mass ejection</t>
  </si>
  <si>
    <t>PARTICLE-PRECIPITATION; JANUARY; EVENT; MODEL; NOX</t>
  </si>
  <si>
    <t>Large solar coronal mass ejections pose a threat in the near-Earth space. As a cause of extreme periods of space weather, they can damage satellite-based communications and create geomagnetically induced currents in power and energy grids. Further, the solar wind energetic particles can reduce the protecting layer of atmospheric ozone and pose a threat to life on Earth. The large coronal mass ejection (CME) of July 2012, although directed away from the Earth, is often highlighted as a prime example of a potentially devastating super storm. Here we show, based on proton fluxes recorded by the instruments aboard the STEREO-A satellite, that the atmospheric response to the July 2012 event would have been comparable to those of the largest solar proton events of the satellite era. Significant impact on total ozone outside polar regions would require a much larger event, similar to those recorded in historical proxy data sets. Such an extreme event would cause long-term ozone reduction all the way to the equator and increase the size, duration, and depth of the Antarctic ozone hole. The impact would be comparable to predicted drastic and sudden ozone reduction from major volcanic eruptions, regional nuclear conflicts, or long-term stratospheric geoengineering.</t>
  </si>
  <si>
    <t>[Kalakoski, Niilo; Verronen, Pekka T.; Szelag, Monika E.] Finnish Meteorol Inst, Space &amp; Earth Observat Ctr, Helsinki, Finland; [Verronen, Pekka T.] Univ Oulu, Sodankyla Geophys Observ, Sodankyla, Finland; [Jackman, Charles H.] NASA, Goddard Space Flight Ctr, Greenbelt, MD USA</t>
  </si>
  <si>
    <t>Finnish Meteorological Institute; University of Oulu; National Aeronautics &amp; Space Administration (NASA); NASA Goddard Space Flight Center</t>
  </si>
  <si>
    <t>Kalakoski, N (corresponding author), Finnish Meteorol Inst, Space &amp; Earth Observat Ctr, Helsinki, Finland.</t>
  </si>
  <si>
    <t>niilo.kalakoski@fmi.fi</t>
  </si>
  <si>
    <t>Kalakoski, Niilo/D-8441-2014; Verronen, Pekka T/G-6658-2014</t>
  </si>
  <si>
    <t>Kalakoski, Niilo/0000-0003-3733-4277; Verronen, P. T./0000-0002-3479-9071</t>
  </si>
  <si>
    <t>AUG 24</t>
  </si>
  <si>
    <t>10.1038/s41598-023-40129-1</t>
  </si>
  <si>
    <t>Z6VD8</t>
  </si>
  <si>
    <t>WOS:001113423900012</t>
  </si>
  <si>
    <t>Chung, AL; Parrenin, F; Steinhage, D; Mulvaney, R; Martín, C; Cavitte, MGP; Lilien, DA; Helm, V; Taylor, D; Gogineni, P; Ritz, C; Frezzotti, M; O'Neill, C; Miller, H; Dahl-Jensen, D; Eisen, O</t>
  </si>
  <si>
    <t>Chung, Ailsa; Parrenin, Frederic; Steinhage, Daniel; Mulvaney, Robert; Martin, Carlos; Cavitte, Marie G. P.; Lilien, David A.; Helm, Veit; Taylor, Drew; Gogineni, Prasad; Ritz, Catherine; Frezzotti, Massimo; O'Neill, Charles; Miller, Heinrich; Dahl-Jensen, Dorthe; Eisen, Olaf</t>
  </si>
  <si>
    <t>Stagnant ice and age modelling in the Dome C region, Antarctica</t>
  </si>
  <si>
    <t>OLD ICE; BRIEF COMMUNICATION; 1.5 MYR; RADAR; CORE; TEMPERATURE; CHRONOLOGY; ELEVATION; SITES; SHEET</t>
  </si>
  <si>
    <t>The European Beyond EPICA project aims to extract a continuous ice core of up to 1.5 Ma, with a maximum age density of 20 kyr m(-1) at Little Dome C (LDC). We present a 1D numerical model which calculates the age of the ice around Dome C. The model inverts for basal conditions and accounts either for melting or for a layer of stagnant ice above the bedrock. It is constrained by internal reflecting horizons traced in radargrams and dated using the EPICA Dome C (EDC) ice core age profile. We used three different radar datasets ranging from a 10 000 km(2) airborne survey down to 5 km long ground-based radar transects over LDC. We find that stagnant ice exists in many places, including above the LDC relief where the new Beyond EPICA drill site (BELDC) is located. The modelled thickness of this layer of stagnant ice roughly corresponds to the thickness of the basal unit observed in one of the radar surveys and in the autonomous phase-sensitive radio-echo sounder (ApRES) dataset. At BELDC, the modelled stagnant ice thickness is 198 +/- 44 m and the modelled oldest age of ice is 1.45 +/- 0.16 Ma at a depth of 2494 +/- 30 m. This is very similar to all sites situated on the LDC relief, including that of the Million Year Ice Core project being conducted by the Australian Antarctic Division. The model was also applied to radar data in the area 10-15 km north of EDC (North Patch), where we find either a thin layer of stagnant ice (generally &lt;60 m) or a negligible melt rate (&lt;0.1 mm yr(-1)). The modelled maximum age at North Patch is over 2 Ma in most places, with ice at 1.5 Ma having a resolution of 9-12 kyr m(-1), making it an exciting prospect for a future Oldest Ice drill site.</t>
  </si>
  <si>
    <t>[Chung, Ailsa; Parrenin, Frederic; Ritz, Catherine] Univ Grenoble Alpes, CNRS, INRAE, IRD,Grenoble INP,IGE, F-38000 Grenoble, France; [Steinhage, Daniel; Helm, Veit; Miller, Heinrich; Eisen, Olaf] Alfred Wegener Inst, Helmholtz Zentrum Polar &amp; Meeresforsch, Glaciol, Bremerhaven, Germany; [Mulvaney, Robert; Martin, Carlos] British Antarctic Survey, Cambridge, England; [Cavitte, Marie G. P.] Univ catholique Louvain La Neuve UCLouvain, Earth &amp; Life Inst ELI, Louvain La Neuve, Belgium; [Lilien, David A.; Dahl-Jensen, Dorthe] Univ Copenhagen, Niels Bohr Inst, Phys Ice Climate &amp; Earth, Copenhagen, Denmark; [Lilien, David A.; Dahl-Jensen, Dorthe] Univ Manitoba, Ctr Earth Observat Sci, Winnipeg, MB, Canada; [Taylor, Drew; Gogineni, Prasad] Univ Alabama, Remote Sensing Ctr, Tuscaloosa, AL USA; [O'Neill, Charles] EH Grp, Tuscaloosa, AL USA; [Eisen, Olaf] Univ Bremen, Fachbereich Geowissensch, Bremen, Germany; [Frezzotti, Massimo] Univ Roma Tre, Dept Sci, Rome, Italy</t>
  </si>
  <si>
    <t>Institut de Recherche pour le Developpement (IRD); Communaute Universite Grenoble Alpes; Universite Grenoble Alpes (UGA); Institut National Polytechnique de Grenoble; INRAE; Centre National de la Recherche Scientifique (CNRS); Helmholtz Association; Alfred Wegener Institute, Helmholtz Centre for Polar &amp; Marine Research; UK Research &amp; Innovation (UKRI); Natural Environment Research Council (NERC); NERC British Antarctic Survey; University of Copenhagen; Niels Bohr Institute; University of Manitoba; University of Alabama System; University of Alabama Tuscaloosa; University of Bremen; Roma Tre University; Italfarmaco</t>
  </si>
  <si>
    <t>Chung, AL; Parrenin, F (corresponding author), Univ Grenoble Alpes, CNRS, INRAE, IRD,Grenoble INP,IGE, F-38000 Grenoble, France.</t>
  </si>
  <si>
    <t>ailsa.chung@univ-grenoble-alpes.fr; frederic.parrenin@univ-grenoble-alpes.fr</t>
  </si>
  <si>
    <t>Lilien, David A./H-1716-2018; Mulvaney, Robert/K-3929-2012</t>
  </si>
  <si>
    <t>Lilien, David A./0000-0001-8667-8020; Chung, Ailsa/0000-0003-3822-845X; Helm, Veit/0000-0001-7788-9328; Mulvaney, Robert/0000-0002-5372-8148</t>
  </si>
  <si>
    <t>Horizon 2020 [955750]; European Union; ENEA; IPEV through the Concordia Station system</t>
  </si>
  <si>
    <t>Horizon 2020(Horizon 2020); European Union(European Union (EU)); ENEA(ENEA, Italy); IPEV through the Concordia Station system</t>
  </si>
  <si>
    <t>This publication was generated in the frame of Beyond EPICA. The project has received funding from the European Union's Horizon 2020 research and innovation programme under grant agreement no. 815384 (Oldest Ice Core). It is supported by national partners and funding agencies in Belgium, Denmark, France, Germany, Italy, Norway, Sweden, Switzerland, The Netherlands and the United Kingdom. Logistic support is mainly provided by ENEA and IPEV through the Concordia Station system. This publication was generated in the frame of the DEEPICE project. The project has received funding from the European Union's Horizon 2020 research and innovation programme under the Marie Sklodowska-Curie grant agreement no. 955750. AWI acknowledges Pascal Andreas and Sven Lenius for their contribution to the preprocessing of the data. This is Beyond EPICA publication number 32. Marie Cavitte is a postdoctoral researcher at the F.R.S-FNRS.</t>
  </si>
  <si>
    <t>10.5194/tc-17-3461-2023</t>
  </si>
  <si>
    <t>JB7G3</t>
  </si>
  <si>
    <t>Green Submitted, Green Accepted, gold</t>
  </si>
  <si>
    <t>WOS:001170753600001</t>
  </si>
  <si>
    <t>Borisov, DG; Frey, DI; Ivanova, EV; Dmitrevskiy, NN; Levchenko, OV; Fomin, VV; Ligi, M</t>
  </si>
  <si>
    <t>Borisov, Dmitrii G.; Frey, Dmitry I.; Ivanova, Elena V.; Dmitrevskiy, Nikolay N.; Levchenko, Oleg V.; Fomin, Vladimir V.; Ligi, Marco</t>
  </si>
  <si>
    <t>Unveiling the contourite depositional system in the Vema Fracture Zone (Central Atlantic)</t>
  </si>
  <si>
    <t>ANTARCTIC BOTTOM WATER; PLIOCENE-PLEISTOCENE STRATIGRAPHY; QUATERNARY SEDIMENTATION; SEISMIC EXPRESSION; DEEP; RIDGE; TRANSPORT; FLOW; VELOCITY; PLATEAU</t>
  </si>
  <si>
    <t>A combination of a high sediment input and intense bottom currents often leads to the formation of contourites (sediments deposited or significantly reworked by bottom currents). Both of these components are present in the Vema Fracture Zone valley which is the most important passageway for the distribution of the Antarctic Bottom Water from the West to the North-East of the Atlantic. However, no contourite drifts, moats or contourite channels have been found in this region in more than half a century of research. The prevailing sedimentation paradigm postulates that turbidity currents have predominantly governed sedimentation in this region during the Pleistocene. This work describes the first example of contourite depositional system identified in the Vema Fracture Zone. The discovery was made through detailed high-resolution sub-bottom profiling, as well as numerical modeling and direct measurements of bottom current velocities. Such systems are exceptionally uncommon in fracture zones. This study highlights the importance of further research of contourites along the Vema Fracture Zone based on modern concepts of contourite and mixed depositional systems. The work also emphasizes the need to reevaluate the impact of bottom currents on sedimentation in this region, and particularly in the narrow segments of the fracture zone valley.</t>
  </si>
  <si>
    <t>[Borisov, Dmitrii G.; Frey, Dmitry I.; Ivanova, Elena V.; Dmitrevskiy, Nikolay N.; Levchenko, Oleg V.] Russian Acad Sci, Shirshov Inst Oceanol, Moscow, Russia; [Frey, Dmitry I.] Moscow Inst Phys &amp; Technol, Dolgoprudnyi, Russia; [Fomin, Vladimir V.] Zubov State Oceanog Inst, Moscow, Russia; [Ligi, Marco] Ist Sci Marine, Consiglio Nazl Ric, Bologna, Italy</t>
  </si>
  <si>
    <t>Russian Academy of Sciences; Shirshov Institute of Oceanology; Moscow Institute of Physics &amp; Technology; Zubov State Oceanographic Institute; Consiglio Nazionale delle Ricerche (CNR); Istituto di Scienze Marine (ISMAR-CNR)</t>
  </si>
  <si>
    <t>Borisov, DG (corresponding author), Russian Acad Sci, Shirshov Inst Oceanol, Moscow, Russia.</t>
  </si>
  <si>
    <t>dborisov@ocean.ru</t>
  </si>
  <si>
    <t>Borisov, Dmitrii/Y-9194-2019; Ligi, Marco/G-4853-2012</t>
  </si>
  <si>
    <t>Borisov, Dmitrii/0000-0001-8109-6603; Ligi, Marco/0000-0002-5098-5907</t>
  </si>
  <si>
    <t>Russian Science Foundation [22-27-00421]</t>
  </si>
  <si>
    <t>Russian Science Foundation(Russian Science Foundation (RSF))</t>
  </si>
  <si>
    <t>The authors are thankful to Tatiana Glazkova (Royal Holloway University of London, UK), Ambroise Dufour, and Valery Korolev (Shirshov Institute of Oceanology, Russian Academy of Sciences, Russia) for their help in collection of the data for this research. We are also grateful to Prof. A.A. Peive (Geological Institute, Russian Academy of Sciences, Russia) for his valuable comments and discussion. Special thanks go out to the editors and the three anonymous reviewers for their comments and suggestions which helped us to improve the manuscript. The authors would like to thank Arsen Lazursky (Director of Life and Pro Skills Center at Moscow State Linguistic University, Moscow, Russia) for proofreading this paper. This work is supported by the Russian Science Foundation project 22-27-00421.</t>
  </si>
  <si>
    <t>10.1038/s41598-023-40401-4</t>
  </si>
  <si>
    <t>WOS:001113423900023</t>
  </si>
  <si>
    <t>Fretwell, PT; Boutet, A; Ratcliffe, N</t>
  </si>
  <si>
    <t>Fretwell, Peter T.; Boutet, Aude; Ratcliffe, Norman</t>
  </si>
  <si>
    <t>Record low 2022 Antarctic sea ice led to catastrophic breeding failure of emperor penguins</t>
  </si>
  <si>
    <t>COMMUNICATIONS EARTH &amp; ENVIRONMENT</t>
  </si>
  <si>
    <t>The spring season of 2022 saw record low sea ice extent in Antarctica that persisted throughout the year. At the beginning of December, the Antarctic sea ice extent was tracking with the all-time low set in 2021. The greatest regional negative anomaly of this low extent was in the central and eastern Bellingshausen Sea region, west of the Antarctic Peninsula where, during November, some regions experienced a 100% loss in sea ice concentration. We provide evidence of a regional breeding failure of emperor penguin colonies due to sea ice loss using Sentinel2 satellite imagery. Of the five breeding sites in the region all but one experienced total breeding failure after sea ice break-up before the start of the fledging period of the 2022 breeding season. This is the first recorded incident of a widespread breeding failure of emperor penguins that is clearly linked with large-scale contractions in sea ice extent.</t>
  </si>
  <si>
    <t>[Fretwell, Peter T.; Ratcliffe, Norman] British Antarctic Survey, Madingley Rd, Cambridge, England</t>
  </si>
  <si>
    <t>Fretwell, PT (corresponding author), British Antarctic Survey, Madingley Rd, Cambridge, England.</t>
  </si>
  <si>
    <t>ptf@bas.ac.uk</t>
  </si>
  <si>
    <t>We would like to thank the staff and crew of the Commandant Charcot for the helicopter counts of emperor penguin chicks for Rothschild Island. We would also like to thank Connor Bamford for population estimates of Verdi Inlet. WWF provided funding for the; Connor Bamford for population estimates of Verdi Inlet; WWF</t>
  </si>
  <si>
    <t>We would like to thank the staff and crew of the Commandant Charcot for the helicopter counts of emperor penguin chicks for Rothschild Island. We would also like to thank Connor Bamford for population estimates of Verdi Inlet. WWF provided funding for the project (WWF project Understanding emperor penguin populations and distribution in the Weddell Sea and Antarctic Peninsula). We would also like to thank Thomas Bracegirdle for advice on sea ice conditions and climate model predictions.</t>
  </si>
  <si>
    <t>SPRINGERNATURE</t>
  </si>
  <si>
    <t>CAMPUS, 4 CRINAN ST, LONDON, N1 9XW, ENGLAND</t>
  </si>
  <si>
    <t>2662-4435</t>
  </si>
  <si>
    <t>COMMUN EARTH ENVIRON</t>
  </si>
  <si>
    <t>Commun. Earth Environ.</t>
  </si>
  <si>
    <t>10.1038/s43247-023-00927-x</t>
  </si>
  <si>
    <t>W8AG8</t>
  </si>
  <si>
    <t>gold, Green Accepted</t>
  </si>
  <si>
    <t>WOS:001093792100001</t>
  </si>
  <si>
    <t>Srivastava, A; Kumar, A; Yadav, J; Gupta, DC; Mohan, R</t>
  </si>
  <si>
    <t>Srivastava, Aakriti; Kumar, Avinash; Yadav, Juhi; Gupta, Dinesh Chandra; Mohan, Rahul</t>
  </si>
  <si>
    <t>Morphological changes and future projections of the Getz Ice shelf, western Antarctica-A statistical and geospatial approach</t>
  </si>
  <si>
    <t>REGIONAL STUDIES IN MARINE SCIENCE</t>
  </si>
  <si>
    <t>Mass changes; Linear regression; Southern Annular Mode; Satellite observation; Amundsen Sea</t>
  </si>
  <si>
    <t>SOUTHERN ANNULAR MODE; CIRCUMPOLAR DEEP-WATER; AMUNDSEN; COAST; OCEAN; VARIABILITY; PREDICTION; GLACIER; BENEATH; TRENDS</t>
  </si>
  <si>
    <t>The study assessed the extent of the Getz Ice Shelf over a 19-year period using satellite data and divided it into three sectors. The average of rates (AOR), end point rate (EPR), and linear regression (LR) methods were employed to estimate the rate of change, with the LR method showing the strongest correlation. The analysis revealed a shrinkage rate of 42 m/year during February from 2003 to 2019. Over the last 17 years, recession was observed in 60% of transects, while progradation occurred in 40%. The recent decline in Getz ice shelf extent is closely linked to the record low sea ice extent in the Amundsen Sea sector. Predictions for 2024 and 2029 indicated progradation in Sector I and recession in Sectors II and III, as determined by LR analysis. The root mean square error values of transects in Sectors II and III showed good correlation with past positions and satellite-based observations of ice shelves. To validate the predicted ice shelf extent cross-verified with the satellite and predicted data from 2020 to 2022. These findings highlight the complex interactions between climatic forcings, such as wind speed, sea surface temperature (SST), and the Southern Annular Mode (SAM). Positive SAM and increased zonal winds can contribute to warm water upwelling near the Antarctic coast, impacting ice shelf extent. The relationship between ice mass loss and SST provides valuable insights into the dynamic processes of melting and progradation in the Getz Ice Shelf during February. Ocean warming plays a significant role in increased basal melting and changes in sea ice mass. The study emphasizes the significant impact of ocean-atmospheric factors on Antarctic ice shelf dynamics and highlights the necessity for ongoing satellite observations and enhanced comprehension of these processes to accurately predict future changes in Antarctic ice shelves.&amp; COPY; 2023 Elsevier B.V. All rights reserved.</t>
  </si>
  <si>
    <t>[Srivastava, Aakriti; Kumar, Avinash; Yadav, Juhi; Mohan, Rahul] Govt India, Minist Earth Sci, Natl Ctr Polar &amp; Ocean Res, Patto, Goa, India; [Srivastava, Aakriti; Gupta, Dinesh Chandra] Barkatullah Univ, Dept Earth Sci, Bhopal, India; [Yadav, Juhi] Mangalore Univ, Dept Marine Geol, Mangalore, India</t>
  </si>
  <si>
    <t>Ministry of Earth Sciences (MoES) - India; National Centre for Polar and Ocean Research (NCPOR); Barkatullah University; Mangalore University</t>
  </si>
  <si>
    <t>Kumar, A (corresponding author), Govt India, Minist Earth Sci, Natl Ctr Polar &amp; Ocean Res, Patto, Goa, India.</t>
  </si>
  <si>
    <t>avinash@ncpor.res.in</t>
  </si>
  <si>
    <t>Avinash, Kumar/0000-0002-6511-8435</t>
  </si>
  <si>
    <t>Ministry of Earth Sciences</t>
  </si>
  <si>
    <t>We gratefully acknowledge the Dr. Thamban Meloth, Director, National Centre for Polar and Ocean Research (NCPOR) and the Ministry of Earth Sciences, for their continuous support and encouragement. We greatly acknowledge various organizations such as European Centre for Medium Range Weather Forecast (ECMWF) for ERA5 and ORA5 datasets, Technische Universitat Dresden, Germany, and the Australian Antarctic Data Centre for making various datasets available in their portals. The authors thank to Swathi M, NCPOR for her valuable assistance in plotting the subsurface temperature data. The authors would like to extend their heartfelt gratitude to the Editor and the three anonymous reviewers for their valuable feedback, constructive remarks, and insightful suggestions. This is NCPOR contribution no J-24/2023-24.</t>
  </si>
  <si>
    <t>2352-4855</t>
  </si>
  <si>
    <t>REG STUD MAR SCI</t>
  </si>
  <si>
    <t>Reg. Stud. Mar. Sci.</t>
  </si>
  <si>
    <t>DEC 15</t>
  </si>
  <si>
    <t>10.1016/j.rsma.2023.103144</t>
  </si>
  <si>
    <t>S3RD2</t>
  </si>
  <si>
    <t>WOS:001070364500001</t>
  </si>
  <si>
    <t>Young, EF; Thorpe, SE; Renner, AHH; Murphy, EJ</t>
  </si>
  <si>
    <t>Young, Emma F.; Thorpe, Sally E.; Renner, Angelika H. H.; Murphy, Eugene J.</t>
  </si>
  <si>
    <t>Environmental and behavioural drivers of Antarctic krill distribution at the South Orkney Islands: A regional perspective</t>
  </si>
  <si>
    <t>JOURNAL OF MARINE SYSTEMS</t>
  </si>
  <si>
    <t>Antarctic krill; Regional ocean model; Individual based model; Ocean circulation; Sea ice; Transport processes; Southwest Atlantic Ocean; South Orkney Islands</t>
  </si>
  <si>
    <t>EUPHAUSIA-SUPERBA DANA; SEA-ICE; SCOTIA SEA; TRANSPORT PATHWAYS; VERTICAL MIGRATION; OCEAN; VARIABILITY; WEDDELL; PENINSULA; ECOSYSTEM</t>
  </si>
  <si>
    <t>Antarctic krill (Euphausia superba) is a key species in the marine ecosystem of the Southern Ocean, but is also the target of a commercial fishery, with an important fishing ground in the South Orkney Islands region. The potential for competition for krill between predators and the fishery requires risk management strategies for the fishery, underpinned by an understanding of the key physical and behavioural drivers of krill movement and retention in target areas. Here, we present the results of a regional modelling study, combining a high-resolution ocean-sea ice model and an individual-based model parameterised for krill, to elucidate the roles of oceanographic variability and krill behaviour on patterns of transport and retention on and around the South Orkney Plateau. Simulations suggest that oceanic transport from sources around the Antarctic Peninsula is restricted by the northward flowing Antarctic Slope Current. Around the South Orkney Plateau, anticyclonic flows associated with the Weddell Front and the shelf edge transport krill rapidly towards the main fishing grounds to the northwest of the plateau. Transport onto the shelf and subsequent retention are influenced by the strength and direction of regional winds; weaker on-shelf transport and shorter retention times are associated with stronger westerly and northerly winds. The incorporation of sea-ice associated behaviour, whereby krill are moved with sea ice when sea ice is present, significantly modifies the patterns from purely oceanic transport; it reduces the influence of strong regional oceanic flows and increases transport of krill to the South Orkneys region from the Antarctic Peninsula. The inclusion of diel vertical migration also modifies predicted patterns from oceanic transport, but to a lesser extent, and moderates the impact of including sea-ice associated behaviour. We highlight the importance of understanding the behaviour of krill, including age-dependent behavioural changes in response to sea ice conditions, for modelling and management of Antarctic krill populations.</t>
  </si>
  <si>
    <t>[Young, Emma F.; Thorpe, Sally E.; Murphy, Eugene J.] British Antarctic Survey, High Cross Madingley Rd, Cambridge CB3 0ET, England; [Renner, Angelika H. H.] Inst Marine Res, Fram Ctr, Hjalmar Johansens Gate 14, N-9007 Tromso, Norway</t>
  </si>
  <si>
    <t>UK Research &amp; Innovation (UKRI); Natural Environment Research Council (NERC); NERC British Antarctic Survey; Institute of Marine Research - Norway</t>
  </si>
  <si>
    <t>Young, EF (corresponding author), British Antarctic Survey, High Cross Madingley Rd, Cambridge CB3 0ET, England.</t>
  </si>
  <si>
    <t>eyoung@bas.ac.uk; seth@bas.ac.uk; angelika.renner@hi.no; ejmu@bas.ac.uk</t>
  </si>
  <si>
    <t>Young, Emma/0000-0002-7069-6109</t>
  </si>
  <si>
    <t>Antarctic Wildlife Research Fund; British Antarctic Survey National Capability; Research Council of Norway [26716]; Commonwealth and Development Office</t>
  </si>
  <si>
    <t>Antarctic Wildlife Research Fund; British Antarctic Survey National Capability; Research Council of Norway(Research Council of Norway); Commonwealth and Development Office</t>
  </si>
  <si>
    <t>This research was supported by a grant from the Antarctic Wildlife Research Fund and British Antarctic Survey National Capability funding to the Ecosystems and Polar Oceans science programmes. AHHR's contribution was supported by The Research Council of Norway through the SWARM project (grant no. 26716). Modelling studies were performed on the British Antarctic Survey high performance computing facility. We thank J. Midoli Goto for contributing additional model runs. The UK Foreign, Commonwealth and Development Office funded the South Orkneys regional model development, which used the ARCHER UK (www.archer.ac.uk) National Supercomputing Service. We thank J. M. van Wessem for providing RACMO output, and the National Oceanography Centre, Southampton for access to global NEMO model output. We thank two anonymous reviewers, whose comments helped us improve the original manuscript</t>
  </si>
  <si>
    <t>0924-7963</t>
  </si>
  <si>
    <t>1879-1573</t>
  </si>
  <si>
    <t>J MARINE SYST</t>
  </si>
  <si>
    <t>J. Mar. Syst.</t>
  </si>
  <si>
    <t>10.1016/j.jmarsys.2023.103920</t>
  </si>
  <si>
    <t>Geosciences, Multidisciplinary; Marine &amp; Freshwater Biology; Oceanography</t>
  </si>
  <si>
    <t>Geology; Marine &amp; Freshwater Biology; Oceanography</t>
  </si>
  <si>
    <t>S0VU6</t>
  </si>
  <si>
    <t>hybrid, Green Accepted</t>
  </si>
  <si>
    <t>WOS:001068440200001</t>
  </si>
  <si>
    <t>Bester, MN; van Ouwerkerk, M</t>
  </si>
  <si>
    <t>Bester, M. N.; van Ouwerkerk, M.</t>
  </si>
  <si>
    <t>Aspects of the skin morphology in the sub-Antarctic fur seal Arctocephalus tropicalis</t>
  </si>
  <si>
    <t>ZOOMORPHOLOGY</t>
  </si>
  <si>
    <t>Epidermis; Dermis; Hair follicles; Pinnipeds; Sweat glands; Thermoregulation</t>
  </si>
  <si>
    <t>TEMPERATURE REGULATION; SWEAT GLANDS; THERMOREGULATION</t>
  </si>
  <si>
    <t>The present study examined whether sweat glands are present in the skin of sub-Antarctic fur seals, Arctocephalus tropicalis, using standard histological procedures and light microscopy. Aspects of the microanatomy and histology of skin were described to elucidate structure and function. Sweat glands were present both in the furred areas of the body trunk, as well as in naked skin areas of the flippers. The density of the apocrine sweat glands appeared higher in fur-covered areas than in naked areas, while the size of sweat glands was similar amongst naked and fur-covered skin. The superficial position of sweat glands in the dermis of naked skin areas and the large, coiled, tubular nature of the secretory portion seem to indicate sweat gland activity in contrast to the deep lying, narrow sweat glands in fur-covered areas.</t>
  </si>
  <si>
    <t>[Bester, M. N.; van Ouwerkerk, M.] Univ Pretoria, Mammal Res Inst, Dept Zool &amp; Entomol, Private Bag X20, ZA-0028 Hatfield, South Africa</t>
  </si>
  <si>
    <t>University of Pretoria</t>
  </si>
  <si>
    <t>Bester, MN (corresponding author), Univ Pretoria, Mammal Res Inst, Dept Zool &amp; Entomol, Private Bag X20, ZA-0028 Hatfield, South Africa.</t>
  </si>
  <si>
    <t>mnbester@zoology.up.ac.za</t>
  </si>
  <si>
    <t>Open access funding provided by University of Pretoria.</t>
  </si>
  <si>
    <t>0720-213X</t>
  </si>
  <si>
    <t>1432-234X</t>
  </si>
  <si>
    <t>Zoomorphology</t>
  </si>
  <si>
    <t>10.1007/s00435-023-00619-2</t>
  </si>
  <si>
    <t>Anatomy &amp; Morphology; Zoology</t>
  </si>
  <si>
    <t>W1AJ9</t>
  </si>
  <si>
    <t>WOS:001063455000001</t>
  </si>
  <si>
    <t>Gonzalez, A; Vihervaara, P; Balvanera, P; Bates, AE; Bayraktarov, E; Bellingham, PJ; Bruder, A; Campbell, J; Catchen, MD; Cavender-Bares, J; Chase, J; Coops, N; Costello, MJ; Dornelas, M; Dubois, G; Duffy, EJ; Eggermont, H; Fernandez, N; Ferrier, S; Geller, GN; Gill, M; Gravel, D; Guerra, CA; Guralnick, R; Harfoot, M; Hirsch, T; Hoban, S; Hughes, AC; Hunter, ME; Isbell, F; Jetz, W; Juergens, N; Kissling, WD; Krug, CB; Le Bras, Y; Leung, B; Londoño-Murcia, MC; Lord, JM; Loreau, M; Luers, A; Ma, KP; Macdonald, AJ; Mcgeoch, M; Millette, KL; Molnar, Z; Mori, AS; Muller-Karger, FE; Muraoka, H; Navarro, L; Newbold, T; Niamir, A; Obura, D; O'Connor, M; Paganini, M; Pelletier, D; Pereira, H; Poisot, T; Pollock, LJ; Purvis, A; Radulovici, A; Rocchini, D; Schaepman, M; Schaepman-Strub, G; Schmeller, DS; Schmiedel, U; Schneider, FD; Shakya, MM; Skidmore, A; Skowno, AL; Takeuchi, Y; Tuanmu, MN; Turak, E; Turner, W; Urban, MC; Urbina-Cardona, N; Valbuena, R; van Havre, B; Wright, E</t>
  </si>
  <si>
    <t>Gonzalez, Andrew; Vihervaara, Petteri; Balvanera, Patricia; Bates, Amanda E.; Bayraktarov, Elisa; Bellingham, Peter J.; Bruder, Andreas; Campbell, Jillian; Catchen, Michael D.; Cavender-Bares, Jeannine; Chase, Jonathan; Coops, Nicholas; Costello, Mark J.; Dornelas, Maria; Dubois, Gregoire; Duffy, Emmett J.; Eggermont, Hilde; Fernandez, Nestor; Ferrier, Simon; Geller, Gary N.; Gill, Michael; Gravel, Dominique; Guerra, Carlos A.; Guralnick, Robert; Harfoot, Michael; Hirsch, Tim; Hoban, Sean; Hughes, Alice C.; Hunter, Margaret E.; Isbell, Forest; Jetz, Walter; Juergens, Norbert; Kissling, W. Daniel; Krug, Cornelia B.; Le Bras, Yvan; Leung, Brian; Londono-Murcia, Maria Cecilia; Lord, Jean-Michel; Loreau, Michel; Luers, Amy; Ma, Keping; Macdonald, Anna J.; Mcgeoch, Melodie; Millette, Katie L.; Molnar, Zsolt; Mori, Akira S.; Muller-Karger, Frank E.; Muraoka, Hiroyuki; Navarro, Laetitia; Newbold, Tim; Niamir, Aidin; Obura, David; O'Connor, Mary; Paganini, Marc; Pelletier, Dominique; Pereira, Henrique; Poisot, Timothee; Pollock, Laura J.; Purvis, Andy; Radulovici, Adriana; Rocchini, Duccio; Schaepman, Michael; Schaepman-Strub, Gabriela; Schmeller, Dirk S.; Schmiedel, Ute; Schneider, Fabian D.; Shakya, Mangal Man; Skidmore, Andrew; Skowno, Andrew L.; Takeuchi, Yayoi; Tuanmu, Mao-Ning; Turak, Eren; Turner, Woody; Urban, Mark C.; Urbina-Cardona, Nicolas; Valbuena, Ruben; van Havre, Basile; Wright, Elaine</t>
  </si>
  <si>
    <t>A global biodiversity observing system to unite monitoring and guide action</t>
  </si>
  <si>
    <t>NATURE ECOLOGY &amp; EVOLUTION</t>
  </si>
  <si>
    <t>The rate and extent of global biodiversity change is surpassing our ability to measure, monitor and forecast trends. We propose an interconnected worldwide system of observation networks - a global biodiversity observing system (GBiOS) - to coordinate monitoring worldwide and inform action to reach international biodiversity targets.</t>
  </si>
  <si>
    <t>[Gonzalez, Andrew; Catchen, Michael D.; Leung, Brian; Pollock, Laura J.] McGill Univ, Dept Biol, Grp Earth Observat Biodivers Observat Network, Montreal, PQ, Canada; [Vihervaara, Petteri] Finnish Environm Inst, Helsinki, Finland; [Balvanera, Patricia] Univ Nacl Autonoma Mexico, Inst Invest Ecosistemas &amp; Sustentabilidad IIES, Morelia, Mexico; [Bates, Amanda E.] Univ Victoria, Biol Dept, Victoria, BC, Canada; [Bayraktarov, Elisa] Griffith Univ, Res Specialised &amp; Data Fdn, EcoCommons Australia, Nathan, Qld, Australia; [Bellingham, Peter J.] Manaaki Whenua Landcare Res, Lincoln, New Zealand; [Bruder, Andreas] Univ Appl Sci &amp; Arts Southern Switzerland, Inst Microbiol, Mendrisio, Switzerland; [Campbell, Jillian] Secretariat Convent Biol Divers, Montreal, PQ, Canada; [Cavender-Bares, Jeannine; Isbell, Forest] Univ Minnesota, Dept Ecol Evolut &amp; Behav, St Paul, MN USA; [Chase, Jonathan; Fernandez, Nestor; Guerra, Carlos A.; Pereira, Henrique] German Ctr Integrat Biodivers Res iDiv, Halle, Germany; [Chase, Jonathan; Fernandez, Nestor] Martin Luther Univ Halle Wittenberg, Dept Comp Sci, D-06120 Halle, Germany; [Coops, Nicholas] Univ British Columbia, Vancouver, BC, Canada; [Costello, Mark J.] Nord Univ, Fac Biosci &amp; Aquaculture, Bodo, Norway; [Dornelas, Maria] Univ St Andrews, Ctr Biol Divers, St Andrews, Scotland; [Dornelas, Maria] Univ Lisbon, Fac Ciencias, Guia Marine Lab, MARE, Cascais, Portugal; [Dubois, Gregoire] European Commiss, Knowledge Ctr Biodivers, Joint Res Ctr, Ispra, Italy; [Duffy, Emmett J.] Smithsonian Environm Res Ctr, Tennenbaum Marine Observ Network, Edgewater, MD USA; [Duffy, Emmett J.] Smithsonian Environm Res Ctr, MarineGEO program, Edgewater, MD USA; [Eggermont, Hilde] Belgian Sci Policy Off, Belgian Biodivers Platform Biodiversa, Brussels, Belgium; [Ferrier, Simon] CSIRO Environm, Canberra, ACT, Australia; [Geller, Gary N.; Schneider, Fabian D.] CALTECH, NASA, Jet Prop Lab, Pasadena, CA USA; [Gill, Michael] NatureServe, Arlington, VA USA; [Gravel, Dominique] Univ Sherbrooke, Dept Biol, Sherbrooke, PQ, Canada; [Guerra, Carlos A.] Univ Leipzig, Dept Biol, Leipzig, Germany; [Guralnick, Robert] Univ Florida, Dept Nat Hist, Florida Museum Nat Hist, Gainesville, FL 32611 USA; [Harfoot, Michael] Vizzuality, Madrid, Spain; [Hirsch, Tim] Global Biodivers Informat Facil, Copenhagen, Denmark; [Hoban, Sean] Morton Arboretum, Ctr Tree Sci, Lisle, IL 60532 USA; [Hughes, Alice C.] Univ Hong Kong, Sch Biol Sci, Hong Kong, Peoples R China; [Hunter, Margaret E.] US Geol Survey, Wetland &amp; Aquat Res Ctr, Sirenia Project, Gainesville, FL USA; [Jetz, Walter] Yale Univ, Ctr Biodivers &amp; Global Change, Dept Ecol &amp; Evolutionary Biol, New Haven, CT USA; [Juergens, Norbert; Schmiedel, Ute] Univ Hamburg, Inst Plant Sci &amp; Microbiol, Hamburg, Germany; [Kissling, W. Daniel] Univ Amsterdam, Inst Biodivers &amp; Ecosyst Dynam IBED, Amsterdam, Netherlands; [Krug, Cornelia B.] Univ Zurich, Dept Evolutionary Biol &amp; Environm Studies, bioDISCOVERY, Zurich, Switzerland; [Le Bras, Yvan] Museum Natl Hist Nat, Pole Natl donnees biodivers, PatriNat, Paris, France; [Le Bras, Yvan] Stn Marine Concarneau, Concarneau, France; [Londono-Murcia, Maria Cecilia] Alexander von Humboldt Biol Resources Res Inst, Bogota, Colombia; [Lord, Jean-Michel; Millette, Katie L.; Radulovici, Adriana] McGill Univ, Dept Biol, Grp Earth Observat Biodivers Observat Network GEO, Montreal, PQ, Canada; [Loreau, Michel] CNRS, Theoret &amp; Expt Ecol Stn, Moulis, France; [Luers, Amy] Microsoft, Redmond, WA USA; [Ma, Keping] Chinese Acad Sci, Inst Bot, Beijing, Peoples R China; [Macdonald, Anna J.] Dept Climate Change Energy Environm &amp; Water, Australian Antarctic Div, Kingston, Tas, Australia; [Mcgeoch, Melodie] La Trobe Univ, Dept Environm &amp; Genet, Securing Antarct Environm Future, Melbourne, Vic 3086, Australia; [Molnar, Zsolt] Inst Ecol &amp; Bot, Ctr Ecol Res, Vacratot, Hungary; [Mori, Akira S.] Univ Tokyo, Res Ctr Adv Sci &amp; Technol, Tokyo, Japan; [Muller-Karger, Frank E.] Univ S Florida, Coll Marine Sci, St Petersburg, FL USA; [Muraoka, Hiroyuki] Gifu Univ, River Basin Res Ctr, Gifu, Japan; [Muraoka, Hiroyuki; Takeuchi, Yayoi] Natl Inst Environm Studies, Biodivers Div, Tsukuba, Japan; [Navarro, Laetitia] Estn Biol Donana EBD CSIC, Seville 41092, Spain; [Newbold, Tim] UCL, Ctr Biodivers &amp; Environm Res, London, England; [Niamir, Aidin] Senckenberg Biodivers &amp; Climate Res Inst, Frankfurt, Germany; [Obura, David] CORDIO East Africa, Mombasa, Kenya; [O'Connor, Mary] Univ British Columbia, Biodivers Res Ctr, Vancouver, BC, Canada; [O'Connor, Mary] Univ British Columbia, Dept Zool, Vancouver, BC, Canada; [Paganini, Marc] ESRIN Largo Galileo Galilei, Frascati, Italy; [Pereira, Henrique] Martin Luther Univ Halle Wittenberg, Inst Biol, Halle, Saale, Germany; [Poisot, Timothee] Univ Montreal, Dept Sci Biol, Montreal, PQ, Canada; [Purvis, Andy] Nat Hist Museum, Dept Life Sci, London, England; [Purvis, Andy] Imperial Coll London, Dept Life Sci, Ascot, England; [Rocchini, Duccio] Univ Bologna, Dept Biol Geol &amp; Environm Sci, Bologna, Italy; [Schaepman, Michael] Univ Zurich, Dept Geog, Remote Sensing Labs, Zurich, Switzerland; [Schaepman-Strub, Gabriela] Univ Zurich, Dept Evolutionary Biol &amp; Environm Studies, Zurich, Switzerland; [Schmeller, Dirk S.] Univ Toulouse, Lab ecol fonct &amp; environm, UPS, CNRS,INPT, Toulouse, France; [Shakya, Mangal Man] Wildlife Watch Grp, Kathmandu, Nepal; [Skidmore, Andrew] Univ Twente, Fac Geoinformat Sci &amp; Earth Observat ITC, Enschede, Netherlands; [Skowno, Andrew L.] Kirstenbosch Natl Bot Gardens, South African Natl Biodivers Inst, Cape Town, South Africa; [Skowno, Andrew L.] Univ Cape Town, Dept Biol Sci, Cape Town, South Africa; [Tuanmu, Mao-Ning] Acad Sinica, Themat Ctr Systemat &amp; Biodivers Informat, Biodivers Res Ctr, Taipei, Taiwan; [Turak, Eren] NSW Dept Planning &amp; Environm, Parramatta, NSW, Australia; [Turner, Woody] NASA Headquarters, Earth Sci Div, Washington, DC USA; [Urban, Mark C.] Univ Connecticut, Ctr Biol Risk, Storrs, CT USA; [Urban, Mark C.] Univ Connecticut, Dept Ecol &amp; Evolutionary Biol, Storrs, CT USA; [Urbina-Cardona, Nicolas] Pontificia Univ Javeriana, Fac Estudios Ambientales &amp; Rurales, Dept Ecol &amp; Terr, Bogota, Colombia; [Valbuena, Ruben] Swedish Univ Agr Sci SLU, Dept Forest Resource Management, Div Remote Sensing Forests, Umea, Sweden; [van Havre, Basile] Environm &amp; Climate Change Canada, Gatineau, PQ, Canada; [Wright, Elaine] NZ Dept Conservat, Christchurch, New Zealand; [Pelletier, Dominique] French Inst Exploitat Sea, Lorient, France</t>
  </si>
  <si>
    <t>McGill University; Finnish Environment Institute; Universidad Nacional Autonoma de Mexico; University of Victoria; Griffith University; Landcare Research - New Zealand; University of Minnesota System; University of Minnesota Twin Cities; Martin Luther University Halle Wittenberg; University of British Columbia; Nord University; University of St Andrews; Universidade de Lisboa; European Commission Joint Research Centre; EC JRC ISPRA Site; Smithsonian Institution; Smithsonian Environmental Research Center; Smithsonian Institution; Smithsonian Environmental Research Center; California Institute of Technology; National Aeronautics &amp; Space Administration (NASA); NASA Jet Propulsion Laboratory (JPL); Nature Conservancy; University of Sherbrooke; Leipzig University; State University System of Florida; University of Florida; University of Hong Kong; United States Department of the Interior; United States Geological Survey; Yale University; University of Hamburg; University of Amsterdam; University of Zurich; Museum National d'Histoire Naturelle (MNHN); McGill University; Centre National de la Recherche Scientifique (CNRS); Microsoft; Chinese Academy of Sciences; Institute of Botany, CAS; Australian Antarctic Division; La Trobe University; Melbourne Genomics Health Alliance; Hungarian Academy of Sciences; Hungarian Research Network; HUN-REN Centre for Ecological Research; University of Tokyo; State University System of Florida; University of South Florida; Gifu University; National Institute for Environmental Studies - Japan; Consejo Superior de Investigaciones Cientificas (CSIC); CSIC - Estacion Biologica de Donana (EBD); University of London; University College London; University of British Columbia; University of British Columbia; Martin Luther University Halle Wittenberg; Universite de Montreal; Natural History Museum London; Imperial College London; University of Bologna; University of Zurich; University of Zurich; Universite de Toulouse; Universite Federale Toulouse Midi-Pyrenees (ComUE); Universite Toulouse III - Paul Sabatier; Institut National Polytechnique de Toulouse; Centre National de la Recherche Scientifique (CNRS); University of Twente; South African National Biodiversity Institute; University of Cape Town; Academia Sinica - Taiwan; National Aeronautics &amp; Space Administration (NASA); Mary W. Jackson NASA Headquarters; University of Connecticut; University of Connecticut; Pontificia Universidad Javeriana; Swedish University of Agricultural Sciences; Environment &amp; Climate Change Canada</t>
  </si>
  <si>
    <t>Gonzalez, A (corresponding author), McGill Univ, Dept Biol, Grp Earth Observat Biodivers Observat Network, Montreal, PQ, Canada.</t>
  </si>
  <si>
    <t>andrew.gonzalez@mcgill.ca</t>
  </si>
  <si>
    <t>Hughes, Alice C./HCH-3838-2022; Schaepman-Strub, Gabriela/D-8785-2011; Poisot, Timothée/JXX-4975-2024; Maes, Joachim/ABG-8549-2020; Chase, Jonathan/JUV-4326-2023; Urbina-Cardona, J. Nicolas/B-5447-2008; Bruder, Andreas/AFC-9051-2022; Isbell, Forest/C-6915-2012; Dornelas, Maria/E-3595-2010; Dubois, Gregoire/AAM-6513-2020; Mori, Akira S/A-6570-2013; Niamir, Aidin/G-5779-2011; Schmeller, Dirk S./F-4324-2010; Jetz, Walter/ABF-1517-2020; Hoban, Sean M/E-1530-2011; Poisot, Timothée/B-2245-2010; Juergens, Norbert/K-4792-2013; Navarro, Laetitia/U-1899-2017; Purvis, Andy/A-7529-2008</t>
  </si>
  <si>
    <t>Hughes, Alice C./0000-0002-4899-3158; Schaepman-Strub, Gabriela/0000-0002-4069-1884; Poisot, Timothée/0000-0002-0735-5184; Maes, Joachim/0000-0002-8272-1607; Urbina-Cardona, J. Nicolas/0000-0002-4174-8467; Bruder, Andreas/0000-0002-4591-491X; Isbell, Forest/0000-0001-9689-769X; Dubois, Gregoire/0000-0002-0515-7168; Mori, Akira S/0000-0002-8422-1198; Niamir, Aidin/0000-0003-4511-3407; Schmeller, Dirk S./0000-0002-3860-9933; Juergens, Norbert/0000-0003-3211-0549; Catchen, Michael David/0000-0002-6506-6487; Lord, Jean-Michel/0009-0007-3826-1125; Hirsch, Tim/0000-0002-5015-5807; Duffy, J. Emmett/0000-0001-8595-6391; Tuanmu, Mao-Ning/0000-0002-8233-2935; Navarro, Laetitia/0000-0003-1099-5147; Takeuchi, Yayoi/0000-0002-8402-7854; Vihervaara, Petteri/0000-0002-5889-8402; Pelletier, Dominique/0000-0003-2420-1942; Purvis, Andy/0000-0002-8609-6204; Millette, Katie/0000-0001-9638-1538</t>
  </si>
  <si>
    <t>Liber Ero Chair in Biodiversity Conservation</t>
  </si>
  <si>
    <t>To the memory of Bob Scholes who contributed so much to GEO BON and the vision of the GBiOS. A.G. is supported by the Liber Ero Chair in Biodiversity Conservation. Any use of trade, product or firm names is for descriptive purposes only and does not imply endorsement by the United States Government. This research was carried out, in part, at the Jet Propulsion Laboratory, California Institute of Technology, under a contract with the National Aeronautics and Space Administration (80NM0018D0004). The first draft was written and prepared by A.G. All authors have read and commented on the paper.</t>
  </si>
  <si>
    <t>2397-334X</t>
  </si>
  <si>
    <t>NAT ECOL EVOL</t>
  </si>
  <si>
    <t>Nat. Ecol. Evol.</t>
  </si>
  <si>
    <t>10.1038/s41559-023-02171-0</t>
  </si>
  <si>
    <t>GP5L7</t>
  </si>
  <si>
    <t>Green Published, Green Submitted</t>
  </si>
  <si>
    <t>WOS:001059917500001</t>
  </si>
  <si>
    <t>Luo, FY; Ying, J; Liu, TY; Chen, DK</t>
  </si>
  <si>
    <t>Luo, Fengyun; Ying, Jun; Liu, Tongya; Chen, Dake</t>
  </si>
  <si>
    <t>Origins of Southern Ocean warm sea surface temperature bias in CMIP6 models</t>
  </si>
  <si>
    <t>NPJ CLIMATE AND ATMOSPHERIC SCIENCE</t>
  </si>
  <si>
    <t>OVERTURNING CIRCULATION; IN-SITU; CLOSURE; WATER; ICE</t>
  </si>
  <si>
    <t>The warm sea surface temperature (SST) bias in the Southern Ocean (SO) has persisted in several generations of Coupled Model Inter-comparison Project (CMIP) models, yet the origins of such a bias remain controversial. Using the latest CMIP6 models, here we find that the warm SST bias in the SO features a zonally oriented non-uniform pattern mainly located between the northern and southern fronts of the Antarctic Circumpolar Current. This common bias is not likely to be caused by the biases in the surface heat flux or the strength of the Atlantic meridional overturning circulation (AMOC) - the two previously suggested sources of the SO bias based on CMIP5 models. Instead, it is linked to the robust common warm bias in the Northern Atlantic deep ocean through the AMOC transport as an adiabatic process. Our findings indicate that remote oceanic biases that are dynamically connected to the SO should be taken into account to reduce the SO SST bias in climate models.</t>
  </si>
  <si>
    <t>[Luo, Fengyun; Chen, Dake] Zhejiang Univ, Ocean Coll, Zhoushan, Peoples R China; [Luo, Fengyun; Ying, Jun; Liu, Tongya; Chen, Dake] Minist Nat Resources, Inst Oceanog 2, State Key Lab Satellite Ocean Environm Dynam, Hangzhou, Peoples R China; [Ying, Jun; Liu, Tongya; Chen, Dake] Southern Marine Sci &amp; Engn Guangdong Lab Zhuhai, Zhuhai, Peoples R China</t>
  </si>
  <si>
    <t>Zhejiang University; Ministry of Natural Resources of the People's Republic of China; Southern Marine Science &amp; Engineering Guangdong Laboratory; Southern Marine Science &amp; Engineering Guangdong Laboratory (Zhuhai)</t>
  </si>
  <si>
    <t>Chen, DK (corresponding author), Zhejiang Univ, Ocean Coll, Zhoushan, Peoples R China.;Ying, J; Chen, DK (corresponding author), Minist Nat Resources, Inst Oceanog 2, State Key Lab Satellite Ocean Environm Dynam, Hangzhou, Peoples R China.;Ying, J; Chen, DK (corresponding author), Southern Marine Sci &amp; Engn Guangdong Lab Zhuhai, Zhuhai, Peoples R China.</t>
  </si>
  <si>
    <t>yingjun@sio.org.cn; dchen@sio.org.cn</t>
  </si>
  <si>
    <t>We acknowledge the effort of the World Climate Research Program's Working Group on Coupled Modeling, which coordinated and promoted CMIP6. We also thank the climate modeling groups for producing and making available their model output, and the Earth System; Earth System Grid Federation [QNYC2001]; National Natural Science Foundation of China [311021001]; Scientific Research Fund of the Second Institute of Oceanography, Ministry of Natural Resources; Innovation Group Project of the Southern Marine Science and Engineering Guangdong Laboratory (Zhuhai); [42227901]</t>
  </si>
  <si>
    <t>We acknowledge the effort of the World Climate Research Program's Working Group on Coupled Modeling, which coordinated and promoted CMIP6. We also thank the climate modeling groups for producing and making available their model output, and the Earth System; Earth System Grid Federation; National Natural Science Foundation of China(National Natural Science Foundation of China (NSFC)); Scientific Research Fund of the Second Institute of Oceanography, Ministry of Natural Resources; Innovation Group Project of the Southern Marine Science and Engineering Guangdong Laboratory (Zhuhai);</t>
  </si>
  <si>
    <t>We acknowledge the effort of the World Climate Research Program's Working Group on Coupled Modeling, which coordinated and promoted CMIP6. We also thank the climate modeling groups for producing and making available their model output, and the Earth System Grid Federation (ESGF) for archiving the data and providing access. F.L. and J.Y. were supported by the National Natural Science Foundation of China (Grant 42227901), the Scientific Research Fund of the Second Institute of Oceanography, Ministry of Natural Resources (Grand QNYC2001), and the Innovation Group Project of the Southern Marine Science and Engineering Guangdong Laboratory (Zhuhai) (Grant 311021001). T.L. was supported by the National Natural Science Foundation of China (Grant 42106008). D.C. was supported by the National Natural Science Foundation of China (Grant 42227901).</t>
  </si>
  <si>
    <t>2397-3722</t>
  </si>
  <si>
    <t>NPJ CLIM ATMOS SCI</t>
  </si>
  <si>
    <t>npj Clim. Atmos. Sci.</t>
  </si>
  <si>
    <t>10.1038/s41612-023-00456-6</t>
  </si>
  <si>
    <t>Q0BQ9</t>
  </si>
  <si>
    <t>WOS:001054250700001</t>
  </si>
  <si>
    <t>Dreike, PL; Kaczmarowski, AK; Garrett, CD; Christiansen, G; Roesler, EL; Ivey, M</t>
  </si>
  <si>
    <t>Dreike, Philip L.; Kaczmarowski, Amy K.; Garrett, Christopher D.; Christiansen, Gregory; Roesler, Erika L.; Ivey, Mark</t>
  </si>
  <si>
    <t>Broadband radiometric measurements from GPS satellites reveal summertime Arctic Ocean Albedo decreases more rapidly than sea ice recedes</t>
  </si>
  <si>
    <t>POLAR AMPLIFICATION; DATA RECORD; CLIMATE; FEEDBACK; PROJECT; CLOUDS</t>
  </si>
  <si>
    <t>New measurements from the Arctic +/- 40 days around the summer solstice show reflected sunlight from north of 80 degrees N decreases 20-35%. Arctic sea ice coverage decreases 7- 9% over this same time period (as reported by the NSIDC) implying Arctic sea ice albedo decreases in addition to the sea ice receding. Similar Antarctic measurements provide a baseline to which Arctic measurements are compared. The Antarctic reflected sunlight south of 80 degrees S is up to 30% larger than the Arctic reflectance and is symmetric around the solstice implying constant Antarctic reflectivity. Arctic reflected sunlight 20 days after solstice is &gt; 100W/m(2) less than Antarctic reflected sunlight. For perspective, this is enough heat to melt &gt; 1 mm/hour of ice. This finding should be compared with climate models and in reanalysis data sets to further quantify sea ice albedo's role in Arctic Amplification. The measurements were made with previously unpublished pixelated radiometers on Global Positioning System satellites from 2014 to 2019. The GPS orbits give each radiometer instantaneous and continuous views of 37% of the Earth, two daily full views of the Arctic and Antarctic. Furthermore, the GPS constellation gives full-time full-Earth coverage that may provide data that complements existing limited field of view instruments that provide a less synoptic Earth view.</t>
  </si>
  <si>
    <t>[Dreike, Philip L.] Sandia Natl Labs, Space Ground Syst Program Grp, POB 5800,MS0968, Albuquerque, NM 87185 USA; [Kaczmarowski, Amy K.] Sandia Natl Labs, Syst Engn &amp; Anal Dept, POB 5800,MS0971, Albuquerque, NM 87185 USA; [Garrett, Christopher D.] Sandia Natl Labs, Integrat Test &amp; Anal Dept, POB 5800,MS0971, Albuquerque, NM 87185 USA; [Christiansen, Gregory] Sandia Natl Labs, Focal Plane Array &amp; Sensor Engn Dept, POB 5800,MS0971, Albuquerque, NM 87185 USA; [Roesler, Erika L.] Sandia Natl Labs, Atmospher Sci Dept, POB 5800,MS0750, Albuquerque, NM 87185 USA; [Ivey, Mark] Sandia Natl Labs, Geosci Res &amp; Applicat Grp, POB 5800, Albuquerque, NM 87185 USA</t>
  </si>
  <si>
    <t>United States Department of Energy (DOE); Sandia National Laboratories; United States Department of Energy (DOE); Sandia National Laboratories; United States Department of Energy (DOE); Sandia National Laboratories; United States Department of Energy (DOE); Sandia National Laboratories; United States Department of Energy (DOE); Sandia National Laboratories; United States Department of Energy (DOE); Sandia National Laboratories</t>
  </si>
  <si>
    <t>Dreike, PL (corresponding author), Sandia Natl Labs, Space Ground Syst Program Grp, POB 5800,MS0968, Albuquerque, NM 87185 USA.</t>
  </si>
  <si>
    <t>dreikepl@sandia.gov</t>
  </si>
  <si>
    <t>Roesler, Erika/0000-0001-9702-1737</t>
  </si>
  <si>
    <t>U.S. Department of Energy's National Nuclear Security Administration [NA0003525]</t>
  </si>
  <si>
    <t>U.S. Department of Energy's National Nuclear Security Administration(National Nuclear Security Administration)</t>
  </si>
  <si>
    <t>Sandia National Laboratories is a multimission laboratory managed and operated by National Technology &amp; Engineering Solutions of Sandia, LLC, a wholly owned subsidiary of Honeywell International, Inc., for the U.S. Department of Energy's National Nuclear Security Administration under contract DE-NA0003525. This written work is authored by an employee of NTESS. The employee, not NTESS, owns the right, title and interest in and to the written work and is responsible for its contents. Any subjective views or opinions that might be expressed in the written work do not necessarily represent the views of the U.S. Government. The publisher acknowledges that the U.S. Government retains a non-exclusive, paid-up, irrevocable, world-wide license to publish or reproduce the published form of this written work or allow others to do so, for U.S. Government purposes. The DOE will provide public access to results of federally sponsored research in accordance with the DOE Public Access Plan.~The authors thank Dr. Kara Peterson of Sandia for a valuable review of the paper and Mr. Corey Griffiths of USSF for working with us on the public release of the radiometer data.</t>
  </si>
  <si>
    <t>AUG 23</t>
  </si>
  <si>
    <t>10.1038/s41598-023-39877-x</t>
  </si>
  <si>
    <t>R9RV7</t>
  </si>
  <si>
    <t>WOS:001067659900008</t>
  </si>
  <si>
    <t>Ross, FWR; Clark, DE; Albot, O; Berthelsen, A; Bulmer, R; Crawshaw, J; Macreadie, PI</t>
  </si>
  <si>
    <t>Ross, Finnley W. R.; Clark, Dana E.; Albot, Olga; Berthelsen, Anna; Bulmer, Richard; Crawshaw, Josie; Macreadie, Peter I.</t>
  </si>
  <si>
    <t>A preliminary estimate of the contribution of coastal blue carbon to climate change mitigation in New Zealand</t>
  </si>
  <si>
    <t>NEW ZEALAND JOURNAL OF MARINE AND FRESHWATER RESEARCH</t>
  </si>
  <si>
    <t>Climate change; blue carbon; saltmarsh; seagrass; mangrove; restoration; conservation; carbon sequestration; tidal marsh; New Zealand</t>
  </si>
  <si>
    <t>SEAGRASS MEADOWS; MANGROVE</t>
  </si>
  <si>
    <t>The scale at which New Zealand is currently storing and sequestering blue carbon, and could create additional blue carbon via restoration, has been unclear. Here, we calculate a preliminary estimate for the current extent of three key blue carbon ecosystems (saltmarshes, mangrove forests and seagrass meadows), their carbon stocks and their carbon sequestration rates using the best available data to provide a preliminary estimate of blue carbon in New Zealand. We also use local examples to explore opportunities to create additional blue carbon. Based on the available literature, we estimate the current extent of New Zealand's blue carbon ecosystems to be 76,152 ha, which is 1.0% of the area of terrestrial native forests. Our preliminary estimate of New Zealand's blue carbon stock is 2.66-3.76 Mt of carbon, with a current carbon sequestration rate of 0.12 (0.05-0.26) Mt/CO2/yr, which is equivalent to 0.16% of New Zealand's 2021 gross emissions. Restoration of saltmarshes could enhance their carbon sink capacity, mangrove forests are naturally expanding and seagrass meadow restoration techniques at scale are still in development. Developing a national framework for blue carbon protection, monitoring and restoration is important as part of New Zealand's climate change mitigation and adaptation efforts.</t>
  </si>
  <si>
    <t>[Ross, Finnley W. R.; Macreadie, Peter I.] Deakin Univ, Ctr Integrat Ecol, Sch Life &amp; Environm Sci, Burwood, Australia; [Clark, Dana E.; Berthelsen, Anna] Cawthron Inst, Hlth Oceans, Nelson, New Zealand; [Albot, Olga] Victoria Univ Wellington, Antarctic Res Ctr, Wellington, New Zealand; [Albot, Olga] Nat Conservancy Aotearoa New Zealand, Wellington, New Zealand; [Bulmer, Richard] Tidal Res, Auckland, New Zealand; [Crawshaw, Josie] Bay Plenty Reg Council, Tauranga, New Zealand; [Crawshaw, Josie] Univ Waikato, Sch Sci, Hamilton, New Zealand</t>
  </si>
  <si>
    <t>Deakin University; Cawthron Institute; Victoria University Wellington; University of Waikato</t>
  </si>
  <si>
    <t>Ross, FWR (corresponding author), Deakin Univ, Ctr Integrat Ecol, Sch Life &amp; Environm Sci, Burwood, Australia.</t>
  </si>
  <si>
    <t>fwross@deakin.edu.au</t>
  </si>
  <si>
    <t>ROSS, FINNLEY WILLIAM RIVER/0000-0003-0221-6078</t>
  </si>
  <si>
    <t>Deakin University; Sea Green Pte Ltd.; Cawthron Institute; Australian Research Council Discovery Project [DP200100575]; MBIE Smart Idea Project [C01X2109]; MBIE through the Global Change through Time Programme (Strategic Science Investment Fund [C05X1702]; MBIE to the Research Trust at Victoria University of Wellington [RTVU1705]</t>
  </si>
  <si>
    <t>Deakin University; Sea Green Pte Ltd.; Cawthron Institute; Australian Research Council Discovery Project(Australian Research Council); MBIE Smart Idea Project; MBIE through the Global Change through Time Programme (Strategic Science Investment Fund; MBIE to the Research Trust at Victoria University of Wellington</t>
  </si>
  <si>
    <t>This work was supported by Deakin University; Sea Green Pte Ltd.; Cawthron Institute; Australian Research Council Discovery Project [grant number DP200100575]; MBIE Smart Idea Project [grant number C01X2109]; MBIE through the Global Change through Time Programme (Strategic Science Investment Fund, contract C05X1702); NZ SeaRise Programme funded by MBIE to the Research Trust at Victoria University of Wellington (Contract ID - RTVU1705).</t>
  </si>
  <si>
    <t>TAYLOR &amp; FRANCIS LTD</t>
  </si>
  <si>
    <t>ABINGDON</t>
  </si>
  <si>
    <t>2-4 PARK SQUARE, MILTON PARK, ABINGDON OR14 4RN, OXON, ENGLAND</t>
  </si>
  <si>
    <t>0028-8330</t>
  </si>
  <si>
    <t>1175-8805</t>
  </si>
  <si>
    <t>NEW ZEAL J MAR FRESH</t>
  </si>
  <si>
    <t>N. Z. J. Mar. Freshw. Res.</t>
  </si>
  <si>
    <t>2023 AUG 23</t>
  </si>
  <si>
    <t>10.1080/00288330.2023.2245770</t>
  </si>
  <si>
    <t>Fisheries; Marine &amp; Freshwater Biology; Oceanography</t>
  </si>
  <si>
    <t>R6NT2</t>
  </si>
  <si>
    <t>WOS:001065510700001</t>
  </si>
  <si>
    <t>Napolitano, C; Sacristán, I; Acuña, F; Aguilar, E; García, S; López-Jara, MJ; Cabello, J; Hidalgo-Hermoso, E; Poulin, E; Grueber, CE</t>
  </si>
  <si>
    <t>Napolitano, Constanza; Sacristan, Irene; Acuna, Francisca; Aguilar, Emilio; Garcia, Sebastian; Lopez-Jara, Maria Jose; Cabello, Javier; Hidalgo-Hermoso, Ezequiel; Poulin, Elie; Grueber, Catherine E.</t>
  </si>
  <si>
    <t>Assessing micro-macroparasite selective pressures and anthropogenic disturbance as drivers of immune gene diversity in a Neotropical wild cat</t>
  </si>
  <si>
    <t>Major histocompatibility complex (MHC); Leopardus guigna; Human-dominated landscapes; Chile; Genetic diversity</t>
  </si>
  <si>
    <t>MAJOR HISTOCOMPATIBILITY COMPLEX; MHC CLASS-I; LEUKEMIA-VIRUS INFECTION; NATURAL-SELECTION; LEOPARDUS-GUIGNA; ONCIFELIS-GUIGNA; BALANCING SELECTION; DOMESTIC CATS; PARASITE LOAD; HABITAT USE</t>
  </si>
  <si>
    <t>Anthropogenic environmental change is reducing available habitat for wild species, providing novel selection pressures such as infectious diseases and causing species to interact in new ways. The potential for emerging infectious diseases and zoonoses at the interface between humans, domestic animals, and wild species is a key global concern. In vertebrates, diversity at the major histocompatibility complex MHC is critical to disease resilience, and its study in wild populations provides insights into eco-evolutionary dynamics that human activities alter. In natural populations, variation at MHC loci is partly maintained by balancing selection, driven by pathogenic selective pressures. We hypothesize that MHC genetic diversity differs between guigna populations inhabiting human-dominated landscapes (higher pathogen pressures) versus more natural habitats (lower pathogen pressures). We predict that MHC diversity in guignas would be highest in human-dominated landscapes compared with continuous forest habitats. We also expected to find higher MHC diversity in guignas infected with micro and macro parasites (higher parasite load) versus non infected guignas. We characterized for the first time the genetic diversity at three MHC class I and II exons in 128 wild guignas (Leopardus guigna) across their distribution range in Chile (32-46 degrees S) and Argentina, representing landscapes with varying levels of human disturbance. We integrated MHC sequence diversity with multiple measures of anthropogenic disturbance and both micro and macro parasite infection data. We also assessed signatures of positive selection acting on MHC genes. We found significantly higher MHC class I diversity in guignas inhabiting landscapes where houses were present, and with lower percentage of vegetation cover, and also in animals with more severe cardiorespiratory helminth infection (richness and intensity) and micro-macroparasite co-infection. This comprehensive, landscape-level assessment further enhances our knowledge on the evolutionary dynamics and adaptive potential of vertebrates in the face of emerging infectious disease threats and increasing anthropogenic impacts.</t>
  </si>
  <si>
    <t>[Napolitano, Constanza; Acuna, Francisca] Univ Los Lagos, Dept Ciencias Biol &amp; Biodivers, Osorno, Chile; [Napolitano, Constanza; Poulin, Elie] Inst Ecol &amp; Biodivers IEB, Concepcion, Chile; [Napolitano, Constanza] Cape Horn Int Ctr CHIC, Puerto Williams, Chile; [Sacristan, Irene] Univ Andres Bello, Santiago, Chile; [Sacristan, Irene] Ctr Super Invest Cient CSIC, Natl Inst Agr &amp; Food Res &amp; Technol INIA, Anim Hlth Res Ctr, Madrid, Spain; [Acuna, Francisca; Aguilar, Emilio; Garcia, Sebastian; Lopez-Jara, Maria Jose] Univ Chile, Fac Ciencias Vet &amp; Pecuarias, Santiago, Chile; [Cabello, Javier] Chiloe Silvestre Ctr Conservat Biodivers, Ancud, Chile; [Hidalgo-Hermoso, Ezequiel] Fdn Buin Zoo, Panamericana Km 32, Buin, Chile; [Poulin, Elie] Univ Chile, Millennium Inst Biodivers Antarctic &amp; Subantarct E, Fac Ciencias, Santiago, Chile; [Grueber, Catherine E.] Univ Sydney, Fac Sci, Sch Life &amp; Environm Sci, Sydney, Australia; [Napolitano, Constanza] Ave Fuchslocher 1305, Osorno 5311157, Chile</t>
  </si>
  <si>
    <t>Universidad de Los Lagos; Universidad Andres Bello; Instituto Nacional Investigacion Tecnologia Agraria Alimentaria (INIA); Universidad de Chile; Universidad de Chile; University of Sydney</t>
  </si>
  <si>
    <t>Napolitano, C (corresponding author), Ave Fuchslocher 1305, Osorno 5311157, Chile.</t>
  </si>
  <si>
    <t>constanza.napolitano@ulagos.cl</t>
  </si>
  <si>
    <t>Poulin, Elie/C-2654-2012</t>
  </si>
  <si>
    <t>Poulin, Elie/0000-0001-7736-0969</t>
  </si>
  <si>
    <t>ANID Fondecyt Iniciacion; ANID [11150934]; ANID Fondecyt Regular [PAI 77190064]; ANID/BASAL [1220758, FB210018]; National Geographic Society [FB210006]; Morris Animal Foundation (MAF) [C309-15]; Mohamed bin Zayed Species Conservation Fund [D15ZO-413]; Australian government; Wild Felid Association; [152510351]</t>
  </si>
  <si>
    <t>ANID Fondecyt Iniciacion; ANID; ANID Fondecyt Regular; ANID/BASAL; National Geographic Society(National Geographic Society); Morris Animal Foundation (MAF); Mohamed bin Zayed Species Conservation Fund; Australian government(Australian Government); Wild Felid Association;</t>
  </si>
  <si>
    <t>This work was supported by ANID Fondecyt Iniciacion 11150934 (CN), ANID PAI 77190064 (CN), ANID Fondecyt Regular 1220758 (CN), ANID/BASAL FB210018 (CN), ANID/BASAL FB210006 (CN), National Geographic Society C309-15 (CN), Morris Animal Foundation (MAF) D15ZO-413 (CN), Mohamed bin Zayed Species Conservation Fund 152510351 (CN), 2018 Endeavour Research Fellowship from the Australian government (CN) and the Wild Felid Association (IS).</t>
  </si>
  <si>
    <t>10.1016/j.scitotenv.2023.166289</t>
  </si>
  <si>
    <t>S3OW8</t>
  </si>
  <si>
    <t>WOS:001070306100001</t>
  </si>
  <si>
    <t>Fan, S; Prior, DJ; Pooley, B; Bowman, H; Davidson, L; Wallis, D; Piazolo, S; Qi, C; Goldsby, DL; Hager, TF</t>
  </si>
  <si>
    <t>Fan, Sheng; Prior, David J.; Pooley, Brent; Bowman, Hamish; Davidson, Lucy; Wallis, David; Piazolo, Sandra; Qi, Chao; Goldsby, David L.; Hager, Travis F.</t>
  </si>
  <si>
    <t>Grain growth of natural and synthetic ice at 0 °C</t>
  </si>
  <si>
    <t>MICROSTRUCTURAL EVOLUTION; POLYCRYSTALLINE ICE; FLOW LAW; PART 1; CORE; DEFORMATION; TEMPERATURE; SHEET; SIZE; RECRYSTALLIZATION</t>
  </si>
  <si>
    <t>Grain growth can modify the microstructure of natural ice, including the grain size and crystallographic preferred orientation (CPO). To better understand grain-growth processes and kinetics, we compared microstructural data from synthetic and natural ice samples of similar starting grain sizes that were annealed at the solidus temperature (0 degrees C) for durations of a few hours to 33 d. The synthetic ice has a homogeneous initial microstructure characterized by polygonal grains, little intragranular distortion, few bubbles, and a near-random CPO. The natural ice samples were subsampled from ice cores acquired from the Priestley Glacier, Antarctica. This natural ice has a heterogeneous microstructure characterized by a considerable number of air bubbles, widespread intragranular distortion, and a CPO. During annealing, the average grain size of the natural ice barely changes, whereas the average grain size of the synthetic ice gradually increases. These observations demonstrate that grain growth in natural ice can be much slower than in synthetic ice and therefore that the grain-growth law derived from synthetic ice cannot be directly applied to estimate the grain-size evolution in natural ice with a different microstructure. The microstructure of natural ice is characterized by many bubbles that pin grain boundaries. Previous studies suggest that bubble pinning provides a resisting force that reduces the effective driving force of grain-boundary migration and is therefore linked to the inhibition of grain growth observed in natural ice. As annealing progresses, the number density (number per unit area) of bubbles on grain boundaries in the natural ice decreases, whilst the number density of bubbles in the grain interiors increases. This observation indicates that some grain boundaries sweep through bubbles, which should weaken the pinning effect and thus reduce the resisting force for grain-boundary migration. Some of the Priestley ice grains become abnormally large during annealing. We speculate that the contrast of dislocation density amongst neighbouring grains, which favours the selected growth of grains with low dislocation densities, and bubble pinning, which inhibits grain growth, are tightly associated with abnormal grain growth. The upper 10m of the Priestley ice core has a weaker CPO and better-developed second maximum than deeper samples. The similarity of this difference to the changes observed in annealing experiments suggests that abnormal grain growth may have occurred in the upper 10m of the Priestley Glacier during summer warming.</t>
  </si>
  <si>
    <t>[Fan, Sheng; Wallis, David] Univ Cambridge, Dept Earth Sci, Cambridge, England; [Fan, Sheng; Prior, David J.; Pooley, Brent; Bowman, Hamish; Davidson, Lucy] Univ Otago, Dept Geol, Dunedin, New Zealand; [Fan, Sheng] RSC, 93 Terrace, Wellington, New Zealand; [Piazolo, Sandra] Univ Leeds, Sch Earth &amp; Environm, Leeds, England; [Qi, Chao] Chinese Acad Sci, Inst Geol &amp; Geophys, Key Lab Earth &amp; Planetary Phys, Beijing, Peoples R China; [Qi, Chao] Univ Chinese, Acad Sci, Coll Earth &amp; Planetary Sci, Beijing, Peoples R China; [Goldsby, David L.; Hager, Travis F.] Univ Penn, Dept Earth &amp; Environm Sci, Philadelphia, PA USA</t>
  </si>
  <si>
    <t>University of Cambridge; University of Otago; University of Leeds; Chinese Academy of Sciences; Institute of Geology &amp; Geophysics, CAS; Chinese Academy of Sciences; University of Pennsylvania</t>
  </si>
  <si>
    <t>Fan, S (corresponding author), Univ Cambridge, Dept Earth Sci, Cambridge, England.;Fan, S (corresponding author), Univ Otago, Dept Geol, Dunedin, New Zealand.;Fan, S (corresponding author), RSC, 93 Terrace, Wellington, New Zealand.</t>
  </si>
  <si>
    <t>sf726@cam.ac.uk</t>
  </si>
  <si>
    <t>Wallis, David/L-9156-2013</t>
  </si>
  <si>
    <t>Bowman, Michael/0000-0002-0455-9421; Fan, Sheng/0000-0002-0404-1374</t>
  </si>
  <si>
    <t>New Zealand Ministry of Business, Innovation and Employment [NZARI 2020-1-5]; NewZealand Antarctic Research Institute [UOO1116]; Marsden Fund [UOO052, MR/V021788/1]; UK Research and Innovation Future Leaders Fellowship [41972232]; National NaturalScience Foundation of China (NSFC) [NNX15AM69G]; National Aeronautics and Space Administration; [ASP-023-03]</t>
  </si>
  <si>
    <t>New Zealand Ministry of Business, Innovation and Employment(New Zealand Ministry of Business, Innovation and Employment (MBIE)); NewZealand Antarctic Research Institute; Marsden Fund(Royal Society of New ZealandMarsden Fund (NZ)); UK Research and Innovation Future Leaders Fellowship(UK Research &amp; Innovation (UKRI)); National NaturalScience Foundation of China (NSFC)(National Natural Science Foundation of China (NSFC)); National Aeronautics and Space Administration(National Aeronautics &amp; Space Administration (NASA));</t>
  </si>
  <si>
    <t>This research has been supported by the NewZealand Antarctic Research Institute (grant no. NZARI 2020-1-5), the New Zealand Ministry of Business, Innovation and Employment through the Antarctic Science Platform (ANTA 1801) (grant no.ASP-023-03), the UK Research and Innovation Future Leaders Fellowship (grant no. MR/V021788/1), the Marsden Fund (grant nos.UOO1116 and UOO052), the National Aeronautics and Space Administration (grant no. NNX15AM69G), and the National NaturalScience Foundation of China (NSFC) (grant no. 41972232)</t>
  </si>
  <si>
    <t>10.5194/tc-17-3443-2023</t>
  </si>
  <si>
    <t>P8EE3</t>
  </si>
  <si>
    <t>WOS:001052939800001</t>
  </si>
  <si>
    <t>Paolo, FS; Gardner, AS; Greene, CA; Nilsson, J; Schodlok, MP; Schlegel, NJ; Fricker, HA</t>
  </si>
  <si>
    <t>Paolo, Fernando S.; Gardner, Alex S.; Greene, Chad A.; Nilsson, Johan; Schodlok, Michael P.; Schlegel, Nicole-Jeanne; Fricker, Helen A.</t>
  </si>
  <si>
    <t>Widespread slowdown in thinning rates of West Antarctic ice shelves</t>
  </si>
  <si>
    <t>AMUNDSEN SEA EMBAYMENT; PINE ISLAND GLACIER; BASAL MELT RATES; THWAITES GLACIER; ELEVATION CHANGE; FIRN PROCESSES; LEVEL RISE; SHEET; OCEAN; MODEL</t>
  </si>
  <si>
    <t>Antarctica's floating ice shelves modulate discharge of grounded ice into the ocean by providing a backstress. Ice shelf thinning and grounding line retreat have reduced this backstress, driving rapid drawdown of key unstable areas of the Antarctic Ice Sheet, leading to sea-level rise. If ice shelf loss continues, it may initiate irreversible glacier retreat through the marine ice sheet instability. Identification of areas undergoing significant change requires knowledge of spatial and temporal patterns in recent ice shelf loss. We used 26 years (1992-2017) of satellite-derived Antarctic ice shelf thickness, flow, and basal melt rates to construct a time-dependent dataset of ice shelf thickness and basal melt on a 3 km grid every 3 months. We used a novel data fusion approach, state-of-the-art satellite-derived velocities, and a new surface mass balance model. Our data revealed an overall pattern of thinning all around Antarctica, with a thinning slowdown starting around 2008 widespread across the Amundsen, Bellingshausen, and Wilkes sectors. We attribute this slowdown partly to modulation in external ocean forcing, altered in West Antarctica by negative feedbacks between ice shelf thinning rates and grounded ice flow, and sub-ice-shelf cavity geometry and basal melting. In agreement with earlier studies, the highest rates of ice shelf thinning are found for those ice shelves located in the Amundsen and Bellingshausen sectors. Our study reveals that over the 1992-2017 observational period the Amundsen and Bellingshausen ice shelves experienced a slight reduction in rates of basal melting, suggesting that high rates of thinning are largely a response to changes in ocean conditions that predate our satellite altimetry record, with shorter-term variability only resulting in small deviations from the long-term trend. Our work demonstrates that causal inference drawn from ice shelf thinning and basal melt rates must take into account complex feedbacks between thinning and ice advection and between ice shelf draft and basal melt rates.</t>
  </si>
  <si>
    <t>[Paolo, Fernando S.; Gardner, Alex S.; Greene, Chad A.; Nilsson, Johan; Schodlok, Michael P.; Schlegel, Nicole-Jeanne] CALTECH, Jet Prop Lab, Pasadena, CA 91125 USA; [Fricker, Helen A.] Univ Calif San Diego, Scripps Inst Oceanog, San Diego, CA USA</t>
  </si>
  <si>
    <t>National Aeronautics &amp; Space Administration (NASA); NASA Jet Propulsion Laboratory (JPL); California Institute of Technology; University of California System; University of California San Diego; Scripps Institution of Oceanography</t>
  </si>
  <si>
    <t>Paolo, FS; Gardner, AS (corresponding author), CALTECH, Jet Prop Lab, Pasadena, CA 91125 USA.</t>
  </si>
  <si>
    <t>fernando@globalfishingwatch.org; alex.s.gardner@jpl.nasa.gov</t>
  </si>
  <si>
    <t>Greene, Chad/HTQ-9931-2023</t>
  </si>
  <si>
    <t>Greene, Chad/0000-0001-6710-6297; Nilsson, Johan/0000-0002-1496-122X; Schlegel, Nicole-Jeanne/0000-0001-8035-448X; Fricker, Helen Amanda/0000-0002-0921-1432; Paolo, Fernando S./0000-0002-6439-2918</t>
  </si>
  <si>
    <t>NASA MEaSUREs program; NASA Cryosphere program; NASA</t>
  </si>
  <si>
    <t>NASA MEaSUREs program; NASA Cryosphere program; NASA(National Aeronautics &amp; Space Administration (NASA))</t>
  </si>
  <si>
    <t>This research has been supported by the NASA MEaSUREs program and the NASA Cryosphere program. The research described in this paper was carried out at the Jet Propulsion Laboratory, California Institute of Technology, under a contract with NASA.</t>
  </si>
  <si>
    <t>10.5194/tc-17-3409-2023</t>
  </si>
  <si>
    <t>P8CF8</t>
  </si>
  <si>
    <t>WOS:001052889200001</t>
  </si>
  <si>
    <t>Martin, CT; Aerts, R; Convey, P; Bokhorst, S</t>
  </si>
  <si>
    <t>Martin, C. T.; Aerts, R.; Convey, P.; Bokhorst, S.</t>
  </si>
  <si>
    <t>Contrasting impacts of non-native isopods and springtails on ecosystem processes under simulated Antarctic climate conditions</t>
  </si>
  <si>
    <t>SOIL BIOLOGY &amp; BIOCHEMISTRY</t>
  </si>
  <si>
    <t>Climate change; Cryptopygus antarcticus; Folsomia candida; Porcellio scaber; Invasion ecology</t>
  </si>
  <si>
    <t>FOLSOMIA-CANDIDA COLLEMBOLA; TERRESTRIAL ARTHROPOD FAUNA; BIOLOGICAL INVASIONS; ENVIRONMENTAL-CHANGE; FALKLAND ISLANDS; MARION ISLAND; LITTER; DECOMPOSITION; COMMUNITIES; EARTHWORMS</t>
  </si>
  <si>
    <t>Climate change, coupled with the introduction of non-native organisms, represent major threats to the functioning of ecosystems, especially in species-poor communities such as polar terrestrial ecosystems. In this laboratory study, we quantified the impacts of the non-native springtail Folsomia candida and isopod Porcellio scaber on seed germination and growth of the non-native grass Poa pratensis, and ecosystem respiration. The impacts of invertebrate communities of progressively increasing complexity were assessed, starting with the native springtail Cryptopygus antarcticus alone, followed by C. antarcticus in combination with F. candida or P. scaber and, finally, a community including all three species. The impact of these invertebrate communities were studied in a simulation of contemporary Antarctic soil surface conditions (2(degrees)C) and a +5(degrees)C warming scenario over one growing season.Warming resulted in earlier germination (21 d), 10-fold increased plant biomass, N-content (&gt;5-fold), and higher levels (90%) of ecosystem respiration. Warming also resulted in a 350% increase in C. antarcticus abundance.The presence of the woodlouse P. scaber had the strongest impact on the measured soil and plant variables and this impact was largely irrespective of temperature. Impacts included: delay in seedling emergence (4 d), reduced plant emergence (20%), and higher ecosystem respiration (135%). The presence of both C. antarcticus and P. scaber resulted in 30% higher plant leaf N-content and a reduction in C:N ratio from 21 to 17. The experimental communities containing F. candida showed a 37% reduction in plant biomass under warming. The presence of P. scaber reduced C. antarcticus abundance (94%) but F. candida abundance was unaffected.Our data indicate that non-native invertebrates differ in their ecosystem impacts, with potentially significant consequences for ecosystem functioning and community composition of plants and animals in cold biomes.</t>
  </si>
  <si>
    <t>[Martin, C. T.; Aerts, R.; Bokhorst, S.] Vrije Univ Amsterdam, Dept Ecol Sci, Boelelaan 1085, NL-1081 HV Amsterdam, Netherlands; [Convey, P.] NERC, British Antarctic Survey, Madingley Rd, Cambridge CB3 0ET, England; [Convey, P.] Univ Johannesburg, Dept Zool, POB 524, ZA-2006 Auckland Pk, South Africa</t>
  </si>
  <si>
    <t>Vrije Universiteit Amsterdam; UK Research &amp; Innovation (UKRI); Natural Environment Research Council (NERC); NERC British Antarctic Survey; University of Johannesburg</t>
  </si>
  <si>
    <t>Bokhorst, S (corresponding author), Vrije Univ Amsterdam, Dept Ecol Sci, Boelelaan 1085, NL-1081 HV Amsterdam, Netherlands.</t>
  </si>
  <si>
    <t>s.f.bokhorst@vu.nl</t>
  </si>
  <si>
    <t>Aerts, Rien/0000-0001-6694-0669; Bokhorst, Stef/0000-0003-0184-1162</t>
  </si>
  <si>
    <t>British Antarctic Survey; Netherlands Polar Programme [ALWPP2016.006]; Natural Environment Research Council</t>
  </si>
  <si>
    <t>British Antarctic Survey; Netherlands Polar Programme; Natural Environment Research Council(UK Research &amp; Innovation (UKRI)Natural Environment Research Council (NERC))</t>
  </si>
  <si>
    <t>This study would not have been possible without the logistical support of the British Antarctic Survey. This study was funded by the Netherlands Polar Programme (ALWPP2016.006). PC is supported by core funding from the Natural Environment Research Council to the British Antarctic Survey's 'Biodiversity, Evolution, and Adaptation' team. This work is a contribution to the Integrated Science to Inform Antarctic and Southern Ocean Conservation (Ant-ICON) Scientific Research Programme of the Scientific Committee on Antarctic Research (SCAR). We thank the editor and reviewer for constructive feedback on an earlier version of our manuscript.</t>
  </si>
  <si>
    <t>0038-0717</t>
  </si>
  <si>
    <t>1879-3428</t>
  </si>
  <si>
    <t>SOIL BIOL BIOCHEM</t>
  </si>
  <si>
    <t>Soil Biol. Biochem.</t>
  </si>
  <si>
    <t>10.1016/j.soilbio.2023.109151</t>
  </si>
  <si>
    <t>W5LA5</t>
  </si>
  <si>
    <t>WOS:001092028400001</t>
  </si>
  <si>
    <t>Plenzler, J; Piotrowicz, K; Rymer, W; Budzik, T</t>
  </si>
  <si>
    <t>Plenzler, Joanna; Piotrowicz, Katarzyna; Rymer, Weronika; Budzik, Tomasz</t>
  </si>
  <si>
    <t>Variability of biothermal conditions in the vicinity of the Polish Antarctic station in the South Shetlands, West Antarctica</t>
  </si>
  <si>
    <t>POLAR RESEARCH</t>
  </si>
  <si>
    <t>Bioclimate; work environment; work hazards; polar occupational medicine; wind chill index; frostbite</t>
  </si>
  <si>
    <t>KING-GEORGE-ISLAND; COLD; TEMPERATURE; WINTER; WIND; ACCLIMATIZATION; PATTERNS; EXPOSURE; IMPACT; MEN</t>
  </si>
  <si>
    <t>There are nine year-round and 11 seasonal scientific stations in the South Shetland Islands, an area often visited by cruise ships and sailing yachts. Although this is the warmest part of Antarctica, the weather conditions may be demanding for humans. We analysed the variability of biothermal conditions near Henryk Arctowski Station Polish Antarctic Station, on King George Island, during the period 2013-2021, using the wind chill index (WCI), which com-bines air temperature and wind speed, to determine thermal sensation. WCI values were interpreted using two cold sensation categorisations. Hourly WCI values were assigned to thermal sensation classes that ranged from comfort-able to frosty. The most favourable biothermal conditions occurred from December to February. The cold sensation was dominant in all months, its average occurrence frequency ranging from 56.4% (in January) to 84.4% (in July). From November to March, there was no risk of frostbite to uncovered body parts. Such conditions occurred only from April to October, with a fre-quency of 0.2-6.8%; biothermal conditions were also the most variable in this period. Maximal WCI hourly values show that dangerous weather conditions may occur throughout the day in June and for most of the day from July to September. An abrupt change in biothermal conditions was more often caused by wind speed change than by air temperature change. The most marked WCI changes occurred from April to September, on average five times per year. Our results indicate that biothermal conditions in the vicinity of Arctowski Station are predominantly favourable for outdoor work only if a person wears proper winter clothing.</t>
  </si>
  <si>
    <t>[Plenzler, Joanna] Polish Acad Sci, Inst Biochem &amp; Biophys, Ul A Pawinskiego 5a, PL-02106 Warsaw, Poland; [Piotrowicz, Katarzyna] Jagiellonian Univ, Inst Geog &amp; Spatial Management, Krakow, Poland; [Rymer, Weronika] Univ Opole, Fac Med, Opole, Poland; [Budzik, Tomasz] Univ Silesia Katowice, Inst Earth Sci, Katowice, Poland</t>
  </si>
  <si>
    <t>Polish Academy of Sciences; Institute of Biochemistry &amp; Biophysics - Polish Academy of Sciences; Jagiellonian University; University of Opole; University of Silesia in Katowice</t>
  </si>
  <si>
    <t>Plenzler, J (corresponding author), Polish Acad Sci, Inst Biochem &amp; Biophys, Ul A Pawinskiego 5a, PL-02106 Warsaw, Poland.</t>
  </si>
  <si>
    <t>joannapl@ibb.waw.pl</t>
  </si>
  <si>
    <t>Plenzler, Joanna/0000-0002-0566-0062</t>
  </si>
  <si>
    <t>Institute of Biochemistry and Biophysics, Polish Academy of Sciences</t>
  </si>
  <si>
    <t>The research was funded by Institute of Biochemistry and Biophysics, Polish Academy of Sciences.</t>
  </si>
  <si>
    <t>OPEN ACADEMIA AB</t>
  </si>
  <si>
    <t>SPANGA</t>
  </si>
  <si>
    <t>STORMBYVAGEN 6, SPANGA, SE-163 55, SWEDEN</t>
  </si>
  <si>
    <t>0800-0395</t>
  </si>
  <si>
    <t>1751-8369</t>
  </si>
  <si>
    <t>POLAR RES-SWEDEN</t>
  </si>
  <si>
    <t>Polar Res.</t>
  </si>
  <si>
    <t>AUG 22</t>
  </si>
  <si>
    <t>10.33265/polar.v42.9108</t>
  </si>
  <si>
    <t>Ecology; Geosciences, Multidisciplinary; Oceanography</t>
  </si>
  <si>
    <t>Environmental Sciences &amp; Ecology; Geology; Oceanography</t>
  </si>
  <si>
    <t>T1DV9</t>
  </si>
  <si>
    <t>WOS:001075471600001</t>
  </si>
  <si>
    <t>Broadwell, ELM; Pickford, RE; Perkins, RG; Sgouridis, F; Williamson, CJ</t>
  </si>
  <si>
    <t>Broadwell, Emily L. M.; Pickford, Rachel E.; Perkins, Rupert G.; Sgouridis, Fotis; Williamson, Christopher J.</t>
  </si>
  <si>
    <t>Adaptation versus plastic responses to temperature, light, and nitrate availability in cultured snow algal strains</t>
  </si>
  <si>
    <t>FEMS MICROBIOLOGY ECOLOGY</t>
  </si>
  <si>
    <t>photophysiology; psychrophile; snow algae; stoichiometry</t>
  </si>
  <si>
    <t>GROWTH; NUTRIENT; ICE; PHOTOSYNTHESIS; ACCLIMATION; PRODUCTIVITY; FLUORESCENCE; DYNAMICS; ENZYMES; POLAR</t>
  </si>
  <si>
    <t>Snow algal blooms are widespread, dominating low temperature, high light, and oligotrophic melting snowpacks. Here, we assessed the photophysiological and cellular stoichiometric responses of snow algal genera Chloromonas spp. and Microglena spp. in their vegetative life stage isolated from the Arctic and Antarctic to gradients in temperature (5 - 15 &amp; DEG;C), nitrate availability (1 - 10 &amp; mu;mol L-1), and light (50 and 500 &amp; mu;mol photons m-2 s-1). When grown under gradients in temperature, measured snow algal strains displayed Fv/Fm values increased by &amp; SIM;115% and electron transport rates decreased by &amp; SIM;50% at 5 &amp; DEG;C compared to 10 and 15 &amp; DEG;C, demonstrating how low temperatures can mimic high light impacts to photophysiology. When using carrying capacity as opposed to growth rate as a metric for determining the temperature optima, these snow algal strains can be defined as psychrophilic, with carrying capacities &amp; SIM;90% higher at 5 &amp; DEG;C than warmer temperatures. All strains approached Redfield C:N stoichiometry when cultured under nutrient replete conditions regardless of temperature (5.7 &amp; PLUSMN; 0.4 across all strains), whereas significant increases in C:N were apparent when strains were cultured under nitrate concentrations that reflected in situ conditions (17.8 &amp; PLUSMN; 5.9). Intra-specific responses in photophysiology were apparent under high light with Chloromonas spp. more capable of acclimating to higher light intensities. These findings suggest that in situ conditions are not optimal for the studied snow algal strains, but they are able to dynamically adjust both their photochemistry and stoichiometry to acclimate to these conditions. Laboratory incubations of isolated snow algal species have highlighted diverse plastic responses to gradients in temperature, light, and nitrate availability.</t>
  </si>
  <si>
    <t>[Broadwell, Emily L. M.; Pickford, Rachel E.; Sgouridis, Fotis; Williamson, Christopher J.] Univ Bristol, Sch Geog Sci, Univ Rd, Bristol BS8 1SS, England; [Perkins, Rupert G.] Cardiff Univ, Sch Earth &amp; Environm Sci, Seism Lab, Main Bldg Pk Pl, Cardiff CF10 3AT, Wales</t>
  </si>
  <si>
    <t>University of Bristol; Cardiff University</t>
  </si>
  <si>
    <t>Broadwell, ELM (corresponding author), Univ Bristol, Sch Geog Sci, Univ Rd, Bristol BS8 1SS, England.</t>
  </si>
  <si>
    <t>emily.broadwell@bristol.ac.uk</t>
  </si>
  <si>
    <t>Broadwell, Emily/0009-0004-6259-1800</t>
  </si>
  <si>
    <t>0168-6496</t>
  </si>
  <si>
    <t>1574-6941</t>
  </si>
  <si>
    <t>FEMS MICROBIOL ECOL</t>
  </si>
  <si>
    <t>FEMS Microbiol. Ecol.</t>
  </si>
  <si>
    <t>fiad088</t>
  </si>
  <si>
    <t>10.1093/femsec/fiad088</t>
  </si>
  <si>
    <t>R2DO0</t>
  </si>
  <si>
    <t>hybrid, Green Published, Green Accepted</t>
  </si>
  <si>
    <t>WOS:001062500700001</t>
  </si>
  <si>
    <t>Sievers, M; Brown, CJ; Mcgowan, J; Turschwell, MP; Buelow, CA; Holgate, B; Pearson, RM; Adame, MF; Andradi-Brown, DA; Arnell, A; Mackey, BG; zu Ermgassen, PSE; Gosling, J; Mcowen, CJ; Worthington, TA; Connolly, RM</t>
  </si>
  <si>
    <t>Sievers, Michael; Brown, Christopher J.; Mcgowan, Jennifer; Turschwell, Mischa P.; Buelow, Christina A.; Holgate, Briana; Pearson, Ryan M.; Adame, Maria F.; Andradi-Brown, Dominic A.; Arnell, Andy; Mackey, Brendan G.; zu Ermgassen, Philine S. E.; Gosling, Joe; Mcowen, Chris J.; Worthington, Thomas A.; Connolly, Rod M.</t>
  </si>
  <si>
    <t>Co-occurrence of biodiversity, carbon storage, coastal protection, and fish and invertebrate production to inform global mangrove conservation</t>
  </si>
  <si>
    <t>Blue carbon; Ecosystem-based management; Fisheries; Restoration; Spatial Planning; Wildlife</t>
  </si>
  <si>
    <t>RESTORATION; PRIORITIZATION; TERRESTRIAL; ECOSYSTEMS; COST</t>
  </si>
  <si>
    <t>Mangrove forests support unique biodiversity and provide a suite of ecosystem services (ES) that benefit people. Decades of continual mangrove loss and degradation have necessitated global efforts to protect and restore this important ecosystem. Generating and evaluating asset maps of biodiversity and ES is an important precursor to identifying locations that can deliver conservation outcomes across varying scales, such as maximising the co occurrence of specific ES. We bring together global datasets on mangrove-affiliated biodiversity, carbon stocks, fish and invertebrate production, and coastal protection to provide insight into potential trade-offs, synergies and opportunities from mangrove conservation. We map opportunities where high ES provision cooccurs with these areas that could be leveraged in conservation planning, and identify potential high-value opportunities for single ES that might otherwise be missed with a biodiversity focus. Hotspots of single ES, co-occurrence of multiple ES, and opportunities to simultaneously leverage biodiversity and ES occurred throughout the world. For example, efforts that focus on conserving or restoring mangroves to store carbon can be targed to deliver multiple ES benefits. Some nations, such as Vietnam, Oman, Ecuador and China, showed consistent (although not necessarily strong) correlations between ES pairs. A lack of clear or consistent spatial trends elsewhere suggests that some nations will likely benefit more from complementarity-based approaches that focus on multiple sites with high provision of different services. Individual sites within these nations, however, such as Laguna de Terminos in Mexico still provide valuable opportunities to leverage co-benefits. Ensuring that an ES focused approach is complemented by strategic spatial planning is a priority, and our analyses provide a precursor towards decisions about where and how to invest.</t>
  </si>
  <si>
    <t>[Sievers, Michael; Brown, Christopher J.; Turschwell, Mischa P.; Buelow, Christina A.; Holgate, Briana; Pearson, Ryan M.; Adame, Maria F.; Connolly, Rod M.] Griffith Univ, Australian Rivers Inst, Coastal &amp; Marine Res Ctr, Sch Environm &amp; Sci, Gold Coast, Qld 4222, Australia; [Brown, Christopher J.] Univ Tasmania, Inst Marine &amp; Antarctic Studies, Taroona, Tas 7053, Australia; [Mcgowan, Jennifer] Nature Conservancy, 4245 Fairfax Dr 100, Arlington, VA 22203 USA; [Mcgowan, Jennifer] Univ Queensland, Ctr Biodivers &amp; Conservat Sci, Sch Biol Sci, Brisbane, Qld 4072, Australia; [Andradi-Brown, Dominic A.] World Wildlife Fund, Ocean Conservat, Washington, DC USA; [Arnell, Andy; Gosling, Joe; Mcowen, Chris J.] World Conservat Monitoring Ctr, UN Environm Programme, 219 Huntingdon Rd, Cambridge CB3 0DL, England; [Mackey, Brendan G.] Griffith Univ, Griffith Climate Act Beacon, Gold Coast, Qld 4222, Australia; [zu Ermgassen, Philine S. E.] Univ Edinburgh, Sch Geosci, Changing Oceans Grp, James Hutton Rd,Kings Bldg, Edinburgh EH9 3FE, Scotland; [Worthington, Thomas A.] Univ Cambridge, Dept Zool, Conservat Sci Grp, Cambridge, England</t>
  </si>
  <si>
    <t>Griffith University; Griffith University - Gold Coast Campus; University of Tasmania; Nature Conservancy; University of Queensland; World Wildlife Fund; United Nations Environment Programme; Griffith University; Griffith University - Gold Coast Campus; University of Edinburgh; University of Cambridge</t>
  </si>
  <si>
    <t>Sievers, M (corresponding author), Griffith Univ, Australian Rivers Inst, Coastal &amp; Marine Res Ctr, Sch Environm &amp; Sci, Gold Coast, Qld 4222, Australia.</t>
  </si>
  <si>
    <t>m.sievers@griffith.edu.au</t>
  </si>
  <si>
    <t>Worthington, Thomas A/H-2025-2019; Mcowen, Chris/KHY-3822-2024; Connolly, Rod/C-4094-2008</t>
  </si>
  <si>
    <t>Sievers, Michael/0000-0001-7162-1830; Connolly, Rod/0000-0001-6223-1291; Mackey, Brendan/0000-0003-1996-4064; Gosling, Joe/0000-0002-0329-2825</t>
  </si>
  <si>
    <t>Global Wetlands Project (GLOW) - Australian Research Council (ARC) Discovery Early Career Researcher Award [FT210100792]; ARC Future Fellowship; Advance Queensland Industry Fellowship; [DE220100079]; Australian Research Council [FT210100792] Funding Source: Australian Research Council</t>
  </si>
  <si>
    <t>Global Wetlands Project (GLOW) - Australian Research Council (ARC) Discovery Early Career Researcher Award(Australian Research Council); ARC Future Fellowship(Australian Research Council); Advance Queensland Industry Fellowship; ; Australian Research Council(Australian Research Council)</t>
  </si>
  <si>
    <t>We are grateful to the many individuals and organizations who have made their datasets openly available. We acknowledge funding support from The Global Wetlands Project (GLOW) , supported by a charitable organization which neither seeks nor permits publicity for its efforts. MS was funded by an Australian Research Council (ARC) Discovery Early Career Researcher Award (DE220100079) ; CB was funded by an ARC Future Fellowship (FT210100792) ; MFA was funded by an Advance Queensland Industry Fellowship. The authors declare no conflicts of interest. Funding bodies had no input into study design; the collection, analysis and interpretation of data; the writing of the report; or in the decision to submit the article for publication.</t>
  </si>
  <si>
    <t>10.1016/j.scitotenv.2023.166357</t>
  </si>
  <si>
    <t>R7TR7</t>
  </si>
  <si>
    <t>WOS:001066348500001</t>
  </si>
  <si>
    <t>Volkov, DL; Zhang, KT; Johns, WE; Willis, JK; Hobbs, W; Goes, M; Zhang, H; Menemenlis, D</t>
  </si>
  <si>
    <t>Volkov, Denis L.; Zhang, Kate; Johns, William E.; Willis, Joshua K.; Hobbs, Will; Goes, Marlos; Zhang, Hong; Menemenlis, Dimitris</t>
  </si>
  <si>
    <t>Atlantic meridional overturning circulation increases flood risk along the United States southeast coast</t>
  </si>
  <si>
    <t>NATURE COMMUNICATIONS</t>
  </si>
  <si>
    <t>SEA-LEVEL RISE; US EAST-COAST; GULF-STREAM; VARIABILITY; OCEAN; RECOVERY; IMPACT; MODEL; EARTH; WIND</t>
  </si>
  <si>
    <t>The system of oceanic flows constituting the Atlantic Meridional Overturning Circulation (AMOC) moves heat and other properties to the subpolar North Atlantic, controlling regional climate, weather, sea levels, and ecosystems. Climate models suggest a potential AMOC slowdown towards the end of this century due to anthropogenic forcing, accelerating coastal sea level rise along the western boundary and dramatically increasing flood risk. While direct observations of the AMOC are still too short to infer long-term trends, we show here that the AMOC-induced changes in gyre-scale heat content, superimposed on the global mean sea level rise, are already influencing the frequency of floods along the United States southeastern seaboard. We find that ocean heat convergence, being the primary driver for interannual sea level changes in the subtropical North Atlantic, has led to an exceptional gyre-scale warming and associated dynamic sea level rise since 2010, accounting for 30-50% of flood days in 2015-2020. AMOC-induced heat advection controls ocean temperature in the subtropical North Atlantic, drives year-to-year changes of basin-wide and coastal sea level, and accounts for 30-50% of flood days along the South Atlantic Bight and Gulf of Mexico coasts in 2015-2020.</t>
  </si>
  <si>
    <t>[Volkov, Denis L.; Goes, Marlos] Univ Miami, Cooperat Inst Marine &amp; Atmospher Studies, Miami, FL 33149 USA; [Volkov, Denis L.; Goes, Marlos] NOAA, Atlantic Oceanog &amp; Meteorol Lab, Miami, FL 33149 USA; [Zhang, Kate] Univ Calif Los Angeles, Joint Inst Reg Earth Syst Sci &amp; Engn, Los Angeles, CA USA; [Johns, William E.] Univ Miami, Rosenstiel Sch Marine Atmospher &amp; Earth Sci, Miami, FL USA; [Willis, Joshua K.; Zhang, Hong; Menemenlis, Dimitris] CALTECH, Jet Prop Lab, Pasadena, CA USA; [Hobbs, Will] Australian Res Council, Ctr Excellence Climate Extremes, Sydney, NSW, Australia; [Hobbs, Will] Univ Tasmania, Inst Marine &amp; Antarctic Studies, Australian Antarctic Program Partnership, Hobart, Tas, Australia</t>
  </si>
  <si>
    <t>University of Miami; National Oceanic Atmospheric Admin (NOAA) - USA; Atlantic Oceanographic &amp; Meteorological Laboratory (AOML); University of California System; University of California Los Angeles; University of Miami; California Institute of Technology; National Aeronautics &amp; Space Administration (NASA); NASA Jet Propulsion Laboratory (JPL); University of Tasmania</t>
  </si>
  <si>
    <t>Volkov, DL (corresponding author), Univ Miami, Cooperat Inst Marine &amp; Atmospher Studies, Miami, FL 33149 USA.;Volkov, DL (corresponding author), NOAA, Atlantic Oceanog &amp; Meteorol Lab, Miami, FL 33149 USA.</t>
  </si>
  <si>
    <t>denis.volkov@noaa.gov</t>
  </si>
  <si>
    <t>Goes, Marlos/B-4273-2011; Menemenlis, Dimitris/G-8091-2017; Hobbs, Will/G-5116-2014</t>
  </si>
  <si>
    <t>Goes, Marlos/0000-0001-5874-8079; Menemenlis, Dimitris/0000-0001-9940-8409; Willis, Josh/0000-0002-4515-8771; Hobbs, Will/0000-0002-2061-0899</t>
  </si>
  <si>
    <t>Cooperative Institute for Marine and Atmospheric Studies; NOAA [NA20OAR4320472]; National Oceanic and Atmospheric Administration (NOAA) Climate Variability and Predictability program [NA20OAR4310407]; NOAA Atlantic Oceanographic and Meteorological Laboratory; NASA Modeling, Analysis, and Prediction (MAP); University of Miami; NASA; Physical Oceanography (PO) programs</t>
  </si>
  <si>
    <t>Cooperative Institute for Marine and Atmospheric Studies; NOAA(National Oceanic Atmospheric Admin (NOAA) - USA); National Oceanic and Atmospheric Administration (NOAA) Climate Variability and Predictability program; NOAA Atlantic Oceanographic and Meteorological Laboratory(National Oceanic Atmospheric Admin (NOAA) - USA); NASA Modeling, Analysis, and Prediction (MAP); University of Miami; NASA(National Aeronautics &amp; Space Administration (NASA)); Physical Oceanography (PO) programs</t>
  </si>
  <si>
    <t>This research was carried out in part under the auspices of the Cooperative Institute for Marine and Atmospheric Studies, a cooperative institute of the University of Miami and NOAA (cooperative agreement number NA20OAR4320472), and at the Jet Propulsion Laboratory, California Institute of Technology under a contract from NASA. D.L.V., K.Z., and M.G. were supported by the National Oceanic and Atmospheric Administration (NOAA) Climate Variability and Predictability program (grant number NA20OAR4310407) and by the NOAA Atlantic Oceanographic and Meteorological Laboratory. H.Z. and D.M. were supported by NASA Modeling, Analysis, and Prediction (MAP) and Physical Oceanography (PO) programs.</t>
  </si>
  <si>
    <t>2041-1723</t>
  </si>
  <si>
    <t>NAT COMMUN</t>
  </si>
  <si>
    <t>Nat. Commun.</t>
  </si>
  <si>
    <t>10.1038/s41467-023-40848-z</t>
  </si>
  <si>
    <t>P8QU1</t>
  </si>
  <si>
    <t>Green Published, gold, Green Submitted</t>
  </si>
  <si>
    <t>WOS:001053269200017</t>
  </si>
  <si>
    <t>Kollár, J; Kopalová, K; Kavan, J; Vrbická, K; Nyvlt, D; Nedbalová, L; Stibal, M; Kohler, TJ</t>
  </si>
  <si>
    <t>Kollar, Jan; Kopalova, Katerina; Kavan, Jan; Vrbicka, Kristyna; Nyvlt, Daniel; Nedbalova, Linda; Stibal, Marek; Kohler, Tyler J.</t>
  </si>
  <si>
    <t>Recently formed Antarctic lakes host less diverse benthic bacterial and diatom communities than their older counterparts</t>
  </si>
  <si>
    <t>16S rDNA; climate change; cryosphere; cyanobacteria; diatom; glacier</t>
  </si>
  <si>
    <t>JAMES-ROSS-ISLAND; NANNOCHLOROPSIS-LIMNETICA EUSTIGMATOPHYCEAE; RIBOSOMAL-RNA GENE; FRESH-WATER; ICE-FREE; EXPERIMENTAL DESICCATION; CLEARWATER MESA; CLIMATE-CHANGE; ULU PENINSULA; VEGA ISLAND</t>
  </si>
  <si>
    <t>Glacier recession is creating new water bodies in proglacial forelands worldwide, including Antarctica. Yet, it is unknown how microbial communities of recently formed young waterbodies (originating decades to a few centuries ago) compare with established old counterparts (millennia ago). Here, we compared benthic microbial communities of different lake types on James Ross Island, Antarctic Peninsula, using 16S rDNA metabarcoding and light microscopy to explore bacterial and diatom communities, respectively. We found that the older lakes host significantly more diverse bacterial and diatom communities compared to the young ones. To identify potential mechanisms for these differences, linear models and dbRDA analyses suggested combinations of water temperature, pH, and conductivity to be the most important factors for diversity and community structuring, while differences in geomorphological and hydrological stability, though more difficult to quantify, are likely also influential. These results, along with an indicator species analysis, suggest that physical and chemical constraints associated with individual lakes histories are likely more influential to the assembly of the benthic microbial communities than lake age alone. Collectively, these results improve our understanding of microbial community drivers in Antarctic freshwaters, and help predict how the microbial landscape may shift with future habitat creation within a changing environment.</t>
  </si>
  <si>
    <t>[Kollar, Jan; Kopalova, Katerina; Vrbicka, Kristyna; Nedbalova, Linda; Stibal, Marek; Kohler, Tyler J.] Charles Univ Prague, Fac Sci, Dept Ecol, Vinicna 7, CZ-12844 Prague 2, Czech Republic; [Kavan, Jan; Nyvlt, Daniel] Masaryk Univ, Fac Sci, Dept Geog, Polar Geo Lab, Kotlarska 2, CZ-61137 Brno, Czech Republic; [Kavan, Jan] Univ Wroclaw, Alfred Jahn Cold Reg Res Ctr, Pl Uniwersytecki 1, PL-50137 Wroclaw, Poland</t>
  </si>
  <si>
    <t>Charles University Prague; Masaryk University Brno; University of Wroclaw</t>
  </si>
  <si>
    <t>Kollár, J (corresponding author), Charles Univ Prague, Fac Sci, Dept Ecol, Vinicna 7, CZ-12844 Prague 2, Czech Republic.</t>
  </si>
  <si>
    <t>jan.kollar.phd@gmail.com</t>
  </si>
  <si>
    <t>Kohler, Tyler Joe/IUO-5352-2023; Stibal, Marek/I-3852-2016; Kopalová, Kateřina/M-6207-2017; Kohler, Tyler J/I-5472-2016; Kavan, Jan/ACU-4986-2022; Nedbalova, Linda/D-2792-2009</t>
  </si>
  <si>
    <t>Kohler, Tyler Joe/0000-0001-5137-4844; Kollar, Jan/0000-0002-6624-3350; Nedbalova, Linda/0000-0003-1800-714X</t>
  </si>
  <si>
    <t>Czech Antarctic Research Programme; Czech Antarctic J.G. Mendel Station; Charles University project [PRIMUS/22/SCI/001]; Charles University Research Centre program [204069]</t>
  </si>
  <si>
    <t>Czech Antarctic Research Programme; Czech Antarctic J.G. Mendel Station; Charles University project; Charles University Research Centre program</t>
  </si>
  <si>
    <t>The authors would like to thank the Czech Antarctic Research Programme and the Czech Antarctic J.G. Mendel Station and its crew for their support, and Jakub Zarsky, Marie Bulinova, and Tereza Samsulova for help with labwork. Lukas Falteisek is especially thanked for his advice on the bioinformatic analyses as well as for commenting on the first draft of the manuscript. We are grateful to the editor and reviewers for providing many valuable comments. This work was supported by the Charles University project PRIMUS/22/SCI/001, and T.J.K. received additional funding by the Charles University Research Centre program number 204069.</t>
  </si>
  <si>
    <t>fiad087</t>
  </si>
  <si>
    <t>10.1093/femsec/fiad087</t>
  </si>
  <si>
    <t>P8KX3</t>
  </si>
  <si>
    <t>WOS:001053115600001</t>
  </si>
  <si>
    <t>Zhang, LP; Zhang, Z; Cao, JH; Wang, K; Qin, L; Sun, YJ; Ju, WM; Qu, CF; Miao, JL</t>
  </si>
  <si>
    <t>Zhang, Liping; Zhang, Zhi; Cao, Junhan; Wang, Kai; Qin, Ling; Sun, Yongjun; Ju, Wenming; Qu, Changfeng; Miao, Jinlai</t>
  </si>
  <si>
    <t>Extreme environmental adaptation mechanisms of Antarctic bryophytes are mainly the activation of antioxidants, secondary metabolites and photosynthetic pathways</t>
  </si>
  <si>
    <t>BMC PLANT BIOLOGY</t>
  </si>
  <si>
    <t>Antarctica; Pohlia nutans M211; Third-generation sequencing; UVB; Low-temperature</t>
  </si>
  <si>
    <t>UV-B RADIATION; PHOTOSYSTEM-II; PLANT PHOTOMORPHOGENESIS; COLD-ACCLIMATION; GENE-EXPRESSION; LIGHT; RESPONSES; MOSS; TEMPERATURE; TOLERANCE</t>
  </si>
  <si>
    <t>The environment in Antarctica is characterized by low temperature, intense UVB and few vegetation types. The Pohlia nutans M211 are bryophytes, which are the primary plants in Antarctica and can thrive well in the Antarctic harsh environment. The transcriptional profiling of Pohlia nutans M211 under low temperature and high UVB conditions was analyzed to explore their polar adaptation mechanism in the extreme Antarctic environment by third-generation sequencing and second-generation sequencing. In comparison to earlier second-generation sequencing techniques, a total of 43,101 non-redundant transcripts and 10,532 lncRNA transcripts were obtained, which were longer and more accurate. The analysis results of GO, KEGG, AS (alternative splicing), and WGCNA (weighted gene co-expression network analysis) of DEGs (differentially expressed genes), combined with the biochemical kits revealed that antioxidant, secondary metabolites pathways and photosynthesis were the key adaptive pathways for Pohlia nutans M211 to the Antarctic extreme environment. Furthermore, the low temperature and strong UVB are closely linked for the first time by the gene HY5 (hlongated hypocotyl 5) to form a protein interaction network through the PPI (protein-protein interaction networks) analysis method. The UVR8 module, photosynthetic module, secondary metabolites synthesis module, and temperature response module were the key components of the PPI network. In conclusion, this study will help to further explore the polar adaptation mechanism of Antarctic plants represented by bryophytes and to enrich the polar gene resources.</t>
  </si>
  <si>
    <t>[Zhang, Liping; Zhang, Zhi] Qingdao Univ, Sch Basic Med, Dept Special Med, Qingdao 266071, Peoples R China; [Zhang, Liping; Zhang, Zhi; Cao, Junhan; Wang, Kai; Qin, Ling; Qu, Changfeng; Miao, Jinlai] Minist Nat Resources, Inst Oceanog 1, Key Lab Marine Ecoenvironm Sci &amp; Technol, Qingdao 266061, Peoples R China; [Sun, Yongjun; Ju, Wenming] Homey Grp Co Ltd, Rongcheng 264300, Peoples R China; [Qu, Changfeng; Miao, Jinlai] Qingdao Pilot Natl Lab Marine Sci &amp; Technol, Lab Marine Drugs &amp; Bioprod, Qingdao 266237, Peoples R China; [Qu, Changfeng; Miao, Jinlai] Qingdao Key Lab, Marine Nat Prod R&amp;D Lab, Qingdao 266061, Peoples R China</t>
  </si>
  <si>
    <t>Qingdao University; Ministry of Natural Resources of the People's Republic of China; First Institute of Oceanography, Ministry of Natural Resources; Laoshan Laboratory</t>
  </si>
  <si>
    <t>Qu, CF; Miao, JL (corresponding author), Minist Nat Resources, Inst Oceanog 1, Key Lab Marine Ecoenvironm Sci &amp; Technol, Qingdao 266061, Peoples R China.;Qu, CF; Miao, JL (corresponding author), Qingdao Pilot Natl Lab Marine Sci &amp; Technol, Lab Marine Drugs &amp; Bioprod, Qingdao 266237, Peoples R China.;Qu, CF; Miao, JL (corresponding author), Qingdao Key Lab, Marine Nat Prod R&amp;D Lab, Qingdao 266061, Peoples R China.</t>
  </si>
  <si>
    <t>cfqu@fio.org.cn; miaojinlai@fio.org.cn</t>
  </si>
  <si>
    <t>Zhang, Liping/ABC-7060-2021</t>
  </si>
  <si>
    <t>Zhang, Liping/0000-0001-6508-3757</t>
  </si>
  <si>
    <t>1471-2229</t>
  </si>
  <si>
    <t>BMC PLANT BIOL</t>
  </si>
  <si>
    <t>BMC Plant Biol.</t>
  </si>
  <si>
    <t>10.1186/s12870-023-04366-w</t>
  </si>
  <si>
    <t>P7ZD8</t>
  </si>
  <si>
    <t>WOS:001052808600001</t>
  </si>
  <si>
    <t>Zhang, LP; Wang, K; Liang, SX; Cao, JH; Yao, MK; Qin, L; Qu, CF; Miao, JL</t>
  </si>
  <si>
    <t>Zhang, Liping; Wang, Kai; Liang, Shaoxin; Cao, Junhan; Yao, Mengke; Qin, Ling; Qu, Changfeng; Miao, Jinlai</t>
  </si>
  <si>
    <t>Beneficial effect of ζ-carotene-like compounds on acute UVB irradiation by alleviating inflammation and regulating intestinal flora</t>
  </si>
  <si>
    <t>FOOD &amp; FUNCTION</t>
  </si>
  <si>
    <t>OXIDATIVE STRESS; CAROTENOID BIOSYNTHESIS; SKIN; PATHWAY; DAMAGE</t>
  </si>
  <si>
    <t>&amp; zeta;-Carotene is a key intermediate in the carotenoid pathway, but owing to its low content and difficulties in isolation, its application is restricted. In this study, three genes (pnCrtE, pnCrtB, and pnCrtP) in the carotenoid pathway of Antarctic moss were identified, recombined, and expressed in Escherichia coli (E. coli) BL21(DE3). The expression product was identified as one of the &amp; zeta;-carotenes by UV absorbance spectrum, thin layer chromatography (TLC), and super-high-performance liquid chromatography-mass spectrum (UPLC-MS), and was called a &amp; zeta;-carotene-like compound (CLC). Excessive exposure to ultraviolet B (UVB) irradiation is one of the main risk factors for skin photodamage. The purpose of this study was to investigate the preventive and therapeutic effects of CLC on UVB-induced skin photodamage in mice. In this paper, through histological examinations (hematoxylin-eosin, HE; Masson and TdT-mediated dUTP Nick-End Labeling, Tunel), biochemical index detection (reactive oxygen species, ROS; inflammatory factors; cyclobutyl pyrimidine dimers, CPDs and hyaluronic acid, HA), quantitative real time polymerase chain reaction (qRT-PCR), immunohistochemistry and intestinal content flora, etc., it is concluded that CLC has the potential to enhance skin antioxidant capacity by activating the nuclear transcription factor/antioxidant reaction element (Nrf2/ARE) pathway and also reduce skin inflammation and aging by inhibiting the mitogen-activated protein kinase (MAPK) pathway. Moreover, the regulation of intestinal flora may potentially mitigate skin damage induced by UVB radiation. This research not only developed a green and sustainable platform for the efficient synthesis of CLC but also laid a foundation for its application in functional food and medicine for skin resistance against UVB damage.</t>
  </si>
  <si>
    <t>[Zhang, Liping] Qingdao Univ, Sch Basic Med, Dept Special Med, Qingdao 266071, Peoples R China; [Zhang, Liping; Wang, Kai; Liang, Shaoxin; Cao, Junhan; Yao, Mengke; Qin, Ling; Qu, Changfeng; Miao, Jinlai] Minist Nat Resources, Inst Oceanog 1, Key Lab Marine Ecoenvironm Sci &amp; Technol, Qingdao 266061, Peoples R China; [Miao, Jinlai] Qingdao Pilot Natl Lab Marine Sci &amp; Technol, Qingdao 266237, Peoples R China; [Miao, Jinlai] Qingdao Key Lab, Marine Nat Prod R&amp;D Lab, Qingdao 266061, Peoples R China</t>
  </si>
  <si>
    <t>Qingdao University; First Institute of Oceanography, Ministry of Natural Resources; Ministry of Natural Resources of the People's Republic of China; Laoshan Laboratory</t>
  </si>
  <si>
    <t>Qu, CF; Miao, JL (corresponding author), Minist Nat Resources, Inst Oceanog 1, Key Lab Marine Ecoenvironm Sci &amp; Technol, Qingdao 266061, Peoples R China.;Miao, JL (corresponding author), Qingdao Pilot Natl Lab Marine Sci &amp; Technol, Qingdao 266237, Peoples R China.;Miao, JL (corresponding author), Qingdao Key Lab, Marine Nat Prod R&amp;D Lab, Qingdao 266061, Peoples R China.</t>
  </si>
  <si>
    <t>yang, zhou/KBB-6972-2024; wang, rong/KFQ-7187-2024; Liu, Zhen/KFS-2748-2024; JIANG, Peng/KGL-3427-2024; yan, su/KHT-1728-2024; liu, zhen/KFS-0275-2024</t>
  </si>
  <si>
    <t>Basic Scientific Fund for National Public Research Institutes of China [2022Q10]; Science and Technology Planning Project of Guangxi [AA21196002]; Natural Science Foundation of China [32000074, 42176130]; Natural Science Foundation of Shandong Province [ZR2021MD044]; Tai Mountain Industry Leading Talent of Shandong [2019TSCYCX-06]; Key Technology Research and Development Program of Shandong [2021TZXD008]; Shandong Program of Qingdao Pilot National Laboratory for Marine Science and Technology [20SWAQX04]; Biosafety Research Program [22-3-5-yqpy-10-qy]; High Value Seaweed Polysaccharide Development and Deep Finishing Project [202228041]; Research and Development of New Marine Bio-based Medical Dressings; [2022QNLM030003-1]</t>
  </si>
  <si>
    <t>Basic Scientific Fund for National Public Research Institutes of China; Science and Technology Planning Project of Guangxi; Natural Science Foundation of China(National Natural Science Foundation of China (NSFC)); Natural Science Foundation of Shandong Province(Natural Science Foundation of Shandong Province); Tai Mountain Industry Leading Talent of Shandong; Key Technology Research and Development Program of Shandong; Shandong Program of Qingdao Pilot National Laboratory for Marine Science and Technology; Biosafety Research Program; High Value Seaweed Polysaccharide Development and Deep Finishing Project; Research and Development of New Marine Bio-based Medical Dressings;</t>
  </si>
  <si>
    <t>This research was funded by the Basic Scientific Fund for National Public Research Institutes of China (2022Q10), Science and Technology Planning Project of Guangxi (AA21196002), Natural Science Foundation of China (32000074, 42176130), Natural Science Foundation of Shandong Province (ZR2021MD044), Tai Mountain Industry Leading Talent of Shandong (2019TSCYCX-06), Key Technology Research and Development Program of Shandong (2021TZXD008), Biosafety Research Program (20SWAQX04), Shandong Program of Qingdao Pilot National Laboratory for Marine Science and Technology (2022QNLM030003-1), High Value Seaweed Polysaccharide Development and Deep Finishing Project (22-3-5-yqpy-10-qy), and Research and Development of New Marine Bio-based Medical Dressings (202228041).</t>
  </si>
  <si>
    <t>ROYAL SOC CHEMISTRY</t>
  </si>
  <si>
    <t>THOMAS GRAHAM HOUSE, SCIENCE PARK, MILTON RD, CAMBRIDGE CB4 0WF, CAMBS, ENGLAND</t>
  </si>
  <si>
    <t>2042-6496</t>
  </si>
  <si>
    <t>2042-650X</t>
  </si>
  <si>
    <t>FOOD FUNCT</t>
  </si>
  <si>
    <t>Food Funct.</t>
  </si>
  <si>
    <t>SEP 19</t>
  </si>
  <si>
    <t>10.1039/d3fo02502k</t>
  </si>
  <si>
    <t>Biochemistry &amp; Molecular Biology; Food Science &amp; Technology</t>
  </si>
  <si>
    <t>R6DJ6</t>
  </si>
  <si>
    <t>WOS:001052189900001</t>
  </si>
  <si>
    <t>Marchant, R; Kefford, BJ; Houghton, M; Wasley, J; King, CK</t>
  </si>
  <si>
    <t>Marchant, R.; Kefford, B. J.; Houghton, M.; Wasley, J.; King, C. K.</t>
  </si>
  <si>
    <t>Slow recovery of stream invertebrates on subantarctic Macquarie Island after eradication of introduced rabbits and regrowth of vegetation</t>
  </si>
  <si>
    <t>MARINE AND FRESHWATER RESEARCH</t>
  </si>
  <si>
    <t>community recovery; invertebrate richness; island streams; oceanic island; rabbit eradication; stream disturbance; stream invertebrates; subantarctic</t>
  </si>
  <si>
    <t>CLIMATE-CHANGE; COMMUNITIES; MANAGEMENT</t>
  </si>
  <si>
    <t>Context. Streams on subantarctic Macquarie Island were first sampled for freshwater invertebrates in 1992 when rabbit numbers were low. Then an average 11.6 taxa per site were recorded. Between 2000 and 2011, vegetation was overgrazed as rabbit numbers increased. In 2008 and 2010, 7.4-8.4 taxa per site were recorded, abundance of most taxa had decreased and greatest compositional changes occurred at sites exposed to moderate or severe vegetation damage. Rabbits were eradicated in 2011 and substantial regrowth of vegetation was evident by 2016. Aims. Sites were resampled in 2016 to determine the extent to which the invertebrate communities had changed after rabbit removal. Methods. In all, 13 of the original 15 sites sampled in 1992 were resampled. Five kick samples were taken at each site. Key results. Mean taxon richness (8.2 taxa per site) and community composition at individual sites remained, in 2016, very similar to that recorded in 2008 and 2010 when the island was heavily grazed. Conclusions. Recovery of stream invertebrate communities appeared to be slow, possibly because few refuges were available. Minor changes in climate and water quality did not influence recovery. Implications. Stream invertebrate communities could take a decade or more to recover.</t>
  </si>
  <si>
    <t>[Marchant, R.] Museums Victoria, GPO Box 666, Melbourne, Vic 3001, Australia; [Kefford, B. J.] Univ Canberra, Inst Appl Ecol, Ctr Appl Water Sci, Canberra, ACT 2601, Australia; [Houghton, M.] Nat Resources &amp; Environm Tasmania, New Town, Tas 7008, Australia; [Houghton, M.; Wasley, J.; King, C. K.] Australian Antarctic Div, Dept Climate Change Energy &amp; Environm &amp; Water, Kingston, Tas 7050, Australia; [Houghton, M.] Univ Queensland, Ctr Biodivers &amp; Conservat Sci, Brisbane, Qld 4072, Australia</t>
  </si>
  <si>
    <t>Melbourne Genomics Health Alliance; University of Canberra; Australian Antarctic Division; University of Queensland</t>
  </si>
  <si>
    <t>Marchant, R (corresponding author), Museums Victoria, GPO Box 666, Melbourne, Vic 3001, Australia.</t>
  </si>
  <si>
    <t>rmarch@museum.vic.gov.au</t>
  </si>
  <si>
    <t>Kefford, Ben/0000-0001-6789-4254; Marchant, Richard/0000-0001-7387-2609</t>
  </si>
  <si>
    <t>Australian Antarctic Science Program [AAS4305]; Tasmanian Department of Natural Resources and Environment [FA 16324]; Australian Academy of Science</t>
  </si>
  <si>
    <t>Australian Antarctic Science Program; Tasmanian Department of Natural Resources and Environment; Australian Academy of Science</t>
  </si>
  <si>
    <t>The 2016 field sampling was supported under AAS4305 of the Australian Antarctic Science Program and conducted with the permission of the Tasmanian Department of Natural Resources and Environment (Authority number FA 16324). Melissa Houghton was also supported by the Australian Academy of Science through the Max Day Environmental Science Fellowship.</t>
  </si>
  <si>
    <t>CSIRO PUBLISHING</t>
  </si>
  <si>
    <t>CLAYTON</t>
  </si>
  <si>
    <t>UNIPARK, BLDG 1, LEVEL 1, 195 WELLINGTON RD, LOCKED BAG 10, CLAYTON, VIC 3168, AUSTRALIA</t>
  </si>
  <si>
    <t>1323-1650</t>
  </si>
  <si>
    <t>1448-6059</t>
  </si>
  <si>
    <t>MAR FRESHWATER RES</t>
  </si>
  <si>
    <t>Mar. Freshw. Res.</t>
  </si>
  <si>
    <t>10.1071/MF23009</t>
  </si>
  <si>
    <t>Fisheries; Limnology; Marine &amp; Freshwater Biology; Oceanography</t>
  </si>
  <si>
    <t>X6SS6</t>
  </si>
  <si>
    <t>WOS:001052462400001</t>
  </si>
  <si>
    <t>Peterson, LD; Newcombe, ME; Alexander, CMO; Wang, JH; Klein, F; Bekaert, DV; Nielsen, SG</t>
  </si>
  <si>
    <t>Peterson, Liam D.; Newcombe, Megan E.; Alexander, Conel M. O'D.; Wang, Jianhua; Klein, Frieder; V. Bekaert, David; Nielsen, Sune G.</t>
  </si>
  <si>
    <t>The H content of aubrites: An evaluation of bulk versus in situ methods for quantifying water in meteorites</t>
  </si>
  <si>
    <t>EARTH AND PLANETARY SCIENCE LETTERS</t>
  </si>
  <si>
    <t>achondrite; aubrite; water</t>
  </si>
  <si>
    <t>OXYGEN-ISOTOPE; ENSTATITE; ORIGIN; CHONDRITES; ABUNDANCES; GLASS; CALIBRATION; ADSORPTION; FORSTERITE; VOLATILES</t>
  </si>
  <si>
    <t>Aubrites and enstatite chondrites (ECs) are isotopically similar to the Earth and therefore may resemble the primary materials that accreted to form our planet. Recent bulk H elemental and isotopic analyses of ECs and the Norton County aubrite suggest that enstatite-rich materials are H-rich and may represent a significant source of terrestrial water, with measured values of 3000 &amp; PLUSMN;2000 &amp; mu;g/g H2O and 5300 &amp; PLUSMN;900 &amp; mu;g/g H2O in the bulk and enstatite fractions of Norton County (Piani et al., Science, 2020). Here, we present a detailed investigation of in situ H2O concentrations in enstatite, diopside, forsterite, and plagioclase from a suite of main group aubrites, including Norton County, and Shallowater. We find that enstatite (4 &amp; PLUSMN;2 &amp; mu;g/g H2O), diopside (4.8 &amp; PLUSMN;0.5 &amp; mu;g/g H2O), and forsterite (5 &amp; PLUSMN;3 &amp; mu;g/g H2O) have similar H2O concentrations, and all are significantly lower than plagioclase (24 &amp; PLUSMN;3 &amp; mu;g/g H2O). We combine our in situ analyses of H2O contents with equilibrium partition coefficients and bulk mineralogies to estimate the bulk H2O content of our samples. We compare these first order estimates with bulk volatile analyses conducted using sample pyrolysis and find that the previous bulk H2O analyses of aubrites predominantly reflect terrestrial contamination and alteration. If our conclusion that the reported bulk H2O analyses of Norton County primarily reflect terrestrial contamination and alteration extends to bulk analyses of ECs, then EC-like material may not be a significant source of terrestrial water. Our results support the hypothesis that thermal metamorphism, melting, and differentiation leads to efficient desiccation of planetesimals relative to chondrites, and that differentiated planetesimals contributed, at most, trace amounts to Earth's water budget.&amp; COPY; 2023 Elsevier B.V. All rights reserved.</t>
  </si>
  <si>
    <t>[Peterson, Liam D.; Newcombe, Megan E.] Univ Maryland, Dept Geol, College Pk, MD 20740 USA; [Alexander, Conel M. O'D.; Wang, Jianhua] Carnegie Inst Sci, Earth &amp; Planets Lab, Washington, DC 20015 USA; [V. Bekaert, David] Woods Hole Oceanog Inst, NIRVANA Labs, Woods Hole, MA 02540 USA; [Klein, Frieder] Woods Hole Oceanog Inst, Dept Marine Chem &amp; Geochem, Woods Hole, MA 02540 USA; [V. Bekaert, David; Nielsen, Sune G.] Woods Hole Oceanog Inst, Dept Geol &amp; Geophys, Woods Hole, MA 02540 USA; [V. Bekaert, David] Univ Lorraine, CNRS, CRPG, F-54000 Nancy, France; [Peterson, Liam D.] Geol Bldg,8000 Regents Dr 237, College Pk, MD 20742 USA</t>
  </si>
  <si>
    <t>University System of Maryland; University of Maryland College Park; Carnegie Institution for Science; Woods Hole Oceanographic Institution; Woods Hole Oceanographic Institution; Woods Hole Oceanographic Institution; Centre National de la Recherche Scientifique (CNRS); Universite de Lorraine</t>
  </si>
  <si>
    <t>Peterson, LD (corresponding author), Geol Bldg,8000 Regents Dr 237, College Pk, MD 20742 USA.</t>
  </si>
  <si>
    <t>ldpete@umd.edu</t>
  </si>
  <si>
    <t>Wang, Jianhua/D-6500-2011; Nielsen, Sune G/C-7345-2011; Alexander, Conel M. O'D./N-7533-2013</t>
  </si>
  <si>
    <t>Wang, Jianhua/0000-0002-7671-2413; Alexander, Conel M. O'D./0000-0002-8558-1427; Nielsen, Sune/0000-0002-0458-3739; Newcombe, Megan Eve/0000-0002-8450-768X</t>
  </si>
  <si>
    <t>NASA emerging worlds [80NSSC22K0043]; NASA FINESST [80NSSC22K0043]; NSF; NASA; Department of Mineral Sciences of the Smithsonian Institution</t>
  </si>
  <si>
    <t>NASA emerging worlds; NASA FINESST; NSF(National Science Foundation (NSF)); NASA(National Aeronautics &amp; Space Administration (NASA)); Department of Mineral Sciences of the Smithsonian Institution</t>
  </si>
  <si>
    <t>We are grateful to Philip Piccoli for his assistance with EPMA analyses. This work was supported by NASA emerging worlds [grant number 80NSSC20K0336] to SGN, MEN and CMO'DA, and NASA FINESST [grant number 80NSSC22K0043] awarded to LDP. We thank the US Antarctic meteorite collection for providing Antarctic meteorites used in this study. US Antarctic meteorite 876 samples are recovered by the Antarctic Search for Meteorites (ANS- MET) program, which has been funded by NSF and NASA, and characterized and curated by the Astromaterials Curation Office at NASA Johnson Space Center and the Department of Mineral Sciences of the Smithsonian Institution. We thank the Mineralogical and Geological Museum of Harvard for providing aliquots of Nor- ton County and Shallowater.</t>
  </si>
  <si>
    <t>0012-821X</t>
  </si>
  <si>
    <t>1385-013X</t>
  </si>
  <si>
    <t>EARTH PLANET SC LETT</t>
  </si>
  <si>
    <t>Earth Planet. Sci. Lett.</t>
  </si>
  <si>
    <t>OCT 15</t>
  </si>
  <si>
    <t>10.1016/j.epsl.2023.118341</t>
  </si>
  <si>
    <t>R0KN5</t>
  </si>
  <si>
    <t>WOS:001061316800001</t>
  </si>
  <si>
    <t>Tank, SE; McClelland, JW; Spencer, RGM; Shiklomanov, AI; Suslova, A; Moatar, F; Amon, RMW; Cooper, LW; Elias, G; Gordeev, VV; Guay, C; Gurtovaya, TY; Kosmenko, LS; Mutter, EA; Peterson, BJ; Peucker-Ehrenbrink, B; Raymond, PA; Schuster, PF; Scott, L; Staples, R; Striegl, RG; Tretiakov, M; Zhulidov, AV; Zimov, N; Zimov, S; Holmes, RM</t>
  </si>
  <si>
    <t>Tank, Suzanne E.; McClelland, James W.; Spencer, Robert G. M.; Shiklomanov, Alexander I.; Suslova, Anya; Moatar, Florentina; Amon, Rainer M. W.; Cooper, Lee W.; Elias, Greg; Gordeev, Vyacheslav V.; Guay, Christopher; Gurtovaya, Tatiana Yu.; Kosmenko, Lyudmila S.; Mutter, Edda A.; Peterson, Bruce J.; Peucker-Ehrenbrink, Bernhard; Raymond, Peter A.; Schuster, Paul F.; Scott, Lindsay; Staples, Robin; Striegl, Robert G.; Tretiakov, Mikhail; Zhulidov, Alexander V.; Zimov, Nikita; Zimov, Sergey; Holmes, Robert M.</t>
  </si>
  <si>
    <t>Recent trends in the chemistry of major northern rivers signal widespread Arctic change</t>
  </si>
  <si>
    <t>DISSOLVED ORGANIC-CARBON; PERMAFROST CARBON; DISCHARGE; UNCERTAINTY; IMPACTS; TIME; CO2</t>
  </si>
  <si>
    <t>Rivers integrate processes occurring throughout their watersheds and are therefore sentinels of change across broad spatial scales. River chemistry also regulates ecosystem function across Earth's land-ocean continuum, exerting control from the micro- (for example, local food web) to the macro- (for example, global carbon cycle) scale. In the rapidly warming Arctic, a wide range of processes-from permafrost thaw to biological uptake and transformation-might reasonably alter river water chemistry. Here we use data from major rivers that collectively drain two-thirds of the Arctic Ocean watershed to assess widespread change in biogeochemical function within the pan-Arctic basin from 2003 to 2019. While the oceanward flux of alkalinity and associated ions increased markedly over this time frame, nitrate and other inorganic nutrient fluxes declined. Fluxes of dissolved organic carbon showed no overall trend. This divergence in response indicates the perturbation of multiple processes on land, with implications for biogeochemical cycling in the coastal ocean. We anticipate that these findings will facilitate refinement of conceptual and numerical models of current and future functioning of Arctic coastal ecosystems and spur research on scale-dependent change across the river-integrated Arctic domain. Divergent trends in biogeochemical constituents of the six largest rivers in the Arctic from 2003 to 2019 support multi-faceted changes on the Arctic landscape under global environmental change.</t>
  </si>
  <si>
    <t>[Tank, Suzanne E.] Univ Alberta, Dept Biol Sci, Edmonton, AB, Canada; [McClelland, James W.; Peterson, Bruce J.] Ecosyst Ctr, Marine Biol Lab, Woods Hole, MA USA; [Spencer, Robert G. M.] Florida State Univ, Dept Earth Ocean &amp; Atmospher Sci, Tallahassee, FL USA; [Shiklomanov, Alexander I.] Univ New Hampshire, Earth Syst Res Ctr, Durham, NH USA; [Suslova, Anya; Scott, Lindsay; Holmes, Robert M.] Woodwell Climate Res Ctr, Falmouth, MA USA; [Moatar, Florentina] Ctr Lyon Villeurbanne, INRAE, UR RiverLy, Villeurbanne, France; [Amon, Rainer M. W.] Texas A&amp;M Univ, Dept Marine &amp; Coastal Environm Sci, Galveston, TX USA; [Amon, Rainer M. W.] Texas A&amp;M Univ, Dept Oceanog, College Stn, TX USA; [Cooper, Lee W.] Univ Maryland Ctr Environm Sci, Chesapeake Biol Lab, Solomons, MD USA; [Elias, Greg] Western Arctic Res Ctr, Inuvik, NT, Canada; [Gordeev, Vyacheslav V.] Russian Acad Sci, Shirshov Inst Oceanol, Moscow, Russia; [Guay, Christopher] Mamala Res LLC, Honolulu, HI USA; [Gurtovaya, Tatiana Yu.; Zhulidov, Alexander V.] South Russia Ctr Preparat &amp; Implementat Int Projec, Rostov Na Donu, Russia; [Kosmenko, Lyudmila S.] Minist Nat Resources &amp; Environm Russian Federat, Hydrochem Inst Fed Serv Hydrometeorol &amp; Environm M, Rostov Na Donu, Russia; [Mutter, Edda A.] Yukon River Intertribal Watershed Council, Anchorage, AK USA; [Peucker-Ehrenbrink, Bernhard] Woods Hole Oceanog Inst, Marine Chem &amp; Geochem Dept, Woods Hole, MA USA; [Raymond, Peter A.] Yale Univ, Sch Forestry &amp; Environm Studies, New Haven, CT USA; [Schuster, Paul F.; Striegl, Robert G.] US Geol Survey, Earth Syst Proc Div, Boulder, CO USA; [Staples, Robin] Govt Northwest Terr, Water Resources Div, Yellowknife, NT, Canada; [Tretiakov, Mikhail] Arctic &amp; Antarctic Res Inst, River Estuaries &amp; Water Resources Dept, St Petersburg, Russia; [Zimov, Nikita; Zimov, Sergey] Russian Acad Sci, Pacific Geog Inst, Far Eastern Branch, Chersky, Russia</t>
  </si>
  <si>
    <t>University of Alberta; Marine Biological Laboratory - Woods Hole; State University System of Florida; Florida State University; University System Of New Hampshire; University of New Hampshire; INRAE; Texas A&amp;M University System; Texas A&amp;M University System; Texas A&amp;M University College Station; University System of Maryland; University of Maryland Center for Environmental Science; Russian Academy of Sciences; Shirshov Institute of Oceanology; Woods Hole Oceanographic Institution; Yale University; United States Department of the Interior; United States Geological Survey; Arctic &amp; Antarctic Research Institute; Russian Academy of Sciences; Pacific Geographical Institute of the Far Eastern Branch of the Russian Academy of Sciences</t>
  </si>
  <si>
    <t>Tank, SE (corresponding author), Univ Alberta, Dept Biol Sci, Edmonton, AB, Canada.</t>
  </si>
  <si>
    <t>suzanne.tank@ualberta.ca</t>
  </si>
  <si>
    <t>Zimov, Sergey/JCD-7517-2023; McClelland, James W/IWE-5143-2023; Cooper, Lee/E-5251-2012; Tank, Suzanne/I-4816-2012</t>
  </si>
  <si>
    <t>McClelland, James W/0000-0001-9619-8194; Spencer, Robert/0000-0003-0777-0748; Cooper, Lee/0000-0001-7734-8388; Moatar, Florentina/0000-0002-9251-6420; Suslova, Anna/0000-0002-9080-1826; Tretiakov, Mikhail/0000-0003-3702-6362; Tank, Suzanne/0000-0002-5371-6577</t>
  </si>
  <si>
    <t>PARTNERS programme; US National Science Foundation [0229302, 0732985, 0732522, 1107774, 1602615, 1913888, 0732821, 1602680, 1914215, 2230812, 0732583, 1603149, 1914081, 1602879, 1913962]</t>
  </si>
  <si>
    <t>PARTNERS programme; US National Science Foundation(National Science Foundation (NSF))</t>
  </si>
  <si>
    <t>Funding for the PARTNERS programme and Arctic Great Rivers Observatory has been provided via US National Science Foundation grants 0229302 and 0732985 (B.J.P.); 0732522, 1107774, 1602615 and 1913888 (R.M.H.); 0732821, 1602680, 1914215 and 2230812 (J.W.M.); 0732583 (P.A.R.); 1603149 and 1914081 (R.G.M.S.); and 1602879 and 1913962 (A.I.S.). This work would not have been possible without contributions from many individuals at the six ArcticGRO sampling locations, and we gratefully acknowledge contributions from E. Amos, B. Blais, C. Couvillion, A. Davydova, N. Dion, V. Efremov, L. Kutny, R. McLeod, R. Myers, A. Pavlov, A. Smirnov, M. Suslov, G. Zimova and support from the Environment and Climate Change Canada and Indigenous and Northern Affairs Canada offices in Inuvik, Canada. Sample collection occurred within the Gwich'in Settlement Region (Mackenzie River at Tsiigehtchic) and on the traditional territories of the Yup'ik people (Yukon River at Pilot Station) in North America and the Nenets, Dolgans, Nganasans, Evenks and Chukchi people (Ob', Yenisey, Lena and Kolyma rivers at Salekhard, Dudinka, Zhigansk and Chersky) in Russia. S. Sylva, G. Swarr and M. Auro assisted with analyses of major and trace anion/cation data.</t>
  </si>
  <si>
    <t>10.1038/s41561-023-01247-7</t>
  </si>
  <si>
    <t>Q8AK7</t>
  </si>
  <si>
    <t>WOS:001052021200002</t>
  </si>
  <si>
    <t>Moras, CA; Bach, LT; Cyronak, T; Joannes-Boyau, R; Schulz, KG</t>
  </si>
  <si>
    <t>Moras, Charly A.; Bach, Lennart T.; Cyronak, Tyler; Joannes-Boyau, Renaud; Schulz, Kai G.</t>
  </si>
  <si>
    <t>Preparation and quality control of in-house reference materials for marine dissolved inorganic carbon and total alkalinity measurements</t>
  </si>
  <si>
    <t>LIMNOLOGY AND OCEANOGRAPHY-METHODS</t>
  </si>
  <si>
    <t>ARTIFICIAL SEAWATER MEDIUM; SEA-WATER</t>
  </si>
  <si>
    <t>Accurate measurements of seawater carbonate chemistry are crucial for marine carbon cycle research. Certified reference materials (CRMs) are typically analyzed alongside samples to correct measurements for calibration drift. However, the COVID-19 pandemic led to a limited access to CRMs. In response to this shortage, we prepared and monitored in-house reference materials (IHRMs) for total alkalinity (TA) and dissolved inorganic carbon (DIC), over 12 and 15 months, respectively. Overall, TA was stable, but a slight increase in DIC of about 2 &amp; mu;mol kg(-1) occurred over 15 months. The increase could potentially be attributed to bacterial growth, despite mercuric chloride fixation and repeated UV exposure. It is noted that this small increase was most likely within our instrument and measurements uncertainties. Our repeated measurements also identified a few bottles that had TA or DIC concentrations 4-5 &amp; mu;mol kg(-1) higher than the rest, indicating issues during cleaning, fixation, or storage of individual bottles. This study emphasizes the importance of careful and continuous monitoring if self-prepared IHRMs are used. Given that the amount of work required is very high, IHRM preparation is only recommended when CRMs are not available.</t>
  </si>
  <si>
    <t>[Moras, Charly A.; Joannes-Boyau, Renaud; Schulz, Kai G.] Southern Cross Univ, Fac Sci &amp; Engn, Lismore, NSW, Australia; [Bach, Lennart T.] Univ Tasmania, Inst Marine &amp; Antarctic Studies, Ecol &amp; Biodivers, Hobart, Tas, Australia; [Cyronak, Tyler] Georgia Southern Univ, Inst Coastal Plain Sci, Savannah, GA USA</t>
  </si>
  <si>
    <t>Southern Cross University; University of Tasmania</t>
  </si>
  <si>
    <t>Moras, CA (corresponding author), Southern Cross Univ, Fac Sci &amp; Engn, Lismore, NSW, Australia.</t>
  </si>
  <si>
    <t>c.moras.10@student.scu.edu.au</t>
  </si>
  <si>
    <t>; Schulz, Kai/Q-5608-2017</t>
  </si>
  <si>
    <t>Bach, Lennart/0000-0003-0202-3671; Schulz, Kai/0000-0002-8481-4639; Moras, Charly Andre/0000-0001-6819-6167; Cyronak, Tyler/0000-0003-3556-7616</t>
  </si>
  <si>
    <t>Graduate School of the Southern Cross University, Lismore, Australia</t>
  </si>
  <si>
    <t>We would like to thank the Graduate School of the Southern Cross University, Lismore, Australia, for the scholarship funds used for this research. Open access publishing facilitated by Southern Cross University, as part of the Wiley - Southern Cross University agreement via the Council of Australian University Librarians.</t>
  </si>
  <si>
    <t>1541-5856</t>
  </si>
  <si>
    <t>LIMNOL OCEANOGR-METH</t>
  </si>
  <si>
    <t>Limnol. Oceanogr. Meth.</t>
  </si>
  <si>
    <t>NOV</t>
  </si>
  <si>
    <t>10.1002/lom3.10570</t>
  </si>
  <si>
    <t>Y6MH1</t>
  </si>
  <si>
    <t>WOS:001051390200001</t>
  </si>
  <si>
    <t>Salas-Rabaza, JA; Andrade, J; Us-Santamaría, R; Morales-Rico, P; Mayora, G; Aguirre, F; Fecci-Machuca, V; Gade-Palma, EM; Thalasso, F</t>
  </si>
  <si>
    <t>Salas-Rabaza, Julio A.; Luis Andrade, Jose; Us-Santamaria, Roberth; Morales-Rico, Pablo; Mayora, Gisela; Javier Aguirre, Francisco; Fecci-Machuca, Vicente; Gade-Palma, Eugenia M.; Thalasso, Frederic</t>
  </si>
  <si>
    <t>Impacts of leaks and gas accumulation on closed chamber methods for measuring methane and carbon dioxide fluxes from tree stems</t>
  </si>
  <si>
    <t>Mangrove; Sub-Antarctic; Forest; Greenhouse gas; Bark; Roughness</t>
  </si>
  <si>
    <t>CO2 EFFLUX; SOIL; RESPIRATION; EMISSIONS</t>
  </si>
  <si>
    <t>Accurate measurements of methane (CH4) and carbon dioxide (CO2) fluxes from tree stems are important for understanding greenhouse gas emissions. Closed chamber methods are commonly employed for this purpose; however, leaks between the chamber and the atmosphere as well as gas accumulation, known as the concentration buildup effect, can impact flux measurements significantly. In this study, we investigated the impacts of concentration buildup and leaks on semi-rigid closed chamber methods. Field measurements were conducted on six tree species, including three species from a Mexican mangrove ecosystem and three species from a Magellanic sub-Antarctic forest. Systematic observations revealed significant leak flow rates, ranging from 0.00 to 465 L h 1, with a median value of 1.25 &amp; PLUSMN; 75.67 L h-1. We tested the efficacy of using cement to reduce leaks, achieving a leak flow rate reduction of 46-98 % without complete elimination. Our study also demonstrates a clear and substantial impact of concentration buildup on CH4 flux measurements, while CO2 flux measurements were relatively less affected across all tree species studied. Our results show that the combined effects of leaks and concentration buildup can lead to an underestimation of CH4 emissions by an average of 40 &amp; PLUSMN; 20 % and CO2 emissions by 22 &amp; PLUSMN; 22 %, depending on the bark roughness. Based on these findings, we recall a straightforward yet effective method to minimize experimental errors associated with these phenomena, previously established, and reiterated in the current context, for calculating emissions that considers effects of leaks and concentration buildup, while eliminating the need for separate determinations of these phenomena. Overall, the results, combined with a literature review, suggest that our current estimates of GHG flux from tree stems are currently underestimated.</t>
  </si>
  <si>
    <t>[Salas-Rabaza, Julio A.; Luis Andrade, Jose; Us-Santamaria, Roberth] Ctr Invest Cientifica Yucatan AC CICY, Unidad Biotecnol, Calle 43 130, Merida 97205, Mexico; [Salas-Rabaza, Julio A.; Javier Aguirre, Francisco; Fecci-Machuca, Vicente; Gade-Palma, Eugenia M.; Thalasso, Frederic] Univ Magallanes, Cape Horn Int Ctr, Ave Bulnes 01855, Punta Arenas 6210427, Chile; [Morales-Rico, Pablo; Thalasso, Frederic] Cinvestav, Inst Politecn Nacl, Ctr Invest &amp; Estudios Avanzados, Dept Biotecnol &amp; Bioingn, Av IPN 2508, Mexico City 07360, DF, Mexico; [Mayora, Gisela] Inst Nacl Limnol Inali, Ciudad Univ,Colectora Ruta Nac 168, RA-3000 Santa Fe, Argentina</t>
  </si>
  <si>
    <t>Universidad de Magallanes; Instituto Politecnico Nacional - Mexico; CINVESTAV - Centro de Investigacion y de Estudios Avanzados del Instituto Politecnico Nacional</t>
  </si>
  <si>
    <t>Thalasso, F (corresponding author), Univ Magallanes, Cape Horn Int Ctr, Ave Bulnes 01855, Punta Arenas 6210427, Chile.</t>
  </si>
  <si>
    <t>thalasso@cinvestav.mx</t>
  </si>
  <si>
    <t>ANDRADE, JOSE L/F-6447-2019; Thalasso, Frederic/E-1403-2011; Morales-Rico, Pablo/GXI-0016-2022</t>
  </si>
  <si>
    <t>ANDRADE, JOSE L/0000-0002-4991-5020; Thalasso, Frederic/0000-0003-2246-2372; Morales-Rico, Pablo/0009-0003-0070-8500; Aguirre, Francisco Javier/0000-0001-7546-0106; , JASR/0000-0002-2981-0408</t>
  </si>
  <si>
    <t>Consejo Nacional de Ciencia y Tecnologia (CONACYT) [A3-S-75824]; Pablo Morales-Rico [760092, 703565]; International Tropical Timber Organization (ITTO) [050/20A]; Consejo Nacional de Investigaciones Cientificas y Tecnicas (CONICET) [RESOL-2021-973-APN-DIR]; Cape Horn International Center project (ANID) [CHIC-FB210018]</t>
  </si>
  <si>
    <t>Consejo Nacional de Ciencia y Tecnologia (CONACYT)(Consejo Nacional de Ciencia y Tecnologia (CONACyT)); Pablo Morales-Rico; International Tropical Timber Organization (ITTO); Consejo Nacional de Investigaciones Cientificas y Tecnicas (CONICET)(Consejo Nacional de Investigaciones Cientificas y Tecnicas (CONICET)); Cape Horn International Center project (ANID)</t>
  </si>
  <si>
    <t>We thank the Consejo Nacional de Ciencia y Tecnologia (CONACYT) for the financial support received (project A3-S-75824), as well as for the support to Julio A. Salas-Rabaza and Pablo Morales-Rico (grants #760092 and #703565, respectively). Julio A. Salas-Rabaza also thanks to the International Tropical Timber Organization (ITTO) Fellowship's reference number 050/20A. Gisela Mayora, acknowledge the financial support (RESOL-2021-973-APN-DIR#CONICET) from the Consejo Nacional de Investigaciones Cientificas y Tecnicas (CONICET). Frederic Thalasso and Julio A. Salas-Rabaza received a partial financial support from the Cape Horn International Center project (ANID, CHIC-FB210018). Authors thank M.Sc. Victoria Teresita Velaz-quez Martinez, M.Sc. Francisco Silva-Olmedo, M.Sc. Gabriela Ceron-Aguilera, Geophysicist Matias Troncoso, and Ph.D. Brenda Riquelme for their technical support. The authors declare that they have no conflict of interest.</t>
  </si>
  <si>
    <t>10.1016/j.scitotenv.2023.166358</t>
  </si>
  <si>
    <t>R1QD2</t>
  </si>
  <si>
    <t>WOS:001062148000001</t>
  </si>
  <si>
    <t>Kebukawa, Y; Quirico, E; Dartois, E; Yabuta, H; Bejach, L; Bonal, L; Dazzi, A; Deniset-Besseau, A; Duprat, J; Engrand, C; Mathurin, J; Barosch, J; Cody, GD; De Gregorio, B; Hashiguchi, M; Kamide, K; Kilcoyne, D; Komatsu, M; Martins, Z; Montagnac, G; Mostefaoui, S; Nittler, LR; Ohigashi, T; Okumura, T; Remusat, L; Sandford, S; Shigenaka, M; Stroud, R; Suga, H; Takahashi, Y; Takeichi, Y; Tamenori, Y; Verdier-Paoletti, M; Wakabayashi, D; Yamashita, S; Yurimoto, H; Nakamura, T; Noguchi, T; Okazaki, R; Naraoka, H; Sakamoto, K; Tachibana, S; Yada, T; Nishimura, M; Nakato, A; Miyazaki, A; Yogata, K; Abe, M; Okada, T; Usui, T; Yoshikawa, M; Saiki, T; Tanaka, S; Terui, F; Nakazawa, S; Watanabe, S; Tsuda, Y</t>
  </si>
  <si>
    <t>Kebukawa, Yoko; Quirico, Eric; Dartois, Emmanuel; Yabuta, Hikaru; Bejach, Laure; Bonal, Lydie; Dazzi, Alexandre; Deniset-Besseau, Ariane; Duprat, Jean; Engrand, Cecile; Mathurin, Jeremie; Barosch, Jens; Cody, George D.; De Gregorio, Bradley; Hashiguchi, Minako; Kamide, Kanami; Kilcoyne, David; Komatsu, Mutsumi; Martins, Zita; Montagnac, Gilles; Mostefaoui, Smail; Nittler, Larry R.; Ohigashi, Takuji; Okumura, Taiga; Remusat, Laurent; Sandford, Scott; Shigenaka, Miho; Stroud, Rhonda; Suga, Hiroki; Takahashi, Yoshio; Takeichi, Yasuo; Tamenori, Yusuke; Verdier-Paoletti, Maximilien; Wakabayashi, Daisuke; Yamashita, Shohei; Yurimoto, Hisayoshi; Nakamura, Tomoki; Noguchi, Takaaki; Okazaki, Ryuji; Naraoka, Hiroshi; Sakamoto, Kanako; Tachibana, Shogo; Yada, Toru; Nishimura, Masahiro; Nakato, Aiko; Miyazaki, Akiko; Yogata, Kasumi; Abe, Masanao; Okada, Tatsuaki; Usui, Tomohiro; Yoshikawa, Makoto; Saiki, Takanao; Tanaka, Satoshi; Terui, Fuyuto; Nakazawa, Satoru; Watanabe, Sei-ichiro; Tsuda, Yuichi</t>
  </si>
  <si>
    <t>Infrared absorption spectra from organic matter in the asteroid Ryugu samples: Some unique properties compared to unheated carbonaceous chondrites</t>
  </si>
  <si>
    <t>METEORITICS &amp; PLANETARY SCIENCE</t>
  </si>
  <si>
    <t>SOLAR-SYSTEM; ANTARCTIC MICROMETEORITES; CR; SPECTROSCOPY; STARDUST; ORIGIN; DUST; CM; MINERALOGY; PARTICLES</t>
  </si>
  <si>
    <t>The infrared spectral characteristics of organic-rich acid residues prepared from Ryugu samples returned by the JAXA Hayabusa2 mission generally match those from unheated carbonaceous chondrite meteorites, but the residues from Ryugu are richer in methyl and methylene functional groups and have higher CH2/CH3 ratios. Moreover, two distinct outlier carbonaceous phases are found; one with spectral characteristics of N-H functional groups, likely amides, and a second phase containing less nitrogen. Such infrared characteristics of Ryugu organic matter might indicate the pristine nature of the freshly collected samples and reflect the near-surface chemistry in the parent asteroid.</t>
  </si>
  <si>
    <t>[Kebukawa, Yoko] Yokohama Natl Univ, Dept Chem &amp; Life Sci, Yokohama, Kanagawa, Japan; [Quirico, Eric] Univ Grenoble Alpes, CNRS, Inst Planetol &amp; Astrophys IPAG, UMR 5274, Grenoble, France; [Dartois, Emmanuel] Univ Paris Saclay, Inst Sci Mol Orsay, CNRS, Orsay, France; [Yabuta, Hikaru] Hiroshima Univ, Dept Earth &amp; Planetary Syst Sci, Hiroshima, Japan; [Bejach, Laure] Univ Paris Saclay, CNRS, Lab Phys 2 Infinis Irene Joliot Curie, Orsay, France; [Dazzi, Alexandre; Deniset-Besseau, Ariane] Univ Paris Saclay, Inst Chim Phys, CNRS, Orsay, France; [Duprat, Jean] Sorbonne Univ, Inst Mineral Phys Mat &amp; Cosmochim, CNRS, Museum Natl Hist Nat, Paris, France; [Barosch, Jens; Cody, George D.] Carnegie Inst Sci, Earth &amp; Planets Lab, Washington, DC USA; [De Gregorio, Bradley] US Naval Res Lab, Mat Sci &amp; Technol Div, Washington, DC USA; [Hashiguchi, Minako] Nagoya Univ, Grad Sch Environm Studies, Nagoya, Aichi, Japan; [Kilcoyne, David] Adv Light Source, Lawrence Berkeley Natl Lab, Berkeley, CA USA; [Komatsu, Mutsumi] Saitama Prefectural Univ, Ctr Univ Wide Educ, Saitama, Japan; [Komatsu, Mutsumi] Waseda Univ, Dept Earth Sci, Tokyo, Japan; [Martins, Zita] Univ Lisbon, Inst Mol Sci, Inst Super Tecn, Dept Chem Engn,Ctr Quim Estrutural, Lisbon, Portugal; [Montagnac, Gilles] Univ Lyon, Ecole normale super Lyon, Lyon, France; [Nittler, Larry R.] Arizona State Univ, Sch Earth &amp; Space Explorat, Tempe, AZ USA; [Ohigashi, Takuji] Inst Mol Sci, UVSOR Synchrotron Facil, Okazaki, Aichi, Japan; [Okumura, Taiga] Univ Tokyo, Dept Earth &amp; Planetary Sci, Tokyo, Japan; [Sandford, Scott] NASA Ames Res Ctr, Moffett Field, CA USA; [Suga, Hiroki] Japan Synchrotron Radiat Res Inst, Sayo, Hyogo, Japan; [Takeichi, Yasuo; Wakabayashi, Daisuke; Yamashita, Shohei] Inst Mat Struct Sci, High Energy Accelerator Res Org, Tsukuba, Ibaraki, Japan; [Yurimoto, Hisayoshi] Hokkaido Univ, Dept Earth &amp; Planetary Sci, Sapporo, Hokkaido, Japan; [Nakamura, Tomoki] Tohoku Univ, Dept Earth Sci, Sendai, Miyagi, Japan; [Noguchi, Takaaki] Kyoto Univ, Dept Earth &amp; Planetary Sci, Kyoto, Japan; [Okazaki, Ryuji; Naraoka, Hiroshi] Kyushu Univ, Dept Earth &amp; Planetary Sci, Fukuoka, Japan; [Sakamoto, Kanako; Yada, Toru; Nishimura, Masahiro; Nakato, Aiko; Miyazaki, Akiko; Yogata, Kasumi; Abe, Masanao; Okada, Tatsuaki; Usui, Tomohiro; Yoshikawa, Makoto; Saiki, Takanao; Tanaka, Satoshi; Nakazawa, Satoru] Japan Aerosp Explorat Agcy JAXA, Inst Space &amp; Astronaut Sci, Sagamihara, Japan; [Terui, Fuyuto] Kanagawa Inst Technol, Atsugi, Kanagawa, Japan</t>
  </si>
  <si>
    <t>Yokohama National University; Centre National de la Recherche Scientifique (CNRS); CNRS - National Institute for Earth Sciences &amp; Astronomy (INSU); Communaute Universite Grenoble Alpes; Universite Grenoble Alpes (UGA); Universite Paris Saclay; Universite Paris Cite; Centre National de la Recherche Scientifique (CNRS); Hiroshima University; Universite Paris Cite; Universite Paris Saclay; Centre National de la Recherche Scientifique (CNRS); Universite Paris Saclay; Universite Paris Cite; Centre National de la Recherche Scientifique (CNRS); Universite Paris Cite; Museum National d'Histoire Naturelle (MNHN); Centre National de la Recherche Scientifique (CNRS); Sorbonne Universite; Carnegie Institution for Science; United States Department of Defense; United States Navy; Naval Research Laboratory; Nagoya University; United States Department of Energy (DOE); Lawrence Berkeley National Laboratory; Waseda University; Universidade de Lisboa; Ecole Normale Superieure de Lyon (ENS de LYON); Arizona State University; Arizona State University-Tempe; National Institutes of Natural Sciences (NINS) - Japan; Institute for Molecular Science (IMS); University of Tokyo; National Aeronautics &amp; Space Administration (NASA); NASA Ames Research Center; Japan Synchrotron Radiation Research Institute; High Energy Accelerator Research Organization (KEK); Hokkaido University; Tohoku University; Kyoto University; Kyushu University; Japan Aerospace Exploration Agency (JAXA); Institute of Space &amp; Astronautical Science (ISAS); Kanagawa Institute Technology</t>
  </si>
  <si>
    <t>Kebukawa, Y (corresponding author), Yokohama Natl Univ, Dept Chem &amp; Life Sci, Yokohama, Kanagawa, Japan.;Kebukawa, Y (corresponding author), Yokohama Natl Univ, Dept Chem &amp; Life Sci, 79-5 Tokiwadai,Hodogaya Ku, Yokohama, Kanagawa 2408501, Japan.</t>
  </si>
  <si>
    <t>kebukawa@ynu.ac.jp</t>
  </si>
  <si>
    <t>Okumura, Taiga/AGY-4991-2022; Noguchi, Takaaki/IWV-1123-2023; Martins, Zita/H-4860-2015; Takeichi, Yasuo/KBQ-3565-2024; Tachibana, Shogo/R-7884-2018; Kebukawa, Yoko/A-7315-2010</t>
  </si>
  <si>
    <t>Okumura, Taiga/0000-0001-5252-8622; Noguchi, Takaaki/0000-0001-7211-2595; Martins, Zita/0000-0002-5420-1081; Takeichi, Yasuo/0000-0003-3334-0274; da dong, zuo zhi/0000-0003-4778-5645; Kebukawa, Yoko/0000-0001-8430-3612; Duprat, Jean/0000-0001-7408-3089; Barosch, Jens/0000-0002-0651-7348; Saiki, Takanao/0000-0003-3100-420X; Remusat, Laurent/0009-0008-6423-6254</t>
  </si>
  <si>
    <t>Japan Society for the Promotion of~Science KAKENHI [JP17H06458, JP19H05073, JP21H00036]</t>
  </si>
  <si>
    <t>Japan Society for the Promotion of~Science KAKENHI(Ministry of Education, Culture, Sports, Science and Technology, Japan (MEXT)Japan Society for the Promotion of ScienceGrants-in-Aid for Scientific Research (KAKENHI))</t>
  </si>
  <si>
    <t>Shin-ichiro Mochizuki is acknowledged for providing IR data processing program in Python. Y.K. was supported by Japan Society for the Promotion of~Science KAKENHI (grant numbers JP17H06458; JP19H05073; JP21H00036).</t>
  </si>
  <si>
    <t>1086-9379</t>
  </si>
  <si>
    <t>1945-5100</t>
  </si>
  <si>
    <t>METEORIT PLANET SCI</t>
  </si>
  <si>
    <t>Meteorit. Planet. Sci.</t>
  </si>
  <si>
    <t>2023 AUG 19</t>
  </si>
  <si>
    <t>10.1111/maps.14064</t>
  </si>
  <si>
    <t>P8WY1</t>
  </si>
  <si>
    <t>WOS:001053433900001</t>
  </si>
  <si>
    <t>Sheppard, EJ; Hurd, CL; Britton, DD; Reed, DC; Bach, LT</t>
  </si>
  <si>
    <t>Sheppard, Emily J.; Hurd, Catriona L.; Britton, Damon D.; Reed, Daniel C.; Bach, Lennart T.</t>
  </si>
  <si>
    <t>Seaweed biogeochemistry: Global assessment of C:N and C:P ratios and implications for ocean afforestation</t>
  </si>
  <si>
    <t>JOURNAL OF PHYCOLOGY</t>
  </si>
  <si>
    <t>C:N ratio; C:P ratio; carbon cycling; carbon dioxide removal; carbon sequestration; kelp; seaweed; stoichiometry</t>
  </si>
  <si>
    <t>CARBON-DIOXIDE REMOVAL; ELEMENTAL STOICHIOMETRY; NUTRIENT CONCENTRATION; MARINE MACROALGAE; N-P; NITROGEN; GROWTH; TISSUE; KELP; PATTERNS</t>
  </si>
  <si>
    <t>Algal carbon-to-nitrogen (C:N) and carbon-to-phosphorus (C:P) ratios are fundamental for understanding many oceanic biogeochemical processes, such as nutrient flux and climate regulation. We synthesized literature data (444 species, &gt;400 locations) and collected original samples from Tasmania, Australia (51 species, 10 locations) to update the global ratios of seaweed carbon-to-nitrogen (C:N) and carbon-to-phosphorus (C:P). The updated global mean molar ratio for seaweed C:N is 20 (ranging from 6 to 123) and for C:P is 801 (ranging from 76 to 4102). The C:N and C:P ratios were significantly influenced by seawater inorganic nutrient concentrations and seasonality. Additionally, C:N ratios varied by phyla. Brown seaweeds (Ochrophyta, Phaeophyceae) had the highest mean C:N of 27.5 (range: 7.6-122.5), followed by green seaweeds (Chlorophyta) of 17.8 (6.2-54.3) and red seaweeds (Rhodophyta) of 14.8 (5.6-77.6). We used the updated C:N and C:P values to compare seaweed tissue stoichiometry with the most recently reported values for plankton community stoichiometry. Our results show that seaweeds have on average 2.8 and 4.0 times higher C:N and C:P than phytoplankton, indicating seaweeds can assimilate more carbon in their biomass for a given amount of nutrient resource. The stoichiometric comparison presented herein is central to the discourse on ocean afforestation (the deliberate replacement of phytoplankton with seaweeds to enhance the ocean biological carbon sink) by contributing to the understanding of the impact of nutrient reallocation from phytoplankton to seaweeds under large-scale seaweed cultivation.</t>
  </si>
  <si>
    <t>[Sheppard, Emily J.; Hurd, Catriona L.; Britton, Damon D.; Bach, Lennart T.] Univ Tasmania, Inst Marine &amp; Antarctic Studies, Hobart, Tas, Australia; [Reed, Daniel C.] Univ Calif St Barbara, Marine Sci Inst, Santa Barbara, CA USA; [Sheppard, Emily J.] Univ Tasmania, Inst Marine &amp; Antarctic Studies, Hobart, Tas 7001, Australia</t>
  </si>
  <si>
    <t>University of Tasmania; University of Tasmania</t>
  </si>
  <si>
    <t>Sheppard, EJ (corresponding author), Univ Tasmania, Inst Marine &amp; Antarctic Studies, Hobart, Tas 7001, Australia.</t>
  </si>
  <si>
    <t>emily.sheppard@utas.edu.au</t>
  </si>
  <si>
    <t>Sheppard, Emily/JZE-8586-2024</t>
  </si>
  <si>
    <t>Sheppard, Emily/0000-0001-5725-4464; Bach, Lennart/0000-0003-0202-3671</t>
  </si>
  <si>
    <t>ARC [DP200101467]; ARC Future Fellowship [FT200100846]; Tasmanian government Department of Natural Resources and Environment [AIRF 2020/47]; US National Science Foundation; Australian Research Council [DP200101467] Funding Source: Australian Research Council</t>
  </si>
  <si>
    <t>ARC(Australian Research Council); ARC Future Fellowship(Australian Research Council); Tasmanian government Department of Natural Resources and Environment; US National Science Foundation(National Science Foundation (NSF)); Australian Research Council(Australian Research Council)</t>
  </si>
  <si>
    <t>ARC Discovery Project, Grant/Award Number: DP200101467; ARC Future Fellowship, Grant/Award Number: FT200100846; Tasmanian government Department of Natural Resources and Environment, Grant/Award Number: AIRF 2020/47; US National Science Foundation</t>
  </si>
  <si>
    <t>0022-3646</t>
  </si>
  <si>
    <t>1529-8817</t>
  </si>
  <si>
    <t>J PHYCOL</t>
  </si>
  <si>
    <t>J. Phycol.</t>
  </si>
  <si>
    <t>10.1111/jpy.13381</t>
  </si>
  <si>
    <t>Plant Sciences; Marine &amp; Freshwater Biology</t>
  </si>
  <si>
    <t>X1LK7</t>
  </si>
  <si>
    <t>WOS:001051240100001</t>
  </si>
  <si>
    <t>Koefoed, P; Barrat, JA; Pravdivtseva, O; Alexander, CMO; Lodders, K; Ogliore, R; Wang, K</t>
  </si>
  <si>
    <t>Koefoed, Piers; Barrat, Jean-Alix; Pravdivtseva, Olga; Alexander, Conel M. O'D.; Lodders, Katharina; Ogliore, Ryan; Wang, Kun</t>
  </si>
  <si>
    <t>The potassium isotopic composition of CI chondrites and the origin of isotopic variations among primitive planetary bodies</t>
  </si>
  <si>
    <t>GEOCHIMICA ET COSMOCHIMICA ACTA</t>
  </si>
  <si>
    <t>K isotopes; Chondrite; Matrix; Chondrule; CI chondrites; Early solar system</t>
  </si>
  <si>
    <t>MODERATELY VOLATILE ELEMENTS; MC-ICP-MS; OXYGEN-ISOTOPE; CONDENSATION TEMPERATURES; CARBONACEOUS CHONDRITES; QUANTITATIVE MODELS; PARENT BODIES; SOLAR NEBULA; ZN ISOTOPES; METEORITES</t>
  </si>
  <si>
    <t>The isotopic analysis of moderately volatile elements such as K have gained significant interest in recent years as they possess the potential to help us better understand solar system formation. Even so, the precise K isotopic composition of CI chondrites, the most chemically primitive chondrite, has remained elusive. As the K elemental composition of CI chondrites matches well with the solar photosphere, it is possible that their K isotopic composition represents the solar system initial value. Here, we investigate the CI chondrite K isotopic composition in order to determine the precise CI chondrite, and thus possibly solar system initial, &amp; delta;41K value. In addition, we investigate the K isotope compositions of several other chondrite groups, evaluate all available chondrite K isotope data together, and use these data along with data from a range of other isotope systems to assess if nucleosynthetic variations, volatility related processes, or parent body processes can best explain the range of isotope variations. The &amp; delta;41K composition of all nine CI chondrite pieces analyzed in this study show limited variation, ranging from -0.29%o to -0.17%o. When combined with the previous CI analysis, an overall mean CI &amp; delta;41K value of -0.21 &amp; PLUSMN; 0.05%o (2SE) is obtained. This K isotope composition is distinct from the Bulk Silicate Earth value of -0.43 &amp; PLUSMN; 0.17%o (2SD), heavier than almost all other chondrite groups, and may represent the solar system initial K isotope composition. When comparing all chondrites broadly, ordinary chondrites show the lightest mean K isotope composition of -0.76 &amp; PLUSMN; 0.06%o (H = -0.71 &amp; PLUSMN; 0.12%o, L = -0.77 &amp; PLUSMN; 0.04%o, LL = -0.81 &amp; PLUSMN; 0.12%o), enstatite chondrites the middle composition of -0.39 &amp; PLUSMN; 0.11%o (EH = -0.34 &amp; PLUSMN; 0.05%o, EL = -0.45 &amp; PLUSMN; 0.20%o), and carbonaceous chondrites the heaviest composition of -0.31 &amp; PLUSMN; 0.08%o. For the carbonaceous chondrite groups CK (-0.42 &amp; PLUSMN; 0.11%o), CR (-0.46 &amp; PLUSMN; 0.05%o), and CV (-0.38 &amp; PLUSMN; 0.07%o) chondrites show lighter &amp; delta;41K compositions compared to CO (-0.20 &amp; PLUSMN; 0.10%o), CM (-0.23 &amp; PLUSMN; 0.11%o), and CI (-0.21 &amp; PLUSMN; 0.05%o) chondrites. When these K isotope group averages are compared against the averages for other mass-dependent moderately volatile element isotope systems (&amp; delta;87Rb, &amp; delta;66Zn, &amp; delta;71Ga, &amp; delta;128Te) and mass-independent isotope systems (&amp; epsilon;54Cr, &amp; epsilon;64Ni, &amp; epsilon;50Ti, &amp; UDelta;17O, &amp; epsilon;40K, and &amp; epsilon;66Zn,), a range of correlations are observed. Across all chondrite groups &amp; delta;41K shows correlations with &amp; delta;87Rb, &amp; delta;66Zn, and &amp; delta;71Ga, and correlations with &amp; epsilon;54Cr, &amp; epsilon;64Ni, &amp; epsilon;50Ti, &amp; epsilon;40K, and &amp; epsilon;66Zn. When comparing the CCs only, correlations are observed between &amp; delta;41K and all four of the other moderately volatile elements assessed, while the mass-independent isotope systems show no strong correlations. Regarding the K isotope variations, these observations, along with other textural and chemical data, can be best explained by inherited isotopic variations form different precursor reservoirs (the cause of which is difficult to conclusively determine, though most likely related to the NC-CC dichotomy), and volatility related fractionation processes for the carbonaceous chondrite groups (most likely due to component mixing).</t>
  </si>
  <si>
    <t>[Koefoed, Piers; Pravdivtseva, Olga; Lodders, Katharina; Ogliore, Ryan; Wang, Kun] Washington Univ, McDonnell Ctr Space Sci, St Louis, MO 63130 USA; [Koefoed, Piers; Lodders, Katharina; Wang, Kun] Washington Univ, Dept Earth &amp; Planetary Sci, St Louis, MO 63130 USA; [Barrat, Jean-Alix] Univ Bretagne Occidentale, CNRS UMS 3113, Inst Univ Europeen Mer, F-29280 Plouzane, France; [Pravdivtseva, Olga; Ogliore, Ryan] Washington Univ, Dept Phys, St Louis, MO 63130 USA; [Alexander, Conel M. O'D.] Carnegie Inst Sci, Earth &amp; Planets Lab, Washington, DC 20015 USA</t>
  </si>
  <si>
    <t>Washington University (WUSTL); Washington University (WUSTL); Universite de Bretagne Occidentale; Institut Universitaire Europeen de la Mer (IUEM); Centre National de la Recherche Scientifique (CNRS); CNRS - National Institute for Earth Sciences &amp; Astronomy (INSU); Washington University (WUSTL); Carnegie Institution for Science</t>
  </si>
  <si>
    <t>Koefoed, P (corresponding author), Washington Univ, McDonnell Ctr Space Sci, St Louis, MO 63130 USA.</t>
  </si>
  <si>
    <t>piers.koefoed@wustl.edu</t>
  </si>
  <si>
    <t>Alexander, Conel M. O'D./N-7533-2013; Barrat, Jean Alix/C-8416-2017</t>
  </si>
  <si>
    <t>Alexander, Conel M. O'D./0000-0002-8558-1427; Wang, Kun/0000-0003-0691-7058; Barrat, Jean Alix/0000-0003-3158-3109; Pravdivtseva, Olga/0000-0003-4259-0291</t>
  </si>
  <si>
    <t>McDonnell Center for the Space Sciences; NASA [80NSSC21K0379, 80NSSC22K1689]; NSF; NASA</t>
  </si>
  <si>
    <t>McDonnell Center for the Space Sciences; NASA(National Aeronautics &amp; Space Administration (NASA)); NSF(National Science Foundation (NSF)); NASA(National Aeronautics &amp; Space Administration (NASA))</t>
  </si>
  <si>
    <t>We thank the McDonnell Center for the Space Sciences for providing the cosmochemistry postdoctoral fellowship which provided the funding for this project to be undertaken. Kun Wang acknowledges support from NASA (Emerging Worlds Program grant #80NSSC21K0379 and OSIRIS-REx Sample Analysis Participating Scientist Program grant #80NSSC22K1689). We thank the Antarctic Search for Meteorites (ANSMET), Dr. Kevin Righter at NASA Johnson Space Center, and Dr. Glenn MacPherson at the Smithsonian National Museum of Natural History for providing meteorite samples. US Antarctic meteorite samples are recovered by the ANSMET program, which has been funded by NSF and NASA, and characterized and curated by the Department of Mineral Sciences of the Smithsonian Institution and Astromaterials Acquisition and Curation Office at NASA Johnson Space Center. We would also like to thank Prof. Thorsten Kleine for the editorial handling and Dr. Nicole Nie and two anonymous reviewers for significantly improving the quality of the manuscript.</t>
  </si>
  <si>
    <t>0016-7037</t>
  </si>
  <si>
    <t>1872-9533</t>
  </si>
  <si>
    <t>GEOCHIM COSMOCHIM AC</t>
  </si>
  <si>
    <t>Geochim. Cosmochim. Acta</t>
  </si>
  <si>
    <t>OCT 1</t>
  </si>
  <si>
    <t>10.1016/j.gca.2023.07.025</t>
  </si>
  <si>
    <t>R5KM9</t>
  </si>
  <si>
    <t>WOS:001064739200001</t>
  </si>
  <si>
    <t>Hirano, D; Tamura, T; Kusahara, K; Fujii, M; Yamazaki, K; Nakayama, Y; Ono, K; Itaki, T; Aoyama, Y; Simizu, D; Mizobata, K; Ohshima, KI; Nogi, Y; Rintoul, SR; van Wijk, E; Greenbaum, JS; Blankenship, DD; Saito, K; Aoki, S</t>
  </si>
  <si>
    <t>Hirano, Daisuke; Tamura, Takeshi; Kusahara, Kazuya; Fujii, Masakazu; Yamazaki, Kaihe; Nakayama, Yoshihiro; Ono, Kazuya; Itaki, Takuya; Aoyama, Yuichi; Simizu, Daisuke; Mizobata, Kohei; Ohshima, Kay I.; Nogi, Yoshifumi; Rintoul, Stephen R.; van Wijk, Esmee; Greenbaum, Jamin S.; Blankenship, Donald D.; Saito, Koji; Aoki, Shigeru</t>
  </si>
  <si>
    <t>On-shelf circulation of warm water toward the Totten Ice Shelf in East Antarctica</t>
  </si>
  <si>
    <t>PINE ISLAND GLACIER; CONTINENTAL-SHELF; OCEAN; VARIABILITY; MELTWATER; BAY</t>
  </si>
  <si>
    <t>The Totten Glacier in East Antarctica, with an ice volume equivalent to &gt;3.5m of global sea-level rise, is grounded below sea level and, therefore, vulnerable to ocean forcing. Here, we use bathymetric and oceanographic observations from previously unsampled parts of the Totten continental shelf to reveal on-shelf warm water pathways defined by deep topographic features. Access of warm water to the Totten Ice Shelf (TIS) cavity is facilitated by a deep shelf break, a broad and deep depression on the shelf, a cyclonic circulation that carries warm water to the inner shelf, and deep troughs that provide direct access to the TIS cavity. The temperature of the warmest water reaching the TIS cavity varies by similar to 0.8 degrees C on an interannual timescale. Numerical simulations constrained by the updated bathymetry demonstrate that the deep troughs play a critical role in regulating ocean heat transport to the TIS cavity and the subsequent basal melt of the ice shelf.</t>
  </si>
  <si>
    <t>[Hirano, Daisuke; Tamura, Takeshi; Fujii, Masakazu; Yamazaki, Kaihe; Aoyama, Yuichi; Simizu, Daisuke; Nogi, Yoshifumi] Natl Inst Polar Res, Tachikawa, Tokyo, Japan; [Hirano, Daisuke; Tamura, Takeshi; Fujii, Masakazu; Aoyama, Yuichi; Nogi, Yoshifumi] SOKENDAI, Grad Univ Adv Studies, Tachikawa, Tokyo, Japan; [Kusahara, Kazuya] Japan Agcy Marine Earth Sci &amp; Technol, Yokohama, Kanagawa, Japan; [Yamazaki, Kaihe] Univ Tasmania, Inst Marine &amp; Antarct Studies, Hobart, Tas, Australia; [Yamazaki, Kaihe] Univ Tasmania, Australian Ctr Excellence Antarctic Sci, Hobart, Tas, Australia; [Nakayama, Yoshihiro; Ono, Kazuya; Ohshima, Kay I.; Aoki, Shigeru] Hokkaido Univ, Inst Low Temp Sci, Sapporo, Hokkaido, Japan; [Nakayama, Yoshihiro; Ohshima, Kay I.; Aoki, Shigeru] Hokkaido Univ, Grad Sch Environm Sci, Sapporo, Hokkaido, Japan; [Itaki, Takuya] Natl Inst Adv Ind Sci &amp; Technol, Tsukuba, Ibaraki, Japan; [Mizobata, Kohei] Tokyo Univ Marine Sci &amp; Technol, Tokyo, Japan; [Rintoul, Stephen R.; van Wijk, Esmee] CSIRO Environm, Hobart, Tas, Australia; [Rintoul, Stephen R.] Ctr Southern Hemisphere Oceans Res, Hobart, Tas, Australia; [Rintoul, Stephen R.; van Wijk, Esmee] Univ Tasmania, Australian Antarct Program Partnership, Hobart, Tas, Australia; [Greenbaum, Jamin S.] Univ Calif San Diego, Scripps Inst Oceanog, San Diego, CA USA; [Blankenship, Donald D.] Univ Texas Austin, Inst Geophys, Austin, TX USA; [Saito, Koji] Japan Coast Guard, Hydrog &amp; Oceanog Dept, Tokyo, Japan</t>
  </si>
  <si>
    <t>Research Organization of Information &amp; Systems (ROIS); National Institute of Polar Research (NIPR) - Japan; Graduate University for Advanced Studies - Japan; Japan Agency for Marine-Earth Science &amp; Technology (JAMSTEC); University of Tasmania; University of Tasmania; Hokkaido University; Hokkaido University; National Institute of Advanced Industrial Science &amp; Technology (AIST); Tokyo University of Marine Science &amp; Technology; University of Tasmania; University of California System; University of California San Diego; Scripps Institution of Oceanography; University of Texas System; University of Texas Austin</t>
  </si>
  <si>
    <t>Hirano, D (corresponding author), Natl Inst Polar Res, Tachikawa, Tokyo, Japan.;Hirano, D (corresponding author), SOKENDAI, Grad Univ Adv Studies, Tachikawa, Tokyo, Japan.</t>
  </si>
  <si>
    <t>hirano.daisuke@nipr.ac.jp</t>
  </si>
  <si>
    <t>Yamazaki, Kaihe/HRC-7878-2023; Hirano, Daisuke/P-3963-2019; van Wijk, Esmee/AAB-2451-2020; Mizobata, Kohei/D-6369-2012</t>
  </si>
  <si>
    <t>Yamazaki, Kaihe/0000-0003-3631-5365; van Wijk, Esmee/0000-0002-9375-4383; Kusahara, Kazuya/0000-0003-4067-7959; Ono, Kazuya/0000-0002-8282-5801; Mizobata, Kohei/0000-0001-7531-2349</t>
  </si>
  <si>
    <t>Ministry of Education, Culture, Sports, Science and Technology [JP20H04961, JP20K12132, JP17H06316, JP17H06317, JP17H06322, JP17H06323, JP17H01615, JP21H04918, JP17H04710, JP21H04931, JP19K12301, JP20H04979, JP17H01157, JP20H05707, JP21H03587, JP22H01337, JP22H05003, JP20H04970, JP21H01201, JP21K13989]; Science Program of Japanese Antarctic Research Expedition (JARE) as Prioritized Research Project, National Institute of Polar Research (NIPR) [KP-303, KP-306]; Center for the Promotion of Integrated Sciences of SOKENDAI; Joint Research Program of the Institute of Low Temperature Science, Hokkaido University [19S007, 20S008, 21S007, 22S012]; MEXT-Program for the advanced studies of climate change projection (SENTAN) [JPMXD0722681344]; Inoue Science Research Award from Inoue Science Foundation; Australian Government as part of the Antarctic Science Collaboration Initiative program; Centre for Southern Hemisphere Oceans Research; NSF [OPP-2114454, OPP-1543452]; NASA's Cryosphere Program [80NSSC22K0387]; G. Unger Vetlesen Foundation</t>
  </si>
  <si>
    <t>Ministry of Education, Culture, Sports, Science and Technology(Ministry of Education, Culture, Sports, Science and Technology, Japan (MEXT)); Science Program of Japanese Antarctic Research Expedition (JARE) as Prioritized Research Project, National Institute of Polar Research (NIPR); Center for the Promotion of Integrated Sciences of SOKENDAI; Joint Research Program of the Institute of Low Temperature Science, Hokkaido University; MEXT-Program for the advanced studies of climate change projection (SENTAN); Inoue Science Research Award from Inoue Science Foundation; Australian Government as part of the Antarctic Science Collaboration Initiative program(Australian Government); Centre for Southern Hemisphere Oceans Research(Commonwealth Scientific &amp; Industrial Research Organisation (CSIRO)); NSF(National Science Foundation (NSF)); NASA's Cryosphere Program(National Aeronautics &amp; Space Administration (NASA)); G. Unger Vetlesen Foundation</t>
  </si>
  <si>
    <t>The authors are deeply grateful to the officers, crews, and scientists on board icebreaker Shirase for their help with field observations. We also acknowledge technical support related to airborne observations provided by D. Duncan, G. Ng, and D. Buhl. The model simulations were carried out using DA system and Earth Simulator in JAMSTEC. This work was supported by Grants-in-Aids for Scientific Research (JP20H04961, JP20K12132, JP17H06316, JP17H06317, JP17H06322, JP17H06323, JP17H01615, JP21H04918, JP17H04710, JP21H04931, JP19K12301, JP20H04979, JP17H01157, JP20H05707, JP21H03587, JP22H01337, JP22H05003, JP20H04970, JP21H01201, and JP21K13989) of the Ministry of Education, Culture, Sports, Science and Technology, the Science Program of Japanese Antarctic Research Expedition (JARE) as Prioritized Research Project, National Institute of Polar Research (NIPR) through Project Research KP-303 and KP-306, the Center for the Promotion of Integrated Sciences of SOKENDAI, and the Joint Research Program of the Institute of Low Temperature Science, Hokkaido University (19S007, 20S008, 21S007, and 22S012). K.K. was supported by MEXT-Program for the advanced studies of climate change projection (SENTAN) Grant Number JPMXD0722681344. M.F. was supported by Challenging Exploratory Research Projects for the Future grant from Research Organization of Information and Systems (ROIS). Y.N. was supported by Inoue Science Research Award from Inoue Science Foundation. S.R. and E.V.W. were supported by grant funding from the Australian Government as part of the Antarctic Science Collaboration Initiative program and by the Centre for Southern Hemisphere Oceans Research. J.S.G. was supported by NSF project OPP-2114454 and NASA's Cryosphere Program under grant 80NSSC22K0387; D.D.B. and J.S.G. were supported by NSF project OPP-1543452 and the G. Unger Vetlesen Foundation. We finally acknowledge the use of imagery provided by services from NASA's Global Imagery Browse Services (GIBS), part of NASA's Earth Observing System Data and Information System (EOSDIS).</t>
  </si>
  <si>
    <t>AUG 17</t>
  </si>
  <si>
    <t>10.1038/s41467-023-39764-z</t>
  </si>
  <si>
    <t>S0AF2</t>
  </si>
  <si>
    <t>WOS:001067877800003</t>
  </si>
  <si>
    <t>Rosenfeld, S; Maturana, CS; Gañan, M; Cárcamo, JR; Díaz, A; Contador, T; Aldea, C; Gonzalez-Wevar, C; Orlando, J; Poulin, E</t>
  </si>
  <si>
    <t>Rosenfeld, Sebastian; Maturana, Claudia S.; Ganan, Melisa; Carcamo, Javier Rendoll; Diaz, Angie; Contador, Tamara; Aldea, Cristian; Gonzalez-Wevar, Claudio; Orlando, Julieta; Poulin, Elie</t>
  </si>
  <si>
    <t>Revealing the hidden biodiversity of Antarctic and the Magellanic Sub-Antarctic Ecoregion: A comprehensive study of aquatic invertebrates from the BASE Project</t>
  </si>
  <si>
    <t>BIODIVERSITY DATA JOURNAL</t>
  </si>
  <si>
    <t>Article; Data Paper</t>
  </si>
  <si>
    <t>Cape Horn Biosphere Reserve; freshwater ecosystems; GBIF; macroinvertebrates; Southern Ocean</t>
  </si>
  <si>
    <t>GASTROPODA; PHYLOGENY; DIVERSITY; 56-DEGREES-31S; COMMUNITIES; MACROALGAE; REVISION; THIELE; GENERA; GENUS</t>
  </si>
  <si>
    <t>BackgroundAntarctica, its outlying archipelagoes and the Magellanic Subantarctic (MSA) ecoregion are amongst the last true wilderness areas remaining on the planet. Therefore, the publication, citation and peer review of their biodiversity data are essential. The new Millennium Institute Biodiversity of Antarctic and Subantarctic Ecosystems (BASE), a Chilean scientific initiative funded by the National Agency of Research and Innovation, contributes 770 new records of aquatic invertebrates as a point of reference for present-day biodiversity research at these latitudes.New informationThe occurrence dataset presented here has never been released before and is the result of the systematic recording of occurrences of several taxa across the Antarctic, Subantarctic and Magellanic Subantarctic ecoregions. We collected data from marine and freshwater invertebrates across numerous samplings from 2008 to 2023. From the 770 occurrences, we identified 160 taxa, 125 at species level and 35 at the genus level. The database has been registered in the Global Biodiversity Information Facility (GBIF). The publication of this data paper was funded by the Belgian Science Policy Office (BELSPO, contract n(degrees)FR/36/AN1/AntaBIS) in the Framework of EU-Lifewatch as a contribution to the SCAR Antarctic biodiversity portal (biodiversity.aq)</t>
  </si>
  <si>
    <t>[Rosenfeld, Sebastian; Maturana, Claudia S.; Ganan, Melisa; Carcamo, Javier Rendoll; Diaz, Angie; Contador, Tamara; Gonzalez-Wevar, Claudio; Orlando, Julieta; Poulin, Elie] Millennium Inst Biodivers Antarctic &amp; Subantarcti, Santiago, Chile; [Rosenfeld, Sebastian; Maturana, Claudia S.; Ganan, Melisa; Carcamo, Javier Rendoll; Contador, Tamara] Cape Horn Int Ctr CHIC, Puerto Williams, Chile; [Rosenfeld, Sebastian; Aldea, Cristian] Univ Magallanes, Ctr Invest Gaia Antartica, Punta Arenas, Chile; [Ganan, Melisa; Contador, Tamara] Univ Magallanes, Lab Ecol Dulceacuicola Wankara, Programa Conservac Biocultural Subantartica, Puerto Williams, Chile; [Ganan, Melisa; Contador, Tamara] Millennium Nucleus Austral Invas Salmonids INVASA, Concepcion, Chile; [Ganan, Melisa] Univ Barcelona UB, Dept Biol Evolut Ecol &amp; Ciencies Ambientals, FEHM Lab Freshwater Ecol Hydrol &amp; Management, Fac Biol, Diagonal 643, Barcelona 08028, Spain; [Ganan, Melisa] Univ Barcelona UB, Inst Recerca Biodiversitat IRBio, Diagonal 643, Barcelona 08028, Spain; [Diaz, Angie] Univ Concepcion, Dept Zool, Concepcion, Chile; [Gonzalez-Wevar, Claudio] Univ Austral Chile, Inst Ciencias Marinas &amp; Limnol ICML, Ctr Fondap Ideal, Valdivia, Chile; [Orlando, Julieta] Univ Chile, Fac Ciencias, Dept Ciencias Ecol, Santiago, Chile</t>
  </si>
  <si>
    <t>Universidad de Magallanes; Universidad de Magallanes; University of Barcelona; University of Barcelona; Universidad de Concepcion; Universidad Austral de Chile; Universidad de Chile</t>
  </si>
  <si>
    <t>Maturana, CS (corresponding author), Millennium Inst Biodivers Antarctic &amp; Subantarcti, Santiago, Chile.;Maturana, CS (corresponding author), Cape Horn Int Ctr CHIC, Puerto Williams, Chile.</t>
  </si>
  <si>
    <t>cmaturana.ciencias@gmail.com</t>
  </si>
  <si>
    <t>Poulin, Elie/C-2654-2012; Maturana, Claudia/JOK-7975-2023; Contador, Tamara/Q-1914-2018</t>
  </si>
  <si>
    <t>Poulin, Elie/0000-0001-7736-0969; Maturana, Claudia/0000-0002-4427-8093; Contador, Tamara/0000-0002-0250-9877; Aldea, Cristian/0000-0002-4473-6509; Ganan Mora, Melisa/0000-0001-6411-9295</t>
  </si>
  <si>
    <t>ANID-Millennium Science Initiative Program [ICN2021_002, ANID/BASAL FB210018]; National Research Agency (FONDECYT) [3210063, 1210787, PIA ACT 122065]; Chilean Antarctic Program [DT_04-16, FP_01-21, DG_10-22]</t>
  </si>
  <si>
    <t>ANID-Millennium Science Initiative Program; National Research Agency (FONDECYT); Chilean Antarctic Program</t>
  </si>
  <si>
    <t>This work was possible thanks to the collaboration of researchers from the core team dedicated to studying marine and freshwater invertebrates. This initiative is funded by ANID-Millennium Science Initiative Program ICN2021_002 and ANID/BASAL FB210018. The Antarctic and Subantarctic expeditions, developed from 2008 to date, were financed by various research funds, mainly from the National Research Agency (FONDECYT 3210063, 1210787, PIA ACT 122065) and the Chilean Antarctic Program (DT_04-16, FP_01-21, DG_10-22) . The authors would like to thank the Chilean Antarctic Institute (INACH) and the Chilean Navy from the Aquiles and Oscar Viel ships for ECA53, ECA54 and ECA55 and the crew from the Betanzos ship during the ECA58 and ECA59. We also would like to thank Commandant Charcot and our Scientist leader Geoffroy Dekersauson from Ponant expedition LEGCC120302023.</t>
  </si>
  <si>
    <t>PENSOFT PUBLISHERS</t>
  </si>
  <si>
    <t>12 PROF GEORGI ZLATARSKI ST, SOFIA, 1700, BULGARIA</t>
  </si>
  <si>
    <t>1314-2836</t>
  </si>
  <si>
    <t>1314-2828</t>
  </si>
  <si>
    <t>BIODIVERS DATA J</t>
  </si>
  <si>
    <t>Biodiver. Data J.</t>
  </si>
  <si>
    <t>e108566</t>
  </si>
  <si>
    <t>10.3897/BDJ.11.e108566</t>
  </si>
  <si>
    <t>S9ST4</t>
  </si>
  <si>
    <t>WOS:001074498700002</t>
  </si>
  <si>
    <t>Bryndum-Buchholz, A; Blanchard, JL; Coll, M; Du Pontavice, H; Everett, JD; Guiet, J; Heneghan, RF; Maury, O; Novaglio, C; Palacios-Abrantes, J; Petrik, CM; Tittensor, DP; Lotze, HK</t>
  </si>
  <si>
    <t>Bryndum-Buchholz, Andrea; Blanchard, Julia L.; Coll, Marta; Du Pontavice, Hubert; Everett, Jason D.; Guiet, Jerome; Heneghan, Ryan F.; Maury, Olivier; Novaglio, Camilla; Palacios-Abrantes, Juliano; Petrik, Colleen M.; Tittensor, Derek P.; Lotze, Heike K.</t>
  </si>
  <si>
    <t>Applying ensemble ecosystem model projections to future-proof marine conservation planning in the Northwest Atlantic Ocean</t>
  </si>
  <si>
    <t>FACETS</t>
  </si>
  <si>
    <t>climate change impacts; ensemble modelling; marine biomass projections; MPAs; OECMs; Atlantic Canada</t>
  </si>
  <si>
    <t>NET PRIMARY PRODUCTIVITY; CLIMATE-CHANGE IMPACTS; 21ST-CENTURY PROJECTIONS; BIODIVERSITY; SYSTEM; FISHERIES; DYNAMICS; REFUGIA; SHELF</t>
  </si>
  <si>
    <t>Climate change is altering marine ecosystems across the globe and is projected to do so for centuries to come. Marine conservation agencies can use short- and long-term projections of species-specific or ecosystem-level climate responses to inform marine conservation planning. Yet, integration of climate change adaptation, mitigation, and resilience into marine conservation planning is limited. We analysed future trajectories of climate change impacts on total consumer biomass and six key physical and biogeochemical drivers across the Northwest Atlantic Ocean to evaluate the consequences for Marine Protected Areas (MPAs) and Other Effective area-based Conservation Measures (OECMs) in Atlantic Canada. We identified climate change hotspots and refugia, where the environmental drivers are projected to change most or remain close to their current state, respectively, by mid- and end-century. We used standardized outputs from the Fisheries and Marine Ecosystem Model Intercomparison Project and the 6th Coupled Model Intercomparison Project. Our analysis revealed that, currently, no existing marine conservation areas in Atlantic Canada overlap with identified climate refugia. Most (75%) established MPAs and more than one-third (39%) of the established OECMs lie within cumulative climate hotspots. Our results provide important long-term context for adaptation and future-proofing spatial marine conservation planning in Canada and the Northwest Atlantic region.</t>
  </si>
  <si>
    <t>[Bryndum-Buchholz, Andrea; Tittensor, Derek P.; Lotze, Heike K.] Dalhousie Univ, Dept Biol, 1355 Oxford St, Halifax, NS B3H 4R2, Canada; [Bryndum-Buchholz, Andrea] Mem Univ Newfoundland, Fisheries &amp; Marine Inst, Ctr Fisheries Ecosyst Res, St John, NF, Canada; [Blanchard, Julia L.; Novaglio, Camilla] Univ Tasmania, Inst Marine &amp; Antarctic Studies, Hobart, Tas, Australia; [Blanchard, Julia L.; Novaglio, Camilla] Univ Tasmania, Ctr Marine Socioecol, Hobart, Tas, Australia; [Coll, Marta] CSIC, Inst Marine Sci ICM, Barcelona, Spain; [Coll, Marta] Ecopath Int Initiat Res Assoc, Barcelona, Spain; [Du Pontavice, Hubert] Princeton Univ, Atmospher &amp; Ocean Sci Program, Princeton, NJ USA; [Everett, Jason D.] Univ Queensland, Sch Math &amp; Phys, St Lucia, Qld 4067, Australia; [Everett, Jason D.] Commonwealth Sci &amp; Ind Res Org CSIRO, Oceans &amp; Atmosphere, Queensland Biosci Precinct QBP, St Lucia, Qld 4067, Australia; [Everett, Jason D.] Univ New South Wales, Ctr Marine Sci &amp; Innovat, Sydney, NSW 2052, Australia; [Guiet, Jerome] Univ Calif Los Angeles, Dept Atmospher &amp; Ocean Sci, Los Angeles, CA USA; [Heneghan, Ryan F.] Queensland Univ Technol, Sch Math Sci, Brisbane, Qld, Australia; [Maury, Olivier] Univ Montpellier, MARBEC, CNRS, Ifremer,IRD, Sete, France; [Palacios-Abrantes, Juliano] Univ British Columbia, Inst Oceans &amp; Fisheries, Vancouver, BC, Canada; [Petrik, Colleen M.] Univ Calif San Diego, Scripps Inst Oceanog, San Diego, CA USA; [Tittensor, Derek P.] United Nations Environm Programme World Conservat, 219 Huntingdon Rd, Cambridge CB3 0DL, England</t>
  </si>
  <si>
    <t>Dalhousie University; Memorial University Newfoundland; University of Tasmania; University of Tasmania; Consejo Superior de Investigaciones Cientificas (CSIC); CSIC - Centro Mediterraneo de Investigaciones Marinas y Ambientales (CMIMA); CSIC - Instituto de Ciencias del Mar (ICM); National Oceanic Atmospheric Admin (NOAA) - USA; Princeton University; University of Queensland; Commonwealth Scientific &amp; Industrial Research Organisation (CSIRO); University of New South Wales Sydney; University of California System; University of California Los Angeles; Queensland University of Technology (QUT); Centre National de la Recherche Scientifique (CNRS); Universite de Montpellier; Ifremer; Institut de Recherche pour le Developpement (IRD); University of British Columbia; University of California System; University of California San Diego; Scripps Institution of Oceanography</t>
  </si>
  <si>
    <t>Bryndum-Buchholz, A (corresponding author), Dalhousie Univ, Dept Biol, 1355 Oxford St, Halifax, NS B3H 4R2, Canada.;Bryndum-Buchholz, A (corresponding author), Mem Univ Newfoundland, Fisheries &amp; Marine Inst, Ctr Fisheries Ecosyst Res, St John, NF, Canada.</t>
  </si>
  <si>
    <t>andrea.buchholz@mi.mun.ca</t>
  </si>
  <si>
    <t>Everett, Jason/C-4557-2008; Coll, Marta/A-9488-2012</t>
  </si>
  <si>
    <t>Everett, Jason/0000-0002-6681-8054; Novaglio, Camilla/0000-0003-3681-1377; Du Pontavice, Hubert/0000-0001-9571-0651; Heneghan, Ryan/0000-0001-7626-1248; Coll, Marta/0000-0001-6235-5868; Palacios-Abrantes, Juliano/0000-0001-8969-5416</t>
  </si>
  <si>
    <t>MEOPAR Postdoctoral Fellowship Award; Natural Sciences and Engineering Research Council (NSERC) of Canada; NOAA NEFSC's New England's Groundfish in a Changing Climate program; Spanish National Project ProOceans [NA20OAR4310438]; EU [NA20OAR4310441]; NOAA [NA20OAR4310442, DP19010229, FT210100798]; Jarislowsky Foundation; Australian Research Council Discovery Project [80NSSC21K0420]; Australian Research Council; Ocean Frontier Institute - Canada First Research Excellence Fund; National Aeronautics and Space Administration (NASA); Severo Ochoa Centre of Excellence accreditation [CEX2019-000928-S]; NSERC; Australian Research Council [FT210100798] Funding Source: Australian Research Council</t>
  </si>
  <si>
    <t>MEOPAR Postdoctoral Fellowship Award; Natural Sciences and Engineering Research Council (NSERC) of Canada(Natural Sciences and Engineering Research Council of Canada (NSERC)); NOAA NEFSC's New England's Groundfish in a Changing Climate program; Spanish National Project ProOceans; EU(European Union (EU)); NOAA(National Oceanic Atmospheric Admin (NOAA) - USA); Jarislowsky Foundation; Australian Research Council Discovery Project(Australian Research Council); Australian Research Council(Australian Research Council); Ocean Frontier Institute - Canada First Research Excellence Fund; National Aeronautics and Space Administration (NASA)(National Aeronautics &amp; Space Administration (NASA)); Severo Ochoa Centre of Excellence accreditation; NSERC(Natural Sciences and Engineering Research Council of Canada (NSERC)); Australian Research Council(Australian Research Council)</t>
  </si>
  <si>
    <t>ABB acknowledges financial support from the MEOPAR Postdoctoral Fellowship Award 2020-2021, 2021-2022, and the Ocean Frontier Institute Modules G and H funded by the Canada First Research Excellence Fund. HKL acknowledges funding from the Natural Sciences and Engineering Research Council (NSERC) of Canada. Funding for Hubert du Pontavice was provided by the NOAA NEFSC's New England's Groundfish in a Changing Climate program. MC would like to acknowledge partial funding from the Spanish National Project ProOceans (PID2020-118097RB-I00) , the EU grant agreement No 101059407 (MarinePlan project) , and the Severo Ochoa Centre of Excellence accreditation (CEX2019-000928-S) to the Institute of Marine Science. OM acknowledges the EU H2020 Grant No. 817578 (TRIATLAS) . CMP acknowledges support from NOAA grants NA20OAR4310438, NA20OAR4310441, and NA20OAR4310442. DPT acknowledges funding from the Jarislowsky Foundation and NSERC. JDE was funded by the Australian Research Council Discovery Project No. DP19010229. JLB and CN were supported by Australian Research Council FT210100798. JG acknowledges support from the National Aeronautics and Space Administration (NASA) under Grant No. 80NSSC21K0420.</t>
  </si>
  <si>
    <t>CANADIAN SCIENCE PUBLISHING</t>
  </si>
  <si>
    <t>OTTAWA</t>
  </si>
  <si>
    <t>65 AURIGA DR, SUITE 203, OTTAWA, ON K2E 7W6, CANADA</t>
  </si>
  <si>
    <t>2371-1671</t>
  </si>
  <si>
    <t>Facets</t>
  </si>
  <si>
    <t>10.1139/facets-2023-0024</t>
  </si>
  <si>
    <t>S7GM5</t>
  </si>
  <si>
    <t>gold, Green Submitted</t>
  </si>
  <si>
    <t>WOS:001072816700001</t>
  </si>
  <si>
    <t>Nichols, KA; Rood, DH; Venturelli, RA; Balco, G; Adams, JR; Guillaume, L; Campbell, S; Goehring, BM; Hall, BL; Wilcken, K; Woodward, J; Johnson, JS</t>
  </si>
  <si>
    <t>Nichols, Keir A.; Rood, Dylan H.; Venturelli, Ryan A.; Balco, Greg; Adams, Jonathan R.; Guillaume, Louise; Campbell, Seth; Goehring, Brent M.; Hall, Brenda L.; Wilcken, Klaus; Woodward, John; Johnson, Joanne S.</t>
  </si>
  <si>
    <t>Offshore-onshore record of Last Glacial Maximum-to-present grounding line retreat at Pine Island Glacier, Antarctica</t>
  </si>
  <si>
    <t>GEOLOGY</t>
  </si>
  <si>
    <t>AMUNDSEN SEA EMBAYMENT; ICE-SHEET RETREAT; WEST ANTARCTICA; EXPOSURE AGES; DEGLACIATION</t>
  </si>
  <si>
    <t>Pine Island Glacier, West Antarctica, is the largest Antarctic contributor to global sealevel rise and is vulnerable to rapid retreat, yet our knowledge of its deglacial history since the Last Glacial Maximum is based largely on marine sediments that record a retreat history ending in the early Holocene. Using a suite of 10Be exposure ages from onshore glacial deposits directly adjacent to Pine Island Glacier, we show that this major glacier thinned rapidly in the early to mid-Holocene. Our results indicate that Pine Island Glacier was at least 690 m thicker than present prior to ca. 8 ka. We infer that the rapid thinning detected at the site farthest downstream records the arrival and stabilization of the retreating grounding line at that site by 8-6 ka. By combining our exposure ages and the marine record, we extend knowledge of Pine Island Glacier retreat both spatially and temporally: to 50 km from the modern grounding line and to the mid-Holocene, providing a data set that is important for future numerical ice-sheet model validation.</t>
  </si>
  <si>
    <t>[Nichols, Keir A.; Rood, Dylan H.; Adams, Jonathan R.; Guillaume, Louise] Imperial Coll London, Dept Earth Sci &amp; Engn, London SW7 2BX, England; [Venturelli, Ryan A.] Colorado Sch Mines, Dept Geol &amp; Geol Engn, Golden, CO 80401 USA; [Balco, Greg] Berkeley Geochronol Ctr, Berkeley, CA 94709 USA; [Adams, Jonathan R.; Johnson, Joanne S.] British Antarctic Survey, Cambridge CB3 0ET, England; [Campbell, Seth; Hall, Brenda L.] Univ Maine, Sch Earth &amp; Climate Sci, Orono, ME 04469 USA; [Campbell, Seth; Hall, Brenda L.] Univ Maine, Climate Change Inst, Orono, ME 04469 USA; [Goehring, Brent M.] Los Alamos Natl Lab, Earth &amp; Environm Sci Div, Los Alamos, NM 87544 USA; [Wilcken, Klaus] Australian Nucl Sci &amp; Technol Org ANSTO, Lucas Heights, NSW 2234, Australia; [Woodward, John] Northumbria Univ, Dept Geog &amp; Environm Sci, Newcastle Upon Tyne NE1 8ST, England</t>
  </si>
  <si>
    <t>Imperial College London; Colorado School of Mines; Berkeley Geochronolgy Center; UK Research &amp; Innovation (UKRI); Natural Environment Research Council (NERC); NERC British Antarctic Survey; University of Maine System; University of Maine Orono; University of Maine System; University of Maine Orono; United States Department of Energy (DOE); Los Alamos National Laboratory; Australian Nuclear Science &amp; Technology Organisation; Northumbria University</t>
  </si>
  <si>
    <t>Nichols, KA (corresponding author), Imperial Coll London, Dept Earth Sci &amp; Engn, London SW7 2BX, England.</t>
  </si>
  <si>
    <t>keir.nichols@imperial.ac.uk</t>
  </si>
  <si>
    <t>Guillaume, Louise/GYR-1116-2022</t>
  </si>
  <si>
    <t>Guillaume, Louise/0000-0002-9633-0439; Nichols, Keir/0000-0002-9447-9918; Woodward, John/0000-0002-4980-4080</t>
  </si>
  <si>
    <t>Natural Environment Research Council (NERC); NSF [OPP 2317097]; NERC [NE/S006710/1, NE/S006753/1, NE/S00663X/1]; Centre for Accelerator Science at the Australian Nuclear Science and Technology Organisation (ANSTO) through the National Collaborative Research Infrastructure Strategy (NCRIS); ANSTO [AP12872]</t>
  </si>
  <si>
    <t>Natural Environment Research Council (NERC)(UK Research &amp; Innovation (UKRI)Natural Environment Research Council (NERC)); NSF(National Science Foundation (NSF)); NERC(UK Research &amp; Innovation (UKRI)Natural Environment Research Council (NERC)); Centre for Accelerator Science at the Australian Nuclear Science and Technology Organisation (ANSTO) through the National Collaborative Research Infrastructure Strategy (NCRIS); ANSTO</t>
  </si>
  <si>
    <t>&amp; nbsp;This work is from the Geological History Constraints (GHC) project, a component of the International Thwaites Glacier Collaboration (ITGC). This work forms part of the British Antarctic Survey (BAS) Polar Science for a Sustainable Planet program, funded by the Natural Environment Research Council (NERC). We acknowledge support from NSF (grant OPP 2317097) NERC (grants NE/S006710/1, NE/S006753/1, and NE/S00663X/1). This research was also supported by the Centre for Accelerator Science at the Australian Nuclear Science and Technology Organisation (ANSTO) through the National Collaborative Research Infrastructure Strategy (NCRIS). We acknowledge the support of ANSTO award AP12872 to D.H. Rood. We are grateful for technical support from Mark Evans, BAS Operations &amp; Logistics Teams, and Rothera Research Station for field input and support to J.S. Johnson and J. Woodward in the 2019-2020 Antarctic season, and BAS Field Guide Tom King for help and support with sample collection. We thank Adrian Fox, Nathan Fenney, Elena Field, and Andrew Fleming (BAS Mapping and Geographic Information Centre) for support with global positioning system (GPS) data, satellite imagery, and field maps. We also thank James Smith (BAS) for fruitful discussions about marine geologic data. This is ITGC contribution ITGC-106.</t>
  </si>
  <si>
    <t>0091-7613</t>
  </si>
  <si>
    <t>1943-2682</t>
  </si>
  <si>
    <t>10.1130/G51326.1</t>
  </si>
  <si>
    <t>Y7YT0</t>
  </si>
  <si>
    <t>Green Submitted, Bronze, Green Accepted</t>
  </si>
  <si>
    <t>WOS:001057727900001</t>
  </si>
  <si>
    <t>Bosson, JB; Huss, M; Cauvy-Fraunié, S; Clément, JC; Costes, G; Fischer, M; Poulenard, J; Arthaud, F</t>
  </si>
  <si>
    <t>Bosson, J. B.; Huss, M.; Cauvy-Fraunie, S.; Clement, J. C.; Costes, G.; Fischer, M.; Poulenard, J.; Arthaud, F.</t>
  </si>
  <si>
    <t>Future emergence of new ecosystems caused by glacial retreat</t>
  </si>
  <si>
    <t>MASS-LOSS; ICE; WATER; CARBON; MODEL; LAKES; COLD</t>
  </si>
  <si>
    <t>Glacier shrinkage and the development of post-glacial ecosystems related to anthropogenic climate change are some of the fastest ongoing ecosystem shifts, with marked ecological and societal cascading consequences(1-6). Yet, no complete spatial analysis exists, to our knowledge, to quantify or anticipate this important changeover(7,8). Here we show that by 2100, the decline of all glaciers outside the Antarctic and Greenland ice sheets may produce new terrestrial, marine and freshwater ecosystems over an area ranging from the size of Nepal (149,000 +/- 55,000 km2) to that of Finland (339,000 +/- 99,000 km2). Our analysis shows that the loss of glacier area will range from 22 +/- 8% to 51 +/- 15%, depending on the climate scenario. In deglaciated areas, the emerging ecosystems will be characterized by extreme to mild ecological conditions, offering refuge for cold-adapted species or favouring primary productivity and generalist species. Exploring the future of glacierized areas highlights the importance of glaciers and emerging post-glacial ecosystems in the face of climate change, biodiversity loss and freshwater scarcity. We find that less than half of glacial areas are located in protected areas. Echoing the recent United Nations resolution declaring 2025 as the International Year of Glaciers' Preservation(9) and the Global Biodiversity Framework(10), we emphasize the need to urgently and simultaneously enhance climate-change mitigation and the in situ protection of these ecosystems to secure their existence, functioning and values.</t>
  </si>
  <si>
    <t>[Bosson, J. B.; Costes, G.] Conservatory Nat Areas Haute Savoie, Asters, Annecy, Savoie, France; [Huss, M.] Swiss Fed Inst Forest, Snow &amp; Landscape Res WSL, Birmensdorf, Switzerland; [Huss, M.] Swiss Fed Inst Technol, Lab Hydraul Hydrol &amp; Glaciol VAW, Zurich, Switzerland; [Huss, M.] Univ Fribourg, Dept Geosci, Fribourg, Switzerland; [Cauvy-Fraunie, S.] Ctr Lyon Villeurbanne, INRAE, UR RIVERLY, Villeurbanne, France; [Clement, J. C.; Arthaud, F.] Univ Savoie Mont Blanc, INRAE, CARRTEL, Thonon les bains, France; [Fischer, M.] Univ Bern, Inst Geog, Bern, Switzerland; [Fischer, M.] Univ Bern, Oeschger Ctr Climate Change Res, Bern, Switzerland; [Poulenard, J.] Univ Savoie Mont Blanc, Lab Environm Dynam &amp; Terr Montagne EDYTEM, CNRS, Le Bourget du lac, France</t>
  </si>
  <si>
    <t>Swiss Federal Institutes of Technology Domain; Swiss Federal Institute for Forest, Snow &amp; Landscape Research; Swiss Federal Institutes of Technology Domain; ETH Zurich; University of Fribourg; INRAE; INRAE; Universite Savoie Mont Blanc; University of Bern; University of Bern; Centre National de la Recherche Scientifique (CNRS); Universite Savoie Mont Blanc</t>
  </si>
  <si>
    <t>Bosson, JB (corresponding author), Conservatory Nat Areas Haute Savoie, Asters, Annecy, Savoie, France.</t>
  </si>
  <si>
    <t>jeanbaptiste.bosson@gmail.com</t>
  </si>
  <si>
    <t>Huss, Matthias/JLL-6340-2023; CLEMENT, Jean-Christophe/C-8589-2011; Poulenard, Jerome/I-2491-2012</t>
  </si>
  <si>
    <t>CLEMENT, Jean-Christophe/0000-0002-0841-7199; Fischer, Mauro/0000-0002-0950-776X; Bosson, Jean-Baptiste/0000-0003-4732-4945; Poulenard, Jerome/0000-0003-0810-0308; Cauvy-Fraunie, sophie/0000-0001-8600-0519</t>
  </si>
  <si>
    <t>WWF France; Mirova Foundation; Fondation Universite Savoie Mont Blanc; la Banque des Territoires; Fondation Eau Neige et Glace; Kilian Jornet Foundation; DIPEE Grenoble Chambery; FREE-Alpes Federation; Fondation Eau Neige et Glace; Millet Mountain Group; Swen Capital Partners; [2001-CNRS]</t>
  </si>
  <si>
    <t>WWF France; Mirova Foundation; Fondation Universite Savoie Mont Blanc; la Banque des Territoires; Fondation Eau Neige et Glace; Kilian Jornet Foundation; DIPEE Grenoble Chambery; FREE-Alpes Federation; Fondation Eau Neige et Glace; Millet Mountain Group; Swen Capital Partners;</t>
  </si>
  <si>
    <t>We thank all the people in science and nature conservation, especially M. Salerno, C. Charbert, K. Heas,&amp; nbsp;M. Heuret, S. Lana, J. R. Lee, C. Poirier and P. Billet, who made this paper possible through the Ice &amp; Life project (www.iceandlife.com) and helped us to noticeably improve its content and the reviewers N. Gomez, W. Immerzeel, N. Lecomte and L. Vargo for their constructive comments. Ice &amp; Life received financial support from WWF France and Mirova Foundation, the Fondation Universite Savoie Mont Blanc, the DIPEE GrenobleChambery and the FREE-Alpes Federation (FR no. 2001-CNRS), la Banque des Territoires,&amp; nbsp;the Fondation Eau Neige et Glace, Millet Mountain Group, Quechua, Patagonia, Picture,&amp; nbsp;Credit Agricole des Savoie, Swen Capital Partners, Imepsa and the Kilian Jornet Foundation.</t>
  </si>
  <si>
    <t>10.1038/s41586-023-06302-2</t>
  </si>
  <si>
    <t>P4PE8</t>
  </si>
  <si>
    <t>WOS:001050475100002</t>
  </si>
  <si>
    <t>Stanford, MW; Fridlind, AM; Silber, I; Ackerman, AS; Cesana, G; Mülmenstädt, J; Protat, A; Alexander, S; McDonald, A</t>
  </si>
  <si>
    <t>Stanford, McKenna W.; Fridlind, Ann M.; Silber, Israel; Ackerman, Andrew S.; Cesana, Greg; Mulmenstadt, Johannes; Protat, Alain; Alexander, Simon; McDonald, Adrian</t>
  </si>
  <si>
    <t>Earth-system-model evaluation of cloud and precipitation occurrence for supercooled and warm clouds over the Southern Ocean's Macquarie Island</t>
  </si>
  <si>
    <t>ATMOSPHERIC CHEMISTRY AND PHYSICS</t>
  </si>
  <si>
    <t>SHALLOW CUMULUS CLOUDS; GROUND-BASED LIDAR; R/V INVESTIGATOR; RADIATION BIASES; CARBON-DIOXIDE; ICE FORMATION; LIQUID-WATER; PHASE; CLIMATE; SURFACE</t>
  </si>
  <si>
    <t>Over the remote Southern Ocean (SO), cloud feedbacks contribute substantially to Earth system model (ESM) radiative biases. The evolution of low Southern Ocean clouds (cloud-top heights &lt; similar to 3 km) is strongly modulated by precipitation and/or evaporation, which act as the primary sink of cloud condensate. Constraining precipitation processes in ESMs requires robust observations suitable for process-level evaluations. A year-long subset (April 2016-March 2017) of ground-based profiling instrumentation deployed during the Macquarie Island Cloud and Radiation Experiment (MICRE) field campaign (54.5(degrees)S, 158.9(degrees)E) combines a 95 GHz (W-band) Doppler cloud radar, two lidar ceilometers, and balloon-borne soundings to quantify the occurrence frequency of precipitation from the liquid-phase cloud base. Liquid-based clouds at Macquarie Island precipitate similar to 70 % of the time, with deeper and colder clouds precipitating more frequently and at a higher intensity compared to thinner and warmer clouds. Supercooled cloud layers precipitate more readily than layers with cloud-top temperatures &gt; 0 degrees C, regardless of the geometric thickness of the layer, and also evaporate more frequently. We further demonstrate an approach to employ these observational constraints for evaluation of a 9-year GISS-ModelE3 ESM simulation. Model output is processed through the Earth Model Column Collaboratory (EMC2) radar and lidar instrument simulator with the same instrument specifications as those deployed during MICRE, therefore accounting for instrument sensitivities and ensuring a coherent comparison. Relative to MICRE observations, the ESM produces a smaller cloud occurrence frequency, smaller precipitation occurrence frequency, and greater sub-cloud evaporation. The lower precipitation occurrence frequency by the ESM relative to MICRE contrasts with numerous studies that suggest a ubiquitous bias by ESMs to precipitate too frequently over the SO when compared with satellite-based observations, likely owing to sensitivity limitations of spaceborne instrumentation and different sampling methodologies for ground- versus space-based observations. Despite these deficiencies, the ESM reproduces the observed tendency for deeper and colder clouds to precipitate more frequently and at a higher intensity. The ESM also reproduces specific cloud regimes, including near-surface clouds that account for similar to 25 % of liquid-based clouds during MICRE and optically thin, non-precipitating clouds that account for similar to 27 % of clouds with bases higher than 250 m. We suggest that the demonstrated framework, which merges observations with appropriately constrained model output, is a valuable approach to evaluate processes responsible for cloud radiative feedbacks in ESMs.</t>
  </si>
  <si>
    <t>[Stanford, McKenna W.] Columbia Univ, Ctr Climate Syst Res, New York, NY 10027 USA; [Stanford, McKenna W.; Fridlind, Ann M.; Ackerman, Andrew S.; Cesana, Greg] NASA, Goddard Inst Space Studies, New York, NY 10025 USA; [Silber, Israel] Penn State Univ, Dept Meteorol &amp; Atmospher Sci, University Pk, PA USA; [Mulmenstadt, Johannes] Pacific Northwest Natl Lab, Atmospher Sci &amp; Global Change Div, Richland, WA USA; [Protat, Alain] Australian Bur Meteorol, Melbourne, Vic, Australia; [Alexander, Simon] Australian Antarctic Div, Kingston, Tas, Australia; [Alexander, Simon] Univ Tasmania, Inst Marine &amp; Antarctic Studies, Australian Antarctic Partnership Program, Hobart, Tas, Australia; [McDonald, Adrian] Univ Canterbury, Sch Phys &amp; Chem Sci, Christchurch, New Zealand</t>
  </si>
  <si>
    <t>Columbia University; National Aeronautics &amp; Space Administration (NASA); NASA Goddard Space Flight Center; Goddard Institute for Space Studies; Pennsylvania Commonwealth System of Higher Education (PCSHE); Pennsylvania State University; Pennsylvania State University - University Park; United States Department of Energy (DOE); Pacific Northwest National Laboratory; Bureau of Meteorology - Australia; Australian Antarctic Division; University of Tasmania; University of Canterbury</t>
  </si>
  <si>
    <t>Stanford, MW (corresponding author), Columbia Univ, Ctr Climate Syst Res, New York, NY 10027 USA.;Stanford, MW (corresponding author), NASA, Goddard Inst Space Studies, New York, NY 10025 USA.</t>
  </si>
  <si>
    <t>mws2175@columbia.edu</t>
  </si>
  <si>
    <t>Fridlind, Ann/E-1495-2012; Muelmenstaedt, Johannes/K-2432-2015</t>
  </si>
  <si>
    <t>Fridlind, Ann/0000-0002-9020-0852; Silber, Israel/0000-0001-6588-2145; McDonald, Adrian/0000-0002-1456-6254; Cesana, Gregory/0000-0002-8899-0509; Muelmenstaedt, Johannes/0000-0003-1105-6678; Alexander, Simon/0000-0001-6823-8857; Stanford, McKenna/0000-0001-8697-4364</t>
  </si>
  <si>
    <t>Office of Science (BER), US Department of Energy (DOE) [DE-SC0016237, 89243021SSC000078]; NASA Modeling, Analysis, and Prediction Program; DOE [DE-SC0021004, 57131]; Atmospheric System Research (ASR) program of DOE BER under Pacific Northwest National Laboratory (PNNL) project [DE-A06-76RLO 1830]; U.S. Department of Energy (DOE) [DE-SC0016237, DE-SC0021004, 89243021SSC000078] Funding Source: U.S. Department of Energy (DOE)</t>
  </si>
  <si>
    <t>Office of Science (BER), US Department of Energy (DOE)(United States Department of Energy (DOE)); NASA Modeling, Analysis, and Prediction Program(National Aeronautics &amp; Space Administration (NASA)); DOE(United States Department of Energy (DOE)); Atmospheric System Research (ASR) program of DOE BER under Pacific Northwest National Laboratory (PNNL) project; U.S. Department of Energy (DOE)(United States Department of Energy (DOE))</t>
  </si>
  <si>
    <t>This work was supported by the Office of Science (BER), US Department of Energy (DOE), under agreements DE-SC0016237 and 89243021SSC000078, and the NASA Modeling, Analysis, and Prediction Program. Israel Silber was supported by DOE grant DE-SC0021004. Johannes Muelmenstaedt was supported by the Atmospheric System Research (ASR) program of DOE BER under Pacific Northwest National Laboratory (PNNL) project 57131; PNNL is operated for DOE by the Battelle Memorial Institute under contract DE-A06-76RLO 1830.</t>
  </si>
  <si>
    <t>1680-7316</t>
  </si>
  <si>
    <t>1680-7324</t>
  </si>
  <si>
    <t>ATMOS CHEM PHYS</t>
  </si>
  <si>
    <t>Atmos. Chem. Phys.</t>
  </si>
  <si>
    <t>10.5194/acp-23-9037-2023</t>
  </si>
  <si>
    <t>Environmental Sciences; Meteorology &amp; Atmospheric Sciences</t>
  </si>
  <si>
    <t>P3VQ5</t>
  </si>
  <si>
    <t>WOS:001049957800001</t>
  </si>
  <si>
    <t>Saurral, RI; Raggio, GA</t>
  </si>
  <si>
    <t>Saurral, Ramiro I.; Raggio, Gabriela A.</t>
  </si>
  <si>
    <t>Changes in stratospheric ozone concentrations shape air temperature distributions on the Antarctic Peninsula</t>
  </si>
  <si>
    <t>THEORETICAL AND APPLIED CLIMATOLOGY</t>
  </si>
  <si>
    <t>AMUNDSEN SEA LOW; WEST ANTARCTICA; ICE; CIRCULATION; VARIABILITY; CLIMATE; IMPACT</t>
  </si>
  <si>
    <t>The Antarctic Peninsula (AP) is a climate change hotspot, in which any alterations to the atmospheric circulation can lead to significant impacts on the cryosphere. Even though substantial evidence has been found on the effects of human-related greenhouse gas emissions on the climate of the AP, less studies have analyzed the effect of variations in stratospheric ozone concentrations on the regional climate, and that is the focus of this paper. Results show significant links between the concentration of stratospheric ozone and the regional circulation, as well as with variations on the frequency and intensity of cold air snaps east of the AP. Significant relationships are found between changes in ozone concentrations and minimum/maximum temperature distributions over AP weather stations over most of the seasons. A strong link is also found with the location, depth and intensity of the Amundsen Sea Low west of the AP, which is in most cases responsible for the temperature anomalies identified in this study.</t>
  </si>
  <si>
    <t>[Saurral, Ramiro I.; Raggio, Gabriela A.] Univ Buenos Aires, Ctr Invest Mar &amp; Atmosfera CIMA, CONICET, Int Guiraldes 2160,Ciudad Univ,Pab 2,C1428EGA, Buenos Aires, DF, Argentina; [Saurral, Ramiro I.; Raggio, Gabriela A.] UBA, IFAECI, CONICET, CNRS,IRD,IRL 3351, Buenos Aires, DF, Argentina; [Saurral, Ramiro I.] Univ Buenos Aires, Fac Ciencias Exactas &amp; Nat, Dept Ciencias Atmosfera &amp; Oceanos, Buenos Aires, DF, Argentina; [Saurral, Ramiro I.] Barcelona Supercomp Ctr BSC, Barcelona, Spain</t>
  </si>
  <si>
    <t>University of Buenos Aires; Consejo Nacional de Investigaciones Cientificas y Tecnicas (CONICET); Consejo Nacional de Investigaciones Cientificas y Tecnicas (CONICET); University of Buenos Aires; University of Buenos Aires; Universitat Politecnica de Catalunya; Barcelona Supercomputer Center (BSC-CNS)</t>
  </si>
  <si>
    <t>Saurral, RI (corresponding author), Univ Buenos Aires, Ctr Invest Mar &amp; Atmosfera CIMA, CONICET, Int Guiraldes 2160,Ciudad Univ,Pab 2,C1428EGA, Buenos Aires, DF, Argentina.;Saurral, RI (corresponding author), UBA, IFAECI, CONICET, CNRS,IRD,IRL 3351, Buenos Aires, DF, Argentina.;Saurral, RI (corresponding author), Univ Buenos Aires, Fac Ciencias Exactas &amp; Nat, Dept Ciencias Atmosfera &amp; Oceanos, Buenos Aires, DF, Argentina.;Saurral, RI (corresponding author), Barcelona Supercomp Ctr BSC, Barcelona, Spain.</t>
  </si>
  <si>
    <t>saurral@cima.fcen.uba.ar</t>
  </si>
  <si>
    <t>Saurral, Ramiro Ignacio/0000-0002-8600-199X</t>
  </si>
  <si>
    <t>Agencia Nacional de Promocion de la Investigacion, el Desarrollo Tecnologico y la Innovacion (Ministry of Science and Technology of Argentina) [PICT2020-SerieA-03172]</t>
  </si>
  <si>
    <t>Agencia Nacional de Promocion de la Investigacion, el Desarrollo Tecnologico y la Innovacion (Ministry of Science and Technology of Argentina)</t>
  </si>
  <si>
    <t>&amp; nbsp;The research leading to this article was funded by Grant PICT2020-SerieA-03172 from the Agencia Nacional de Promocion de la Investigacion, el Desarrollo Tecnologico y la Innovacion (Ministry of Science and Technology of Argentina) to the University of Buenos Aires.</t>
  </si>
  <si>
    <t>SPRINGER WIEN</t>
  </si>
  <si>
    <t>Vienna</t>
  </si>
  <si>
    <t>Prinz-Eugen-Strasse 8-10, A-1040 Vienna, AUSTRIA</t>
  </si>
  <si>
    <t>0177-798X</t>
  </si>
  <si>
    <t>1434-4483</t>
  </si>
  <si>
    <t>THEOR APPL CLIMATOL</t>
  </si>
  <si>
    <t>Theor. Appl. Climatol.</t>
  </si>
  <si>
    <t>3-4</t>
  </si>
  <si>
    <t>10.1007/s00704-023-04598-8</t>
  </si>
  <si>
    <t>W9BR8</t>
  </si>
  <si>
    <t>WOS:001050403400001</t>
  </si>
  <si>
    <t>Rowell, I; Martin, C; Mulvaney, R; Pryer, H; Tetzner, D; Doyle, E; Talasila, HM; Li, JL; Wolff, E</t>
  </si>
  <si>
    <t>Rowell, Isobel; Martin, Carlos; Mulvaney, Robert; Pryer, Helena; Tetzner, Dieter; Doyle, Emily; Talasila, Hara Madhav; Li, Jilu; Wolff, Eric</t>
  </si>
  <si>
    <t>An age scale for new climate records from Sherman Island, West Antarctica</t>
  </si>
  <si>
    <t>CLIMATE OF THE PAST</t>
  </si>
  <si>
    <t>RISE ICE CORE; VOLCANIC SYNCHRONIZATION; METHANESULFONIC-ACID; ST22 CHRONOLOGY; LAW DOME; PART 2; ACCUMULATION; SULFUR; FUTURE; VARIABILITY</t>
  </si>
  <si>
    <t>Few ice cores from the Amundsen Sea and Bellingshausen Sea sectors of the West Antarctic Ice Sheet (WAIS) extend back in time further than a few hundred years. The WAIS is believed to be susceptible to collapse as a result of anthropogenic climate change and may have at least partially collapsed during the Last Interglacial (LIG) period. Understanding the stability of the WAIS during warm periods such as the LIG and Holocene is important. As part of the WACSWAIN (WArm Climate Stability of the West Antarctic ice sheet in the last INterglacial) project, the British Antarctic Survey's (BAS) Rapid Access Isotope Drill (RAID) was deployed in 2020 on Sherman Island in the Abbot Ice Shelf, West Antarctica. We drilled a 323 m deep borehole, with discrete samples of ice chippings collected that cover the entire depth range of the drilled ice. The samples were analysed for stable water isotope composition and major ion content at BAS from 2020-2022. Using annual layer counting of chemical records, volcanic horizon identification and ice modelling, an age scale for the record of 1724 discrete samples is presented. The Sherman Island ice record extends back to greater than 1240 years, providing the oldest, continuous ice-derived palaeoclimate records in the coastal Amundsen and Bellingshausen Sea sectors to date. We demonstrate the potential for recovery of a complete Holocene climate record from Sherman Island in the future and confidence in the ability of RAID samples to contain sufficiently resolved records for meaningful climatic interpretation.</t>
  </si>
  <si>
    <t>[Rowell, Isobel; Doyle, Emily; Wolff, Eric] Univ Cambridge, Dept Earth Sci, Downing St, Cambridge CB2 EQ, England; [Rowell, Isobel; Martin, Carlos; Mulvaney, Robert; Tetzner, Dieter] British Antarctic Survey, High Cross,Madingley Rd, Cambridge CB3 0ET, England; [Talasila, Hara Madhav; Li, Jilu] Univ Kansas, Ctr Remote Sensing &amp; Integrated Syst, 2335 Irving Hill Rd, Lawrence, KS 66045 USA</t>
  </si>
  <si>
    <t>University of Cambridge; UK Research &amp; Innovation (UKRI); Natural Environment Research Council (NERC); NERC British Antarctic Survey; University of Kansas</t>
  </si>
  <si>
    <t>Rowell, I (corresponding author), Univ Cambridge, Dept Earth Sci, Downing St, Cambridge CB2 EQ, England.;Rowell, I (corresponding author), British Antarctic Survey, High Cross,Madingley Rd, Cambridge CB3 0ET, England.</t>
  </si>
  <si>
    <t>iswell@bas.ac.uk</t>
  </si>
  <si>
    <t>Wolff, Eric W/D-7925-2014; TALASILA, HARA MADHAV/JSL-4791-2023; Mulvaney, Robert/K-3929-2012</t>
  </si>
  <si>
    <t>Wolff, Eric W/0000-0002-5914-8531; TALASILA, HARA MADHAV/0000-0002-6209-3121; Li, Jilu/0000-0002-8048-8186; Mulvaney, Robert/0000-0002-5372-8148; Tetzner, Dieter/0000-0001-7659-8799; Rowell, Isobel/0000-0003-0238-2340</t>
  </si>
  <si>
    <t>European Research Council [74224]; Royal Society Professorship; Collaborative Antarctic Science Scheme [CASS-168]; CONICYT-Becas Chile; Cambridge Trust [72180432]</t>
  </si>
  <si>
    <t>European Research Council(European Research Council (ERC)); Royal Society Professorship(Royal Society); Collaborative Antarctic Science Scheme; CONICYT-Becas Chile(Comision Nacional de Investigacion Cientifica y Tecnologica (CONICYT)); Cambridge Trust</t>
  </si>
  <si>
    <t>This research has received funding from the European Research Council under the Horizon 2020 research and innovation programme (grant no. 74224; WACSWAIN). Eric Wolff has also been funded through a Royal Society Professorship. The drilling of the Sherman Island shallow ice core was supported by the Collaborative Antarctic Science Scheme (CASS-168). Data obtained from the Sherman Island shallow ice core were funded by a CONICYT-Becas Chile and Cambridge Trust fellowship awarded to Dieter Tetzner (grant no. 72180432).</t>
  </si>
  <si>
    <t>1814-9324</t>
  </si>
  <si>
    <t>1814-9332</t>
  </si>
  <si>
    <t>CLIM PAST</t>
  </si>
  <si>
    <t>Clim. Past.</t>
  </si>
  <si>
    <t>10.5194/cp-19-1699-2023</t>
  </si>
  <si>
    <t>Geosciences, Multidisciplinary; Meteorology &amp; Atmospheric Sciences</t>
  </si>
  <si>
    <t>Geology; Meteorology &amp; Atmospheric Sciences</t>
  </si>
  <si>
    <t>P3XL3</t>
  </si>
  <si>
    <t>Green Submitted, gold, Green Accepted</t>
  </si>
  <si>
    <t>WOS:001050005800001</t>
  </si>
  <si>
    <t>Willmes, S; Heinemann, G; Schnaase, F</t>
  </si>
  <si>
    <t>Willmes, Sascha; Heinemann, Gunther; Schnaase, Frank</t>
  </si>
  <si>
    <t>Patterns of wintertime Arctic sea-ice leads and their relation to winds and ocean currents</t>
  </si>
  <si>
    <t>FRAM STRAIT; CIRCULATION; MODEL; VARIABILITY; SIMULATION; TRANSPORT; POLYNYAS; CHUKCHI</t>
  </si>
  <si>
    <t>We use a novel sea-ice lead climatology for the winters of 2002/03 to 2020/21 based on satellite observations with 1 km(2) spatial resolution to identify predominant patterns in Arctic wintertime sea-ice leads. The causes for the observed spatial and temporal variabilities are investigated using ocean surface current velocities and eddy kinetic energies from an ocean model (Finite Element Sea Ice-Ice-Shelf-Ocean Model, FESOM) and winds from a regional climate model (CCLM) and ERA5 reanalysis, respectively. The presented investigation provides evidence for an influence of ocean bathymetry and associated currents on the mechanic weakening of sea ice and the accompanying occurrence of sea-ice leads with their characteristic spatial patterns. While the driving mechanisms for this observation are not yet understood in detail, the presented results can contribute to opening new hypotheses on ocean-sea-ice interactions. The individual contribution of ocean and atmosphere to regional lead dynamics is complex, and a deeper insight requires detailed mechanistic investigations in combination with considerations of coastal geometries. While the ocean influence on lead dynamics seems to act on a rather long-term scale (seasonal to interannual), the influence of wind appears to trigger sea-ice lead dynamics on shorter timescales of weeks to months and is largely controlled by individual events causing increased divergence. No significant pan-Arctic trends in wintertime leads can be observed.</t>
  </si>
  <si>
    <t>[Willmes, Sascha; Heinemann, Gunther] Trier Univ, Dept Environm Meteorol, Trier, Germany; [Schnaase, Frank] Alfred Wegener Inst Polar &amp; Marine Res, Bremerhaven, Germany</t>
  </si>
  <si>
    <t>Universitat Trier; Helmholtz Association; Alfred Wegener Institute, Helmholtz Centre for Polar &amp; Marine Research</t>
  </si>
  <si>
    <t>Willmes, S (corresponding author), Trier Univ, Dept Environm Meteorol, Trier, Germany.</t>
  </si>
  <si>
    <t>willmes@uni-trier.de</t>
  </si>
  <si>
    <t>Deutsche Forschungsgemeinschaft (DFG) [WI 3314/3]; Federal Ministry of Education and Research (BMBF) [03F0831C]; Deutsches Klimarechenzentrum (DKRZ); Scientific Steering Committee (WLA) [bb0474]; North German Supercomputing Alliance (HLRN); Open-Access Fund of Trier University; German Research Foundation (DFG)</t>
  </si>
  <si>
    <t>Deutsche Forschungsgemeinschaft (DFG)(German Research Foundation (DFG)); Federal Ministry of Education and Research (BMBF)(Federal Ministry of Education &amp; Research (BMBF)); Deutsches Klimarechenzentrum (DKRZ); Scientific Steering Committee (WLA); North German Supercomputing Alliance (HLRN); Open-Access Fund of Trier University; German Research Foundation (DFG)(German Research Foundation (DFG))</t>
  </si>
  <si>
    <t>The research was funded by the Deutsche Forschungsgemeinschaft (DFG) in the framework of the priority program Antarctic Research with comparative investigations in Arctic ice areas under grant WI 3314/3 and by the Federal Ministry of Education and Research (BMBF) under grant 03F0831C in the frame of German-Russian cooperation WTZ RUS: Changing Arctic Transpolar System (CATS). We acknowledge the CLM Community and the German Meteorological Service for providing the basic COSMO-CLM model. This work used resources of the Deutsches Klimarechenzentrum (DKRZ) granted by its Scientific Steering Committee (WLA) under project ID bb0474. The FESOM simulations were performed with resources provided by the North German Supercomputing Alliance (HLRN). We thank Lukas Schefczyk for performing the CCLM simulations. The publication was funded and supported by the Open-Access Fund of Trier University and by the German Research Foundation (DFG).</t>
  </si>
  <si>
    <t>10.5194/tc-17-3291-2023</t>
  </si>
  <si>
    <t>P3XN7</t>
  </si>
  <si>
    <t>WOS:001050008400001</t>
  </si>
  <si>
    <t>van de Poll, WH; Nassif, TA</t>
  </si>
  <si>
    <t>van de Poll, Willem H. H.; Nassif, Talia Abi</t>
  </si>
  <si>
    <t>The interacting effect of prolonged darkness and temperature on photophysiological characteristics of three Antarctic phytoplankton species</t>
  </si>
  <si>
    <t>algae; Antarctica; Chaetoceros simplex; climate change; Geminigera cryophila; light; photoacclimation; photosynthesis Phaeocystis antarctica</t>
  </si>
  <si>
    <t>PHAEOCYSTIS-ANTARCTICA; FRAGILARIOPSIS-CYLINDRUS; GROWTH; PRYMNESIOPHYCEAE; PHOTOSYNTHESIS; RECOVERY; SURVIVAL</t>
  </si>
  <si>
    <t>Photophysiological characteristics of the Southern Ocean phytoplankton species Phaeocystis antarctica, Geminigera cryophila, and Chaetoceros simplex were assessed during 7 weeks of darkness and subsequent recovery after darkness at 4 and 7?. Chlorophyll a fluorescence and maximum quantum efficiency of PSII decreased during long darkness in a species-specific manner, whereas chlorophyll a concentration remained mostly unchanged. Phaeocystis antarctica showed the strongest decline in photosynthetic fitness during darkness, which coincided with a reduced capacity to recover after darkness, suggesting a loss of functional photosystem II (PSII) reaction centers. The diatom C. simplex at 4? showed the strongest capacity to resume photosynthesis and active growth during 7 weeks of darkness. In all species, the maintenance of photosynthetic fitness during darkness was clearly temperature dependent as shown by the stronger decline of photosynthetic fitness at 7? compared to 4?. Although we lack direct evidence for this, we suggest that temperature-enhanced respiration rates cause stronger depletion of energy reserves that subsequently interferes with the maintenance of photosynthetic fitness during long darkness. Therefore, the current low temperatures in the coastal Southern Ocean may aid the maintenance of photosynthetic fitness during the austral winter. Further experiments should examine to what extent the species-specific differences in dark survival are relevant for future temperature scenarios for the coastal Southern Ocean.</t>
  </si>
  <si>
    <t>[van de Poll, Willem H. H.; Nassif, Talia Abi] Univ Groningen, CIO Oceans Energy &amp; Sustainabil Res Inst Groningen, Fac Sci &amp; Engn, Nijenborgh 7, NL-9747 AG Groningen, Netherlands</t>
  </si>
  <si>
    <t>University of Groningen</t>
  </si>
  <si>
    <t>van de Poll, WH (corresponding author), Univ Groningen, CIO Oceans Energy &amp; Sustainabil Res Inst Groningen, Fac Sci &amp; Engn, Nijenborgh 7, NL-9747 AG Groningen, Netherlands.</t>
  </si>
  <si>
    <t>w.h.van.de.poll@rug.nl</t>
  </si>
  <si>
    <t>van de Poll, Willem/0000-0003-4095-4338</t>
  </si>
  <si>
    <t>10.1111/jpy.13374</t>
  </si>
  <si>
    <t>WOS:001049968700001</t>
  </si>
  <si>
    <t>Reid, K; Baker, GB; Delord, K</t>
  </si>
  <si>
    <t>Reid, Keith; Baker, G. Barry; Delord, Karine</t>
  </si>
  <si>
    <t>Ecological risk assessment in the southern Indian Ocean: Towards better seabird bycatch mitigation</t>
  </si>
  <si>
    <t>AQUATIC CONSERVATION-MARINE AND FRESHWATER ECOSYSTEMS</t>
  </si>
  <si>
    <t>bycatch mitigation; endangered species; industrial longline fisheries; regulation; seabirds; Southern Indian Ocean Fisheries Agreement (SIOFA)</t>
  </si>
  <si>
    <t>LONGLINE; FISHERIES; CONSERVATION; ALBATROSSES; CLIMATE; WESTERN; TRAWL</t>
  </si>
  <si>
    <t>Fisheries bycatch has been identified as the most serious threat to many seabird species and there is an increasing awareness of the responsibility of fisheries management bodies to include the impact on non-target species in their management and regulatory frameworks.In 2022, an ecological risk assessment (ERA) for seabirds and fisheries was presented to the Scientific Committee of the Southern Indian Ocean Fisheries Agreement (SIOFA). This ERA identified 32 seabird species that regularly occurred in the SIOFA Area, of which 11 were determined as being at high risk. This high-risk group included 10 albatross species that have the greatest likelihood of interacting with SIOFA managed fisheries in Subareas 1, 2 and 3b (west of 40 &amp; DEG; E) where they overlap with the pelagic longline fishery.Although the pelagic longline fishery for Ruvettus pretiosus is the largest fishery under the auspices of SIOFA, in terms of catch and number of vessels, the existing management measures of SIOFA focused on demersal fisheries and did not include any mitigation requirements for pelagic longlines. In response to the outcomes of the ERA, a proposed amendment to SIOFA's management measures was presented by France to the Meeting of Parties of SIOFA and led to the revision of SIOFA's seabird bycatch mitigation measures in respect of pelagic longlines, making them consistent with those agreed by the Indian Ocean Tuna Commission.Regulatory diffusion, the increased likelihood of adoption of regulation by one agency if that regulation has been adopted by another agency, contributed to the relatively rapid transition from the identification of the risk posed by pelagic longline vessels to the change in regulations to address those risks in SIOFA.</t>
  </si>
  <si>
    <t>[Reid, Keith] Ross Analyt Pty Ltd, Bonnet Hill, Tas, Australia; [Reid, Keith; Baker, G. Barry] Univ Tasmania, Inst Marine &amp; Antarctic Studies, Hobart, Tas, Australia; [Baker, G. Barry] Latitude 42 Environm Consultants Pty Ltd, Kettering, Tas, Australia; [Delord, Karine] CNRS, Ctr Etud Biol Chize, UMR 7372, Villiers En Bois, France; [Reid, Keith] Ross Analyt Pty Ltd, 1 Lynden Rd, Bonnet Hill, Tas 7053, Australia</t>
  </si>
  <si>
    <t>University of Tasmania; Centre National de la Recherche Scientifique (CNRS); CNRS - Institute of Ecology &amp; Environment (INEE)</t>
  </si>
  <si>
    <t>Reid, K (corresponding author), Ross Analyt Pty Ltd, 1 Lynden Rd, Bonnet Hill, Tas 7053, Australia.</t>
  </si>
  <si>
    <t>keith.reid@rossanalytics.com.au</t>
  </si>
  <si>
    <t>Delord, Karine/0000-0001-6720-951X; Baker, G. Barry/0000-0003-4766-8182</t>
  </si>
  <si>
    <t>1052-7613</t>
  </si>
  <si>
    <t>1099-0755</t>
  </si>
  <si>
    <t>AQUAT CONSERV</t>
  </si>
  <si>
    <t>Aquat. Conserv.-Mar. Freshw. Ecosyst.</t>
  </si>
  <si>
    <t>10.1002/aqc.4006</t>
  </si>
  <si>
    <t>Environmental Sciences; Marine &amp; Freshwater Biology; Water Resources</t>
  </si>
  <si>
    <t>Environmental Sciences &amp; Ecology; Marine &amp; Freshwater Biology; Water Resources</t>
  </si>
  <si>
    <t>X4ED7</t>
  </si>
  <si>
    <t>WOS:001049706400001</t>
  </si>
  <si>
    <t>Zhang, M; Xie, SC; Liu, XH; Zhang, DM; Lin, WY; Zhang, K; Golaz, JC; Zheng, X; Zhang, YY</t>
  </si>
  <si>
    <t>Zhang, Meng; Xie, Shaocheng; Liu, Xiaohong; Zhang, Damao; Lin, Wuyin; Zhang, Kai; Golaz, Jean-Christophe; Zheng, Xue; Zhang, Yuying</t>
  </si>
  <si>
    <t>Evaluating EAMv2 Simulated High Latitude Clouds Using ARM Measurements in the Northern and Southern Hemispheres</t>
  </si>
  <si>
    <t>MIXED-PHASE CLOUDS; HETEROGENEOUS ICE NUCLEATION; VERSION 1; RADIATIVE PROPERTIES; CLIMATE SIMULATIONS; LIDAR OBSERVATIONS; ARCTIC CLOUD; MODEL; PARAMETERIZATION; RADAR</t>
  </si>
  <si>
    <t>This study evaluates high latitude stratiform mixed-phase clouds (SMPC) in the atmosphere model of the Energy Exascale Earth System Model version 2 (EAMv2) by utilizing one-year-long ground-based remote sensing measurements from the Atmospheric Radiation and Measurement (ARM) program. A nudging approach is applied to model simulations for a constrained comparison with the ARM observations. Observed and modeled SMPCs are sampled and collocated to address the difference in data resolution, so that we can consistently evaluate their macrophysical properties at the North Slope of Alaska (NSA) site in the Arctic and the McMurdo (AWR) site in the Antarctic. We found that EAMv2 overestimates SMPC frequency of occurrence at both sites. However, the model captures the observed larger cloud frequency of occurrence at the NSA site. For collocated SMPCs, the annual statistics of observed cloud macrophysics are generally reproduced at the NSA site, while at the AWR site, there are larger biases. Compared to the AWR site, the lower cloud top and cloud base and the warmer cloud top temperature observed at NSA are well simulated. On the other hand, simulated cloud phase is substantially biased. The model largely overestimates liquid water path, and the ice water path is underestimated at NSA, but at AWR, the liquid water path is frequently underestimated due to the dominance of snow in Antarctic SMPCs. As a result, the observed hemispheric difference in cloud phase partitioning is misrepresented in EAMv2. This study implies that additional model development is needed for high latitude mixed-phase clouds.</t>
  </si>
  <si>
    <t>[Zhang, Meng; Xie, Shaocheng; Golaz, Jean-Christophe; Zheng, Xue; Zhang, Yuying] Lawrence Livermore Natl Lab, Livermore, CA 94550 USA; [Liu, Xiaohong] Texas A&amp;M Univ, Dept Atmospher Sci, College Stn, TX USA; [Zhang, Damao; Zhang, Kai] Pacific Northwest Natl Lab, Richland, WA USA; [Lin, Wuyin] Brookhaven Natl Lab, Upton, NY USA</t>
  </si>
  <si>
    <t>United States Department of Energy (DOE); Lawrence Livermore National Laboratory; Texas A&amp;M University System; Texas A&amp;M University College Station; United States Department of Energy (DOE); Pacific Northwest National Laboratory; United States Department of Energy (DOE); Brookhaven National Laboratory</t>
  </si>
  <si>
    <t>Zhang, M (corresponding author), Lawrence Livermore Natl Lab, Livermore, CA 94550 USA.</t>
  </si>
  <si>
    <t>zhang55@llnl.gov</t>
  </si>
  <si>
    <t>Zhang, Yuying/H-5011-2012; Golaz, Jean-Christophe/D-5007-2014; Zhang, Kai/F-8415-2010; Zhang, Damao/JVD-9442-2023; Liu, Xiaohong/E-9304-2011; Zhang, Damao/A-2900-2016; Xie, Shaocheng/D-2207-2013</t>
  </si>
  <si>
    <t>Golaz, Jean-Christophe/0000-0003-1616-5435; Zhang, Kai/0000-0003-0457-6368; Liu, Xiaohong/0000-0002-3994-5955; Zhang, Damao/0000-0002-3518-292X; Zhang, Meng/0000-0001-6467-0757; Xie, Shaocheng/0000-0001-8931-5145</t>
  </si>
  <si>
    <t>U.S. Department of Energy, Office of Science, Office of Biological and Environmental Research [DE-AC02-05CH11231]; U.S. DOE by Lawrence Livermore National Laboratory; U.S. DOE; DOE Atmospheric System Research (ASR) Program; DOE Regional and Global Model Analysis (RGMA) Program; DOE; U.S. Department of Energy Office of Science; [FWP SCW1491]; [DE-AC52-07NA27344]; [DE-SC0020510]; [DE-SC0022065]; [DE-AC06-76RLO1830]</t>
  </si>
  <si>
    <t>U.S. Department of Energy, Office of Science, Office of Biological and Environmental Research(United States Department of Energy (DOE)); U.S. DOE by Lawrence Livermore National Laboratory(United States Department of Energy (DOE)); U.S. DOE(United States Department of Energy (DOE)); DOE Atmospheric System Research (ASR) Program; DOE Regional and Global Model Analysis (RGMA) Program(United States Department of Energy (DOE)); DOE(United States Department of Energy (DOE)); U.S. Department of Energy Office of Science(United States Department of Energy (DOE)); ; ; ; ;</t>
  </si>
  <si>
    <t>This research was supported as part of the Energy Exascale Earth System Model (E3SM) project (FWP#SCW1491), funded by the U.S. Department of Energy, Office of Science, Office of Biological and Environmental Research. Work at LLNL was performed under the auspices of the U.S. DOE by Lawrence Livermore National Laboratory under contract No. DE-AC52-07NA27344. Xiaohong Liu acknowledges the funding support by the DOE Atmospheric System Research (ASR) Program (Grant DE-SC0020510) and the DOE Regional and Global Model Analysis (RGMA) Program (Grant DE-SC0022065). The Pacific Northwest National Laboratory (PNNL) is operated for the DOE by the Battelle Memorial Institute under contract DE-AC06-76RLO1830. This research used resources of the National Energy Research Scientific Computing Center (NERSC), a U.S. Department of Energy Office of Science User Facility located at Lawrence Berkeley National Laboratory, operated under Contract No. DE-AC02-05CH11231.</t>
  </si>
  <si>
    <t>AUG 16</t>
  </si>
  <si>
    <t>e2022JD038364</t>
  </si>
  <si>
    <t>10.1029/2022JD038364</t>
  </si>
  <si>
    <t>O0IJ9</t>
  </si>
  <si>
    <t>WOS:001040741800001</t>
  </si>
  <si>
    <t>Zhu, WB; Zhao, N; Liu, WB; Guo, RY; Jin, HB</t>
  </si>
  <si>
    <t>Zhu, Wenbin; Zhao, Nan; Liu, Wenbo; Guo, Ruyue; Jin, Hangbiao</t>
  </si>
  <si>
    <t>Occurrence of microplastics in Antarctic fishes: Abundance, size, shape, and polymer composition</t>
  </si>
  <si>
    <t>Microplastic exposure; Antarctic fish; Environmental occurrence; Abundance; Polymer composition</t>
  </si>
  <si>
    <t>MARINE-ENVIRONMENT; ROSS SEA; BENTHIC ORGANISMS; FOOD-WEB; SEDIMENTS; CONTAMINATION; PERSPECTIVE; EXTRACTION; INGESTION; POLLUTION</t>
  </si>
  <si>
    <t>Presence of microplastics (MPs) in Antarctic ecosystems has attracted global attention, due to the potential threat to the Antarctic marine organisms. However, data on the occurrence of MPs in Antarctic fishes remains very limited. This study investigated the abundance and characteristics of MPs in four species of Antarctic fish (n = 114). The highest mean abundance of MPs was detected in Trematomus eulepidotus (1.7 &amp; PLUSMN; 0.61 items/individual), followed by that in Chionodraco rastrospinosus (1.4 &amp; PLUSMN; 0.26 items/individual), Notolepis coatsi (1.1 &amp; PLUSMN; 0.57 items/ individual), and Electrona carlsbergi (0.72 &amp; PLUSMN; 0.19 items/individual). MPs in Notolepis coatsi (mean 747 &amp; mu;m) had the highest mean size, followed by that in Trematomus eulepidotus (653 &amp; mu;m), Chionodraco rastrospinosus (629 &amp; mu;m), and Electrona carlsbergi (473 &amp; mu;m). This is possibly attributed to the feeding habits and egestion behaviors of different Antarctic fishes. Fiber was consistently the predominant shape of MPs in Trematomus eulepidotus, Chionodraco rastrospinosus, and Electrona carlsbergi, accounting for 82 %, 76 %, and 60 % of total items of MPs, respectively. Polypropylene, polyamide, and polyethylene were the predominant polymer composition of MPs in Antarctic fishes, collectively contributed 63-86 % of total items of MPs. This may be because these types of MPs have been widely used in global household materials. To our knowledge, this is the most comprehensive study examining the occurrence of MPs in Antarctic fishes. This study provides fundamental data for evaluating the risks of MP exposure for Antarctic fishes.</t>
  </si>
  <si>
    <t>[Zhu, Wenbin; Liu, Wenbo] Zhejiang Marine Fisheries Res Inst, Minist Agr &amp; Rural Affairs Peoples Republ China, Key Lab Sustainable Utilizat Technol Res Fishery R, Sci Observing &amp; Expt Stn Fishery Resources Key Fis, Zhoushan 316021, Zhejiang, Peoples R China; [Zhao, Nan; Guo, Ruyue; Jin, Hangbiao] Zhejiang Univ Technol, Coll Environm, Key Lab Microbial Technol Ind Pollut Control Zheji, Hangzhou 310032, Zhejiang, Peoples R China</t>
  </si>
  <si>
    <t>Ministry of Agriculture &amp; Rural Affairs; Zhejiang University of Technology</t>
  </si>
  <si>
    <t>Jin, HB (corresponding author), Zhejiang Univ Technol, Coll Environm, Key Lab Microbial Technol Ind Pollut Control Zheji, Hangzhou 310032, Zhejiang, Peoples R China.</t>
  </si>
  <si>
    <t>hangbiao@zjut.edu.cn</t>
  </si>
  <si>
    <t>Natural Science Foundation of China [21806139]; Natural Science Foundation of Zhejiang Province [LY21B070006, LR23D030001]</t>
  </si>
  <si>
    <t>Natural Science Foundation of China(National Natural Science Foundation of China (NSFC)); Natural Science Foundation of Zhejiang Province(Natural Science Foundation of Zhejiang Province)</t>
  </si>
  <si>
    <t>This study was supported by the Natural Science Foundation of China (21806139) and Natural Science Foundation of Zhejiang Province (LY21B070006; LR23D030001).</t>
  </si>
  <si>
    <t>DEC 10</t>
  </si>
  <si>
    <t>10.1016/j.scitotenv.2023.166186</t>
  </si>
  <si>
    <t>R2JC5</t>
  </si>
  <si>
    <t>WOS:001062649400001</t>
  </si>
  <si>
    <t>Tyler, J; Hocking, DP; Younger, JL</t>
  </si>
  <si>
    <t>Tyler, Joshua; Hocking, David P.; Younger, Jane L.</t>
  </si>
  <si>
    <t>Intrinsic and extrinsic drivers of shape variation in the albatross compound bill</t>
  </si>
  <si>
    <t>ROYAL SOCIETY OPEN SCIENCE</t>
  </si>
  <si>
    <t>bill; albatross; allometry; diet; morphospace</t>
  </si>
  <si>
    <t>POPULATION-STRUCTURE; WANDERING ALBATROSS; R PACKAGE; FISHERIES; TAXONOMY; DNA</t>
  </si>
  <si>
    <t>Albatross are the largest seabirds on Earth and have a suite of adaptations for their pelagic lifestyle. Rather than having a bill made of a single piece of keratin, Procellariiformes have a compound rhamphotheca, made of several joined plates. Drivers of the shape of the albatross bill have not been explored. Here we use three-dimensional scans of 61 upper bills from 12 species of albatross to understand whether intrinsic (species assignment &amp; size) or extrinsic (diet) factors predict bill shape. Diet is a significant predictor of bill shape with coarse dietary categories providing higher R-2 values than dietary proportion data. We also find that of the intrinsic factors, species assignment accounts for ten times more of the variation than size (72% versus 6.8%) and that there is a common allometric vector of shape change between all species. When considering species averages in a phylogenetic framework, there are significant Blomberg's K results for both shape and size (K = 0.29 &amp; 1.10) with the first axis of variation having a much higher K value (K = 1.9), reflecting the split in shape at the root of the tree. The influence of size on bill shape is limited, with species assignment and diet predicting far more of the variation. The results show that both intrinsic and extrinsic factors are needed to understand morphological evolution.</t>
  </si>
  <si>
    <t>[Tyler, Joshua] Univ Bath, Milner Ctr Evolut, Dept Life Sci, Bath BA2 7AY, England; [Hocking, David P.] Monash Univ, Sch Biol Sci, Melbourne, Vic, Australia; [Hocking, David P.] Tasmanian Museum &amp; Art Gallery, Zool, Hobart, Tas, Australia; [Younger, Jane L.] Univ Tasmania, Inst Marine &amp; Antarctic Studies, Battery Point, Tas 7004, Australia</t>
  </si>
  <si>
    <t>University of Bath; Melbourne Genomics Health Alliance; Monash University; University of Tasmania</t>
  </si>
  <si>
    <t>Tyler, J (corresponding author), Univ Bath, Milner Ctr Evolut, Dept Life Sci, Bath BA2 7AY, England.</t>
  </si>
  <si>
    <t>jmbt20@bath.ac.uk</t>
  </si>
  <si>
    <t>Hocking, David Philip/A-2666-2017</t>
  </si>
  <si>
    <t>Hocking, David Philip/0000-0001-6848-1208; Tyler, Josh/0000-0002-2917-3621</t>
  </si>
  <si>
    <t>ROYAL SOC</t>
  </si>
  <si>
    <t>6-9 CARLTON HOUSE TERRACE, LONDON SW1Y 5AG, ENGLAND</t>
  </si>
  <si>
    <t>2054-5703</t>
  </si>
  <si>
    <t>ROY SOC OPEN SCI</t>
  </si>
  <si>
    <t>R. Soc. Open Sci.</t>
  </si>
  <si>
    <t>10.1098/rsos.230751</t>
  </si>
  <si>
    <t>P2PQ0</t>
  </si>
  <si>
    <t>WOS:001049114700011</t>
  </si>
  <si>
    <t>Huang, SJ; Wang, FY; Yuan, TF; Song, ZC; Wu, PP; Zhang, YX</t>
  </si>
  <si>
    <t>Huang, Shaojian; Wang, Feiyue; Yuan, Tengfei; Song, Zhengcheng; Wu, Peipei; Zhang, Yanxu</t>
  </si>
  <si>
    <t>Modeling the Mercury Cycle in the Sea Ice Environment: A Buffer between the Polar Atmosphere and Ocean</t>
  </si>
  <si>
    <t>mercury; sea ice; snow; polar oceans; MITgcm</t>
  </si>
  <si>
    <t>ARCTIC-OCEAN; REDOX CHEMISTRY; SNOW THICKNESS; PACK ICE; AIR; OXIDATION; EXCHANGE; DEPOSITION; SPRINGTIME; SNOWPACKS</t>
  </si>
  <si>
    <t>Thisstudy presents a comprehensive simulation of Hg cyclingacross the ocean-sea ice-atmosphere interface, whichoffers an insightful framework for understanding the behavior of Hgin the polar cryosphere. The seasonal cycling of mercury (Hg) in thepolar sea ice environment, encompassing both sea ice and the overlyingsnow, is depicted in a graphic. The illustration highlights that thenet atmospheric Hg is primarily absorbed by snow, which in turn becomesan important source of Hg deposition to the underlying sea ice duringwarm seasons. Furthermore, first-year sea ice functions as a bufferfor atmospheric Hg. During the ice growth season, Hg is graduallyincorporated into the ice, only to cascade into the underlying oceanin warm seasons. Seaice (including overlying snow) is a dynamic interface betweenthe atmosphere and the ocean, influencing the mercury (Hg) cyclingin polar oceans. However, a large-scale and process-based model forthe Hg cycle in the sea ice environment is lacking, hampering ourunderstanding of regional Hg budget and critical processes. Here,we develop a comprehensive model for the Hg cycle at the ocean-seaice-atmosphere interface with constraints from observationalpolar cryospheric data. We find that seasonal patterns of averagetotal Hg (THg) in snow are governed by snow thermodynamics and deposition,peaking in springtime (Arctic: 5.9 ng/L; Antarctic: 5.3 ng/L) andminimizing during ice formation (Arctic: 1.0 ng/L, Antarctic: 0.5ng/L). Arctic and Antarctic sea ice exhibited THg concentration peaksin summer (0.25 ng/L) and spring (0.28 ng/L), respectively, governedby different snow Hg transmission pathways. Antarctic snow-ice formationfacilitates Hg transfer to sea ice during spring, while in the Arctic,snow Hg is primarily moved through snowmelt. Overall, first-year seaice acts as a buffer, receiving atmospheric Hg during ice growth andreleasing it to the ocean in summer, influencing polar atmosphericand seawater Hg concentrations. Our model can assess climate changeeffects on polar Hg cycles and evaluate the Minamata Convention'seffectiveness for Arctic populations.</t>
  </si>
  <si>
    <t>[Huang, Shaojian; Yuan, Tengfei; Song, Zhengcheng; Wu, Peipei; Zhang, Yanxu] Nanjing Univ, Sch Atmospher Sci, Nanjing 210023, Peoples R China; [Wang, Feiyue] Univ Manitoba, Ctr Earth Observat Sci, Winnipeg, MB R3T 2N2, Canada; [Wang, Feiyue] Univ Manitoba, Dept Environm &amp; Geog, Winnipeg, MB R3T 2N2, Canada; [Zhang, Yanxu] Nanjing Univ, Frontiers Sci Ctr Crit Earth Mat Cycling, Nanjing 210023, Jiangsu, Peoples R China</t>
  </si>
  <si>
    <t>Nanjing University; University of Manitoba; University of Manitoba; Nanjing University</t>
  </si>
  <si>
    <t>Zhang, YX (corresponding author), Nanjing Univ, Sch Atmospher Sci, Nanjing 210023, Peoples R China.;Zhang, YX (corresponding author), Nanjing Univ, Frontiers Sci Ctr Crit Earth Mat Cycling, Nanjing 210023, Jiangsu, Peoples R China.</t>
  </si>
  <si>
    <t>zhangyx@nju.edu.cn</t>
  </si>
  <si>
    <t>zhang, can/KHC-5357-2024; wang, rong/KFQ-7187-2024; WANG, YANAN/KCL-4840-2024; ren, jun/KHG-7717-2024; Liu, yuqing/KEI-3260-2024; yang, le/KFB-5420-2024; Wang, Feiyue/E-4147-2012; Huang, Yong/KFA-1191-2024; xie, jing/KDO-9486-2024; Zhang, Yanxu/H-6165-2016</t>
  </si>
  <si>
    <t>Wang, Feiyue/0000-0001-5297-0859; Zhang, Yanxu/0000-0001-7770-3466; Song, Zhengcheng/0009-0001-4298-8243</t>
  </si>
  <si>
    <t>National Natural Science Foundation of China (NNSFC) [42177349]; Fundamental Research Funds for the Central Universities [14380188, 14380168]; Frontiers Science Center for Critical Earth Material Cycling; Collaborative Innovation Center of Climate Change, Jiangsu Province; Canada Research Chairs Program</t>
  </si>
  <si>
    <t>National Natural Science Foundation of China (NNSFC)(National Natural Science Foundation of China (NSFC)); Fundamental Research Funds for the Central Universities(Fundamental Research Funds for the Central Universities); Frontiers Science Center for Critical Earth Material Cycling; Collaborative Innovation Center of Climate Change, Jiangsu Province; Canada Research Chairs Program(Canada Research Chairs)</t>
  </si>
  <si>
    <t>The authors gratefully acknowledge the financial support from the National Natural Science Foundation of China (NNSFC) (42177349), the Fundamental Research Funds for the Central Universities (14380188 and 14380168), Frontiers Science Center for Critical Earth Material Cycling, the Collaborative Innovation Center of Climate Change, Jiangsu Province, and the Canada Research Chairs Program (F.W.).</t>
  </si>
  <si>
    <t>10.1021/acs.est.3c05080</t>
  </si>
  <si>
    <t>T1BL8</t>
  </si>
  <si>
    <t>WOS:001049443700001</t>
  </si>
  <si>
    <t>Tang, B; Zhou, W</t>
  </si>
  <si>
    <t>Tang, Bo; Zhou, Wen</t>
  </si>
  <si>
    <t>Role of the Australian High in Seasonal Phase Locking of the Indian Ocean Dipole</t>
  </si>
  <si>
    <t>Australian high; Indian Ocean Dipole; seasonal phase locking; Antarctic Oscillation; theatmospheric bridge</t>
  </si>
  <si>
    <t>SEA-SURFACE TEMPERATURE; INTERANNUAL VARIABILITY; ENSO; EVENTS; MODE; DYNAMICS; PACIFIC; IMPACTS</t>
  </si>
  <si>
    <t>This paper analyzes the effect of the Australian High (AH) on the seasonal phase locking of Indian Ocean Dipole (IOD) events. The anomalous strong AH associated with the positive phase of the Antarctic Oscillation can cause significant easterly wind anomalies and northward cross-equatorial flow over the western Maritime Continent (MC) by strengthening the Australian winter monsoon during May-August. The AH-associated easterly anomalies and northward cross-equatorial flow can create thermodynamic air-sea feedback and contribute to a significant cooling anomaly in the western MC and the tropical eastern Indian Ocean. Without considering the effect of ENSO, these processes contribute to the occurrence of positive IOD events, which begin in early summer, peak in late summer, and decay rapidly thereafter. The effect of ENSO can extend the peak period of IOD into the boreal autumn of that year. An anomalous weak AH corresponds to the occurrence and seasonal phase locking of negative IOD events. Through combined empirical orthogonal function analysis, we find that the effect of the AH can well explain the seasonal phase locking of 34 IOD events (40 in total), which provides an important theoretical basis for the prediction of IOD events.</t>
  </si>
  <si>
    <t>[Tang, Bo; Zhou, Wen] Fudan Univ, Dept Atmospher &amp; Ocean Sci, Shanghai, Peoples R China; [Tang, Bo; Zhou, Wen] Fudan Univ, Inst Atmospher Sci, Shanghai, Peoples R China</t>
  </si>
  <si>
    <t>Fudan University; Fudan University</t>
  </si>
  <si>
    <t>Zhou, W (corresponding author), Fudan Univ, Dept Atmospher &amp; Ocean Sci, Shanghai, Peoples R China.;Zhou, W (corresponding author), Fudan Univ, Inst Atmospher Sci, Shanghai, Peoples R China.</t>
  </si>
  <si>
    <t>wen_zhou@fudan.edu.cn</t>
  </si>
  <si>
    <t>Tang, Bo/IYT-0790-2023; ZHOU, Wen/C-3750-2012</t>
  </si>
  <si>
    <t>Tang, Bo/0000-0002-0508-5467; ZHOU, Wen/0000-0002-3297-4841; Tong, Bo/0000-0003-0869-8581</t>
  </si>
  <si>
    <t>National Natural Science Foundation of China [42120104001]</t>
  </si>
  <si>
    <t>Acknowledgments This work was supported by the National Natural Science Foundation of China (Grant 42120104001).</t>
  </si>
  <si>
    <t>e2022GL102174</t>
  </si>
  <si>
    <t>10.1029/2022GL102174</t>
  </si>
  <si>
    <t>O2VJ2</t>
  </si>
  <si>
    <t>WOS:001042444700001</t>
  </si>
  <si>
    <t>Jones, GA; Ferreira, AMG; Kulessa, B; Schimmel, M; Berbellini, A; Morelli, A</t>
  </si>
  <si>
    <t>Jones, G. A.; Ferreira, A. M. G.; Kulessa, B.; Schimmel, M.; Berbellini, A.; Morelli, A.</t>
  </si>
  <si>
    <t>Constraints on the Cryohydrological Warming of Firn and Ice in Greenland From Rayleigh Wave Ellipticity Data</t>
  </si>
  <si>
    <t>ice sheets; cryosphere; Rayleigh wave ellipticity</t>
  </si>
  <si>
    <t>CRUSTAL STRUCTURE; RATIO METHOD; INVERSION; GLACIER; SITES</t>
  </si>
  <si>
    <t>Rayleigh wave ellipticity measurements from seismic ambient noise recorded on the Greenland Ice Sheet (GrIS) show complex and anomalous behavior at wave periods sensitive to ice (T &lt; 3-4 s). To understand these complex observations, we compare them with synthetic ellipticity measurements obtained from synthetic ambient noise computed for various seismic velocity and attenuation models, including surface wave overtone effects. We find that in dry snow conditions within the interior of the GrIS, to first order the anomalous ellipticity observations can be explained by ice models associated with the accumulation and densification of snow into firn. We also show that the distribution of ellipticity measurements is strongly sensitive to seismic attenuation and the thermal structure of the ice. Our results suggest that Rayleigh wave ellipticity is well suited for monitoring changes in firn properties and thermal composition of the Greenland and Antarctic ice sheets in a changing climate.</t>
  </si>
  <si>
    <t>[Jones, G. A.; Kulessa, B.] Swansea Univ, Sch Biosci Geog &amp; Phys, Swansea, Wales; [Jones, G. A.; Ferreira, A. M. G.] UCL, Dept Earth Sci, London, England; [Ferreira, A. M. G.] Univ Lisbon, CERIS, Inst Super Tecn, Lisbon, Portugal; [Kulessa, B.] Univ Tasmania, Hobart, Tas, Australia; [Schimmel, M.] Geosci Barcelona GEO3BCN CSIC, Barcelona, Spain; [Berbellini, A.; Morelli, A.] Ist Nazl Geofis &amp; Vulcanol, Bologna, Italy</t>
  </si>
  <si>
    <t>Swansea University; University of London; University College London; Universidade de Lisboa; University of Tasmania; Istituto Nazionale Geofisica e Vulcanologia (INGV)</t>
  </si>
  <si>
    <t>Jones, GA (corresponding author), Swansea Univ, Sch Biosci Geog &amp; Phys, Swansea, Wales.;Jones, GA (corresponding author), UCL, Dept Earth Sci, London, England.</t>
  </si>
  <si>
    <t>glennarthurjones@gmail.com</t>
  </si>
  <si>
    <t>Schimmel, Martin/C-2261-2008; Ferreira, Ana/L-7697-2014</t>
  </si>
  <si>
    <t>Schimmel, Martin/0000-0003-2601-4462; Jones, Glenn/0000-0002-7691-332X; Ferreira, Ana/0000-0002-9492-6415; Kulessa, Bernd/0000-0002-4830-4949</t>
  </si>
  <si>
    <t>Ser Cymru II Program in Low Carbon Energy and the Environment [80761-SU-SU093]; NERC Grant [NE/N011791/1]; SANIMS [RTI2018-095594-B-I00]; European Research Council (ERC) under the European Union's Horizon 2020 research and innovation program [101001601]; Seismological Facilities for the Advancement of Geoscience (SAGE) Award of the National Science Foundation under Cooperative Support Agreement [EAR-1851048]; European Research Council (ERC) [101001601] Funding Source: European Research Council (ERC)</t>
  </si>
  <si>
    <t>Ser Cymru II Program in Low Carbon Energy and the Environment; NERC Grant(UK Research &amp; Innovation (UKRI)Natural Environment Research Council (NERC)); SANIMS; European Research Council (ERC) under the European Union's Horizon 2020 research and innovation program(European Research Council (ERC)); Seismological Facilities for the Advancement of Geoscience (SAGE) Award of the National Science Foundation under Cooperative Support Agreement; European Research Council (ERC)(European Research Council (ERC)Spanish Government)</t>
  </si>
  <si>
    <t>&amp; nbsp;G.A.J. is funded by the Ser Cymru II Program in Low Carbon Energy and the Environment (European Regional Development Fund and Welsh European Funding Office; Project number 80761-SU-SU093). A.M.G.F. is grateful to support from NERC Grant NE/N011791/1. M.S. thanks SANIMS (RTI2018-095594-B-I00). This project has received funding from the European Research Council (ERC) under the European Union's Horizon 2020 research and innovation program (grant agreement No 101001601). IRIS Data Services are funded through the Seismological Facilities for the Advancement of Geoscience (SAGE) Award of the National Science Foundation under Cooperative Support Agreement EAR-1851048.</t>
  </si>
  <si>
    <t>e2023GL103673</t>
  </si>
  <si>
    <t>10.1029/2023GL103673</t>
  </si>
  <si>
    <t>O4MB0</t>
  </si>
  <si>
    <t>WOS:001043560900001</t>
  </si>
  <si>
    <t>Botterell, ZLR; Lindeque, PK; Thompson, RC; Beaumont, NJ</t>
  </si>
  <si>
    <t>Botterell, Zara L. R.; Lindeque, Penelope K.; Thompson, Richard C.; Beaumont, Nicola J.</t>
  </si>
  <si>
    <t>An assessment of the ecosystem services of marine zooplankton and the key threats to their provision</t>
  </si>
  <si>
    <t>ECOSYSTEM SERVICES</t>
  </si>
  <si>
    <t>Copepods; Krill; Jellyfish; Climate change; Fisheries; Microplastics</t>
  </si>
  <si>
    <t>DIEL VERTICAL MIGRATION; ANTARCTIC KRILL; MICROPLASTICS ALTER; OCEAN ACIDIFICATION; JELLYFISH COLLAGEN; SEA LICE; COPEPOD; IMPACTS; INGESTION; SHRIMP</t>
  </si>
  <si>
    <t>Zooplankton are a key group of organisms at the base of the marine food web and are fundamental to providing a broad range of societal and economic benefits which have previously remained poorly defined. This research addresses this knowledge gap through the provision of a first full assessment of zooplankton ecosystem services and disservices. Anthropogenic stressors such as microplastic pollution, climate change, and fisheries, could negatively affect the marine ecosystem services provided to humans and therefore have a negative impact on human well-being through reduction in food security, livelihoods, income, and good health. Deploying a mixed methodology approach including a semi-systematic literature review and ecological impact assessment, we provide novel evidence of the effects of microplastic pollution (high and low concentrations), fisheries, and climate change on the ecosystem services of three important zooplankton groups (copepods, jellyfish, and krill). We show that the majority of impacts on ecosystem services are negative, with the exception of climate change on jellyfish ecosystem services. Climate change and high microplastic concentration are evidenced to have the most substantial negative impacts on copepods and krill, with accompanying implications for the ecosystem services of climate regulation, water conditions, other materials, science, and entertainment. High microplastic concentration also depressed ecosystem service provision for jellyfish, impacting the services of genetic materials, climate regulation, water conditions, education, and entertainment. Fisheries are also evidenced to have negative impacts on all three zooplankton groups. In the case of jellyfish, climate change is evidenced to have a positive impact on the group's ecosystem service provision in every category except experiential experiences, which is inversely related to increasing population, owing to their negative perception due to sting injuries. The evidence presented in this study shows that by maintaining sustainable fisheries, reducing plastic pollution, and minimising climate change, we will be actively investing in the current and future provision of marine ecosystem services and the human well-being benefits that they provide.</t>
  </si>
  <si>
    <t>[Botterell, Zara L. R.; Lindeque, Penelope K.] Plymouth Marine Lab, Marine Ecol &amp; Biodivers, Prospect Pl, Plymouth PL1 3DH, Devon, England; [Botterell, Zara L. R.] Univ Essex, Sch Life Sci, Wivenhoe Pk, Colchester CO4 3SQ, Essex, England; [Thompson, Richard C.] Univ Plymouth, Marine Biol &amp; Ecol Res Ctr MBERC, Sch Biol &amp; Marine Sci, Plymouth PL4 8AA, Devon, England; [Beaumont, Nicola J.] Plymouth Marine Lab, Prospect Pl, Plymouth PL1 3DH, Devon, England</t>
  </si>
  <si>
    <t>Plymouth Marine Laboratory; University of Essex; University of Plymouth; Plymouth Marine Laboratory</t>
  </si>
  <si>
    <t>Beaumont, NJ (corresponding author), Plymouth Marine Lab, Prospect Pl, Plymouth PL1 3DH, Devon, England.</t>
  </si>
  <si>
    <t>zabo@pml.ac.uk; pkw@pml.ac.uk; r.c.thompson@plymouth.ac.uk; nijb@pml.ac.uk</t>
  </si>
  <si>
    <t>Thompson, Richard/0000-0003-2262-6621; Botterell, Zara/0000-0003-1001-3203; Beaumont, Nicola/0000-0002-5976-9661</t>
  </si>
  <si>
    <t>Natural Environment Research Council (NERC) through the EnvEast Doctoral Training Partnership [NE/L002582/1]</t>
  </si>
  <si>
    <t>Natural Environment Research Council (NERC) through the EnvEast Doctoral Training Partnership(UK Research &amp; Innovation (UKRI)Natural Environment Research Council (NERC))</t>
  </si>
  <si>
    <t>ZLRB was supported by the Natural Environment Research Council (NERC) through the EnvEast Doctoral Training Partnership (grant number: NE/L002582/1) . ZLRB would like to thank Michael Steinke for his supervisory role, and Leanne Hepburn and Claudia Halsband for their helpful comments which improved the manuscript.</t>
  </si>
  <si>
    <t>2212-0416</t>
  </si>
  <si>
    <t>ECOSYST SERV</t>
  </si>
  <si>
    <t>Ecosyst. Serv.</t>
  </si>
  <si>
    <t>10.1016/j.ecoser.2023.101542</t>
  </si>
  <si>
    <t>Ecology; Environmental Sciences; Environmental Studies</t>
  </si>
  <si>
    <t>FF9B7</t>
  </si>
  <si>
    <t>WOS:001144454400001</t>
  </si>
  <si>
    <t>Reed, KA; Williamson, RT; Lee, SG; Lee, JH; Covi, JA</t>
  </si>
  <si>
    <t>Reed, Katherine A.; Williamson, R. Thomas; Lee, Sung Gu; Lee, Jun Hyuck; Covi, Joseph A.</t>
  </si>
  <si>
    <t>Reversible intracellular acidification and depletion of NTPs provide a potential physiological origin for centuries of dormancy in an Antarctic freshwater copepod</t>
  </si>
  <si>
    <t>ARTEMIA-FRANCISCANA EMBRYOS; VIABLE RESTING EGGS; BRINE SHRIMP; METABOLIC STATUS; DIAPAUSE; ZOOPLANKTON; QUIESCENCE; INHIBITION; STRATEGIES; ABUNDANCE</t>
  </si>
  <si>
    <t>A great diversity of crustacean zooplankton found in inland and coastal waters produce embryos that settle into bottom sediments to form an egg bank. Embryos from these banks can remain dormant for centuries, creating a reservoir of genetic diversity. A large body of literature describes the ecological and evolutionary importance of zooplankton egg banks. However, literature on the physiological traits behind dormancy in crustacean zooplankton are limited. Most data on the physiology of dormancy comes from research on one species of anostracan, the brine shrimp, Artemia franciscana. Anoxia-induced dormancy in this species is facilitated by a profound and reversible acidification of the intracellular space. This acidification is accompanied by a reversible depletion of adenosine triphosphate (ATP). The present study demonstrates that acidification of the intracellular space also occurs in concert with a depletion of nucleoside triphosphates (NTPs) in the Antarctic copepod, Boeckella poppei. Like A. franciscana, the depletion of NTPs and acidification are rapidly reversed during aerobic recovery in B. poppei. These data provide the first comparative evidence that extreme dormancy under anoxia in crustacean zooplankton is associated with intracellular acidification and an ability to recover from the depletion of ATP.</t>
  </si>
  <si>
    <t>[Reed, Katherine A.; Covi, Joseph A.] Univ North Carolina Wilmington, Dept Biol &amp; Marine Biol, 601 S Coll Rd, Wilmington, NC 28403 USA; [Williamson, R. Thomas] Univ North Carolina Wilmington, Dept Chem &amp; Biochem, 601 S Coll Rd, Wilmington, NC 28403 USA; [Lee, Sung Gu; Lee, Jun Hyuck] Korea Polar Res Inst KOPRI, Res Unit Cryogen Novel Mat, Incheon 21990, South Korea; [Lee, Sung Gu; Lee, Jun Hyuck] Univ Sci &amp; Technol, Dept Polar Sci, Incheon 21990, South Korea</t>
  </si>
  <si>
    <t>University of North Carolina; University of North Carolina Wilmington; University of North Carolina; University of North Carolina Wilmington; Korea Polar Research Institute (KOPRI)</t>
  </si>
  <si>
    <t>Covi, JA (corresponding author), Univ North Carolina Wilmington, Dept Biol &amp; Marine Biol, 601 S Coll Rd, Wilmington, NC 28403 USA.</t>
  </si>
  <si>
    <t>covij@uncw.edu</t>
  </si>
  <si>
    <t>Korea Polar Research Institute (KOPRI) [PE23160]; Korea Institute of Marine Science amp; Technology Promotion (KIMST) - Ministry of Oceans and Fisheries [20200610, PM23030]; NSF-MRI [0821552]</t>
  </si>
  <si>
    <t>Korea Polar Research Institute (KOPRI)(Korea Polar Research Institute of Marine Research Placement (KOPRI)); Korea Institute of Marine Science amp; Technology Promotion (KIMST) - Ministry of Oceans and Fisheries; NSF-MRI(National Science Foundation (NSF)NSF - Office of the Director (OD))</t>
  </si>
  <si>
    <t>Grant support for this project was provided by the Korea Polar Research Institute (KOPRI) Grant PE23160. This work was also supported by a Korea Institute of Marine Science &amp; Technology Promotion (KIMST) grant funded by the Ministry of Oceans and Fisheries (KIMST 20200610, KOPRI Grant PM23030). Access to shipping logistics with DAMCO was provided by the National Science Foundation Office of Polar Programs, United States Antarctic Program. NSF-MRI grant # 0821552 funded the purchase of the NMR instrument used in this study. The authors thank Yanina Ciriani for field assistance.</t>
  </si>
  <si>
    <t>AUG 15</t>
  </si>
  <si>
    <t>10.1038/s41598-023-40180-y</t>
  </si>
  <si>
    <t>P4AK5</t>
  </si>
  <si>
    <t>WOS:001050087800029</t>
  </si>
  <si>
    <t>Frinault, BAV; Barnes, DKA; Biskaborn, BK; Gromig, R; Hillenbrand, CD; Klages, JP; Koglin, N; Kuhn, G</t>
  </si>
  <si>
    <t>Frinault, Betina A. V.; Barnes, David K. A.; Biskaborn, Boris K.; Gromig, Raphael; Hillenbrand, Claus-Dieter; Klages, Johann P.; Koglin, Nikola; Kuhn, Gerhard</t>
  </si>
  <si>
    <t>Spatial competition in a global disturbance minimum; the seabed under an Antarctic ice shelf</t>
  </si>
  <si>
    <t>Global climate change; Weddell Sea; Boreholes through ice shelves; Stereo microscopy; Macrobenthos interactions; Bryozoa</t>
  </si>
  <si>
    <t>COMMUNITY; SPACE; LIFE; HIERARCHIES; OVERGROWTH; NETWORKS; PATTERNS; CLADES; IMPACT; DRIVEN</t>
  </si>
  <si>
    <t>The marine habitat beneath Antarctica's ice shelves spans -1.6 million km2, and life in this vast and extreme environment is among Earth's least accessible, least disturbed and least known, yet likely to be impacted by climate-forced warming and environmental change. Although competition among biota is a fundamental structuring force of ecological communities, hence ecosystem functions and services, nothing was known of competition for resources under ice shelves, until this study. Boreholes drilled through a - 200 m thick ice shelf enabled collections of novel sub-ice-shelf seabed sediment which contained fragments of biogenic substrata rich in encrusting (lithophilic) macrobenthos, principally bryozoans - a globally-ubiquitous phylum sensitive to environmental change. Analysis of sub-glacial biogenic substrata, by stereo microscopy, provided first evidence of spatial contest competition, enabling generation of a new range of competition measures for the sub-ice-shelf benthic space. Measures were compared with those of global open-water datasets traversing polar, temperate and tropical latitudes (and encompassing both hemispheres). Spatial competition in sub-ice-shelf samples was found to be higher in intensity and severity than all other global means. The likelihood of sub-ice-shelf competition being intraspecific was three times lower than for open-sea polar continental shelf areas, and competition complexity, in terms of the number of different types of competitor pairings, was two-fold higher. As posited for an enduring disturbance minimum, a specific bryozoan clade was especially competitively dominant in sub-iceshelf samples compared with both contemporary and fossil assemblage records. Overall, spatial competition under an Antarctic ice shelf, as characterised by bryozoan interactions, was strikingly different from that of opensea polar continental shelf sites, and more closely resembled tropical and temperate latitudes. This study represents the first analysis of sub-ice-shelf macrobenthic spatial competition and provides a new ecological baseline for exploring, monitoring and comparing ecosystem response to environmental change in a warming world.</t>
  </si>
  <si>
    <t>[Frinault, Betina A. V.] Univ Oxford, Oxford Univ Ctr Environm, Sch Geog &amp; Environm, Oxford, England; [Barnes, David K. A.; Hillenbrand, Claus-Dieter] NERC, British Antarctic Survey, Cambridge, England; [Biskaborn, Boris K.] Helmholtz Zentrum Polar &amp; Meeresforsch, Alfred Wegener Inst, Potsdam, Germany; [Gromig, Raphael; Klages, Johann P.; Kuhn, Gerhard] Helmholtz Zentrum Polar &amp; Meeresforsch, Alfred Wegener Inst, Bremerhaven, Germany; [Koglin, Nikola] Bundesanstalt Geowissensch &amp; Rohstoffe, Hannover, Germany</t>
  </si>
  <si>
    <t>University of Oxford; UK Research &amp; Innovation (UKRI); Natural Environment Research Council (NERC); NERC British Antarctic Survey; Helmholtz Association; Alfred Wegener Institute, Helmholtz Centre for Polar &amp; Marine Research; Helmholtz Association; Alfred Wegener Institute, Helmholtz Centre for Polar &amp; Marine Research</t>
  </si>
  <si>
    <t>Frinault, BAV (corresponding author), Univ Oxford, Oxford Univ Ctr Environm, Sch Geog &amp; Environm, Oxford, England.</t>
  </si>
  <si>
    <t>betina.frinault@ouce.ox.ac.uk</t>
  </si>
  <si>
    <t>UK Natural Environment Research Council [NE/R011885/1]; Alfred Wegener Institute; Federal Institute for Geosciences and Natural Resources, Germany</t>
  </si>
  <si>
    <t>UK Natural Environment Research Council(UK Research &amp; Innovation (UKRI)Natural Environment Research Council (NERC)); Alfred Wegener Institute; Federal Institute for Geosciences and Natural Resources, Germany</t>
  </si>
  <si>
    <t>This paper was produced with funding from the UK Natural Environment Research Council grant NE/R011885/1 to B.A.V.F. and central funding to D.K.A.B. The 2017-19 Sub-EIS-Obs Project was funded by the Alfred Wegener Institute and the Federal Institute for Geosciences and Natural Resources, Germany. The authors would like to express their gratitude to all those involved in the 2017-19 Sub-EIS-Obs Project and with the Neumayer III research station. Authors would also like to thank Laura Gerrish for cartography expertise and Chester Sands for support with competition photography. B.A.V.F. further extends thanks to Lisa Wedding and Chloe &amp; nbsp;Strevens for review of the original manuscript, and authors also thank the anonymous referees for their comments leading to an improved manuscript.</t>
  </si>
  <si>
    <t>10.1016/j.scitotenv.2023.166157</t>
  </si>
  <si>
    <t>R3AF3</t>
  </si>
  <si>
    <t>WOS:001063102700001</t>
  </si>
  <si>
    <t>Maiwald, V; Kyunghwan, K; Vrakking, V; Zeidler, C</t>
  </si>
  <si>
    <t>Maiwald, Volker; Kyunghwan, Kim; Vrakking, Vincent; Zeidler, Conrad</t>
  </si>
  <si>
    <t>From Antarctic prototype to ground test demonstrator for a lunar greenhouse</t>
  </si>
  <si>
    <t>ACTA ASTRONAUTICA</t>
  </si>
  <si>
    <t>Lunar greenhouse; Human spaceflight; Bioregenerative life-support system; Demonstrator</t>
  </si>
  <si>
    <t>CREW TIME</t>
  </si>
  <si>
    <t>The Moon has returned into the focus of human endeavors regarding human spaceflight, e.g., with NASA's Artemis program, ESA's Moon Village, and the Russian/Chinese International Lunar Research Station. In difference to the pathfinding missions of the Apollo-era, the goal for these future missions is to stay on the lunar surface for longer durations and inhabit the lunar environment (near-)permanently. This requires a different approach to be affordable, i.e., instead of resupply as mostly used on e.g., the International Space Station, resource management has to include recycling and in-situ utilization. The former especially calls for the application of so-called BLSS to allow providing essential life-support services to the crew without prohibitive resource consumption, which is economically not feasible to achieve with resupplies. Bio-regenerative-life-support systems have been researched for decades, yet the system complexity, technology advancements, and singular aspects as e.g., plant biology require more research, especially if combined as in a greenhouse. For instance, the understanding of how a microbiome develops in a closed environment and what implications the microbiome has on plant growth is still insufficient. Within the EDEN project, the German Aerospace Center built a lunar analogue greenhouse and operated it at the Neumayer-III research station in Antarctica for four years, testing the technology - which was not space hardware - and operations. Derived from this experience the next step in the project is to design and subsequently operate a ground test demonstrator for a lunar greenhouse, as close as possible to the actual space hardware and operations. This paper explains the current design and trade-offs that led to it. Furthermore, the concept of operations is shown to illustrate the demonstrator's utility for researching bioregenerative-lifesupport. Overall, the system presented is feasible and useful to close the gaps, currently still existing in this field of research, and thus a mission enabler for future long-duration human space exploration missions.</t>
  </si>
  <si>
    <t>[Maiwald, Volker; Kyunghwan, Kim; Vrakking, Vincent] German Aerosp Ctr DLR, Inst Space Syst, Bremen, Germany; [Zeidler, Conrad] Canadian Space Agcy, Longueuil, PQ, Canada</t>
  </si>
  <si>
    <t>Helmholtz Association; German Aerospace Centre (DLR); Canadian Space Agency</t>
  </si>
  <si>
    <t>Maiwald, V (corresponding author), German Aerosp Ctr DLR, Inst Space Syst, Bremen, Germany.</t>
  </si>
  <si>
    <t>volker.maiwald@dlr.de</t>
  </si>
  <si>
    <t>European Union [636501]; H2020 - Industrial Leadership [636501] Funding Source: H2020 - Industrial Leadership</t>
  </si>
  <si>
    <t>European Union(European Union (EU)); H2020 - Industrial Leadership(European Union (EU)H2020 - Industrial Leadership)</t>
  </si>
  <si>
    <t>The authors thank the CE study team for their work, Daniel Schubert, Claudia Philpot, Jess Buncheck, Markus Dorn, Annika Flechsig, Andre Fonseca Prince, Gerhild Bornemann, Ferdinand Rewicki, Christian Strowik, Hendrik-Joachim Peetz, Isabell Wittekind, Mathieu Tremblay, Falk Nohka, Norbert Toth, and Andy Braukhane. The EDEN ISS project received funding from the European Union ' s Horizon 2020 research and innovation program under grant agreement No. 636501.</t>
  </si>
  <si>
    <t>0094-5765</t>
  </si>
  <si>
    <t>1879-2030</t>
  </si>
  <si>
    <t>ACTA ASTRONAUT</t>
  </si>
  <si>
    <t>Acta Astronaut.</t>
  </si>
  <si>
    <t>10.1016/j.actaastro.2023.08.012</t>
  </si>
  <si>
    <t>Engineering, Aerospace</t>
  </si>
  <si>
    <t>Q9UU4</t>
  </si>
  <si>
    <t>WOS:001060903000001</t>
  </si>
  <si>
    <t>Hüner, NPA; Szyszka-Mroz, B; Ivanov, AG; Kata, V; Lye, H; Smith, DR</t>
  </si>
  <si>
    <t>Huner, Norman P. A.; Szyszka-Mroz, Beth; Ivanov, Alexander G.; Kata, Victoria; Lye, Hannah; Smith, David R.</t>
  </si>
  <si>
    <t>Photosynthetic adaptation and multicellularity in the Antarctic psychrophile, Chlamydomonas priscuii</t>
  </si>
  <si>
    <t>ALGAL RESEARCH-BIOMASS BIOFUELS AND BIOPRODUCTS</t>
  </si>
  <si>
    <t>Polar algae; Photoinhibition; Photoprotection; Single cells; Palmelloids; Multicellularity</t>
  </si>
  <si>
    <t>HARVESTING COMPLEX-II; PLASTID TERMINAL OXIDASE; LOW-TEMPERATURE MIMICS; CAB MESSENGER-RNA; COLD-ACCLIMATION; DUNALIELLA-SALINA; PHOTOSYSTEM-II; HIGH-LIGHT; CELL-SIZE; CHLOROPHYLL FLUORESCENCE</t>
  </si>
  <si>
    <t>Acclimation, adaptation and survival in persistent cold polar environments are complex phenomena associated with myriad molecular, biochemical and physiological mechanisms. The psychrophile, Chlamydomonas priscuii, is endemic to Lake Bonney, Antarctica. Adaptation to its extreme polar environment includes homeoviscous adaptation of membranes, maintenance of energy balance through photostasis and surface area to volume ratio. In addition to these mechanisms, this psychrophile can exist in culture as motile, single cells or as immobile, multicellular palmelloids. Comparative biochemical, physiological, microscopic and spectroscopic analyses of purified single cells and palmelloids indicate that the conversion of single cells to multicellular palmelloids alters the composition and organization of the photosynthetic apparatus. This enhances photoprotection of the photosynthetic apparatus from light and low temperature stress by minimizing potential cellular energy im-balances and safely dissipating excessive excitation energy by nonphotochemical quenching mechanisms. In addition to decreased susceptibility to predation, enhanced photoprotection from photoinhibition associated with palmelloid formation may be a complementary, selective, evolutionary advantage for the induction of multicellularity in green algae.</t>
  </si>
  <si>
    <t>[Huner, Norman P. A.; Szyszka-Mroz, Beth; Ivanov, Alexander G.; Kata, Victoria; Lye, Hannah; Smith, David R.] Western Univ, Dept Biol, London, ON N6A 5B7, Canada; [Ivanov, Alexander G.] Bulgarian Acad Sci, Inst Biophys &amp; Biomed Engn, Sofia 1113, Bulgaria</t>
  </si>
  <si>
    <t>Western University (University of Western Ontario); Bulgarian Academy of Sciences</t>
  </si>
  <si>
    <t>Hüner, NPA (corresponding author), Western Univ, Dept Biol, London, ON N6A 5B7, Canada.</t>
  </si>
  <si>
    <t>nhuner@uwo.ca</t>
  </si>
  <si>
    <t>Smith, David Roy/L-7910-2015</t>
  </si>
  <si>
    <t>Smith, David Roy/0000-0001-9560-5210</t>
  </si>
  <si>
    <t>NSERC; Canada Foundation for Innovation; Canada Research Chairs</t>
  </si>
  <si>
    <t>NSERC(Natural Sciences and Engineering Research Council of Canada (NSERC)); Canada Foundation for Innovation(Canada Foundation for InnovationCGIARSpanish Government); Canada Research Chairs(Canada Research ChairsCGIAR)</t>
  </si>
  <si>
    <t>The authors are grateful for the financial support for this research through NSERC Discovery Grants to NPAH and DRS. NPAH acknowledges the research support through the Canada Foundation for Innovation and the Canada Research Chairs.</t>
  </si>
  <si>
    <t>2211-9264</t>
  </si>
  <si>
    <t>ALGAL RES</t>
  </si>
  <si>
    <t>Algal Res.</t>
  </si>
  <si>
    <t>JUL</t>
  </si>
  <si>
    <t>10.1016/j.algal.2023.103220</t>
  </si>
  <si>
    <t>R1DD2</t>
  </si>
  <si>
    <t>WOS:001061806200001</t>
  </si>
  <si>
    <t>Liu, SH; Liu, Y; Teschke, K; Hindell, MA; Downey, R; Woods, B; Kang, B; Ma, SY; Zhang, C; Li, JC; Ye, ZJ; Sun, P; He, JF; Tian, YJ</t>
  </si>
  <si>
    <t>Liu, Shuhao; Liu, Yang; Teschke, Katharina; Hindell, Mark A.; Downey, Rachel; Woods, Briannyn; Kang, Bin; Ma, Shuyang; Zhang, Chi; Li, Jianchao; Ye, Zhenjiang; Sun, Peng; He, Jianfeng; Tian, Yongjun</t>
  </si>
  <si>
    <t>Incorporating mesopelagic fish into the evaluation of marine protected areas under climate change scenarios</t>
  </si>
  <si>
    <t>MARINE LIFE SCIENCE &amp; TECHNOLOGY</t>
  </si>
  <si>
    <t>Myctophids; Marine protected areas; Species distribution model; Southern Ocean; Antarctic Peninsula</t>
  </si>
  <si>
    <t>MYCTOPHID FISHES; SOUTHERN; ANTARCTICA; KRILL; CONSERVATION; KERGUELEN; COMMUNITY; ECOSYSTEM; NETWORKS; RESERVES</t>
  </si>
  <si>
    <t>Mesopelagic fish (meso-fish) are central species within the Southern Ocean (SO). However, their ecosystem role and adaptive capacity to climate change are rarely integrated into marine protected area (MPAs) assessments. This is a pity given their importance as crucial prey and predators in food webs, coupled with the impacts of climate change. Here, we estimate the habitat distribution of nine meso-fish using an ensemble model approach (MAXENT, random forest, and boosted regression tree). Four climate model simulations were used to project their distribution under two representative concentration pathways (RCP4.5 and RCP8.5) for short-term (2006-2055) and long-term (2050-2099) periods. In addition, we assess the ecological representativeness of established and proposed MPAs under climate change scenarios using meso-fish as indicator species. Our models show that all species shift poleward in the future. Lanternfishes (family Myctophidae) are predicted to migrate poleward more than other families (Paralepididae, Nototheniidae, Bathylagidae, and Gonostomatidae). In comparison, lanternfishes were projected to increase habitat area in the eastern SO but lose area in the western SO; the opposite was projected for species in other families. Important areas (IAs) of meso-fish are mainly distributed near the Antarctic Peninsula and East Antarctica. Proposed MPAs cover 23% of IAs at present and 38% of IAs in the future (RCP8.5, long-term future). Many IAs of meso-fish still need to be included in MPA proposals, such as the Prydz Bay and the seas around the Antarctic Peninsula. Our results provide a framework for designing new MPAs incorporating climate change adaptation strategies for MPA management.</t>
  </si>
  <si>
    <t>[Liu, Shuhao; Liu, Yang; Ma, Shuyang; Zhang, Chi; Li, Jianchao; Ye, Zhenjiang; Sun, Peng; Tian, Yongjun] Ocean Univ China, Res Ctr Deep Sea &amp; Polar Fisheries, Qingdao 266003, Peoples R China; [Liu, Yang; Tian, Yongjun] Ocean Univ China, Frontiers Sci Ctr Deep Ocean Multispheres &amp; Earth, Qingdao 266100, Peoples R China; [Teschke, Katharina] Helmholtz Ctr Polar &amp; Marine Res, Alfred Wegener Inst, Handelshafen 12, D-27570 Bremerhaven, Germany; [Teschke, Katharina] Carl von Ossietzky Univ Oldenburg, Helmholtz Inst Funct Marine Biodivers, Ammerlander Heerstr 231, D-23129 Oldenburg, Germany; [Hindell, Mark A.; Woods, Briannyn] Univ Tasmania, Inst Marine &amp; Antarctic Studies, Hobart 7004, Australia; [Downey, Rachel] Australian Natl Univ, Fenner Sch Environm &amp; Soc, Canberra, ACT 2602, Australia; [Kang, Bin] Ocean Univ China, Coll Fisheries, Qingdao 266003, Peoples R China; [He, Jianfeng] Polar Res Inst China, Shanghai 200136, Peoples R China</t>
  </si>
  <si>
    <t>Ocean University of China; Ocean University of China; Helmholtz Association; Alfred Wegener Institute, Helmholtz Centre for Polar &amp; Marine Research; Carl von Ossietzky Universitat Oldenburg; University of Tasmania; Australian National University; Ocean University of China; Polar Research Institute of China</t>
  </si>
  <si>
    <t>Liu, Y (corresponding author), Ocean Univ China, Res Ctr Deep Sea &amp; Polar Fisheries, Qingdao 266003, Peoples R China.;Liu, Y (corresponding author), Ocean Univ China, Frontiers Sci Ctr Deep Ocean Multispheres &amp; Earth, Qingdao 266100, Peoples R China.</t>
  </si>
  <si>
    <t>yangliu315@ouc.edu.cn</t>
  </si>
  <si>
    <t>lin, yuan/JXL-9592-2024; he, xi/JXN-3817-2024; Li, Yuanyuan/KEH-6935-2024; Wang, zhenhua/KFA-8731-2024; Li, Yuanxiang/KCX-8706-2024; yan, xu/KCY-8174-2024; chen, yue/JXW-9556-2024; Liu, Yang/AAK-3617-2020; Chen, Fang/JZE-4446-2024; Wang, Jiachen/KFT-0161-2024; wang, yifang/KEI-3766-2024; Yu, Shicheng/KHU-3059-2024; liu, miao/KGL-7043-2024; Wang, Zichao/KHX-4954-2024; lan, lan/JWO-3679-2024; yan, yan/JVN-1800-2024; yang, yy/KBR-1536-2024; Zhang, Wenkai/JWO-2030-2024; zhang, xiaoyu/KEJ-0657-2024; zhao, weiwei/JUU-6585-2023; li, qing/KHU-6871-2024; zhang, wen/JXN-0191-2024; zhang, xu/JXX-7692-2024; liu, zhen/KFS-0275-2024; Li, Wenjuan/KDN-8450-2024; zhang, ling/JXW-6931-2024; Lin, Wei/KFQ-5381-2024; Liu, Xinru/KEH-2341-2024; Wang, Xingyu/JNE-0602-2023; FENG, X/JPL-4188-2023; li, lan/KCJ-5061-2024; Li, Ren/JVZ-9153-2024; Zhang, Xiaoyu/JXR-6386-2024; Liu, qi/JZT-5038-2024; LIU, JIALIN/JXN-8034-2024; lu, yuan/JZD-0832-2024; Liu, Shaobo/JUU-5767-2023; Chen, Nuo/JZD-0344-2024; wang, nan/KHW-4897-2024; zhang, yan/JGL-8022-2023; zhang, zhang/KGK-5266-2024; wang, KiKi/JFZ-3334-2023; Zhu, Mengzhao/KFT-2345-2024; wang, jiaqi/KHC-5900-2024; Zhang, yuxuan/JXM-9935-2024; Liu, Junjie/KHV-6949-2024; yang, liu/JXX-5043-2024; Shen, Yan/KEJ-4617-2024; zhang, jiayue/JUF-0129-2023; Li, Huizhen/JPX-2563-2023; Han, Yang/JVN-5921-2024; Liu, Zhen/KFS-2748-2024; li, jixiang/JXN-7599-2024; Chen, Jin/KBQ-0163-2024; Hui, Yang/KGL-7041-2024; Zhang, Yulin/KEI-1610-2024; wang, jiaqi/JSL-7112-2023; zhang, yingying/KGM-8162-2024; Jing, Jing/JSK-6237-2023; zhang, zhang/KBQ-9978-2024</t>
  </si>
  <si>
    <t>Li, Yuanyuan/0000-0002-4955-1159; Liu, Yang/0000-0001-8548-0223; Li, Ren/0000-0002-2579-2580; Chen, Jin/0009-0005-5844-635X; zhang, yingying/0000-0001-7479-3398; Liu, Shuhao/0000-0002-2959-5728</t>
  </si>
  <si>
    <t>research project Impact and Response of Antarctic Seas to Climate Change (IRASCC2020-2022) from the Chinese Arctic and Antarctic Administration, Ministry of Natural Resources of the People's Republic of China [01-02-05C]</t>
  </si>
  <si>
    <t>research project Impact and Response of Antarctic Seas to Climate Change (IRASCC2020-2022) from the Chinese Arctic and Antarctic Administration, Ministry of Natural Resources of the People's Republic of China</t>
  </si>
  <si>
    <t>This study was supported by the research project Impact and Response of Antarctic Seas to Climate Change (IRASCC2020-2022-No. 01-02-05C) from the Chinese Arctic and Antarctic Administration, Ministry of Natural Resources of the People's Republic of China. We thank Dr. Rowan Trebilco (CSIRO Oceans and Atmosphere) for valuable comments and advice on the manuscript. The authors thank three anonymous reviewers and editor for their invaluable comments on the manuscript.</t>
  </si>
  <si>
    <t>2096-6490</t>
  </si>
  <si>
    <t>2662-1746</t>
  </si>
  <si>
    <t>MAR LIFE SCI TECH</t>
  </si>
  <si>
    <t>Mar. Life Sci. Tech.</t>
  </si>
  <si>
    <t>2023 AUG 15</t>
  </si>
  <si>
    <t>10.1007/s42995-023-00188-9</t>
  </si>
  <si>
    <t>Marine &amp; Freshwater Biology</t>
  </si>
  <si>
    <t>P1MM7</t>
  </si>
  <si>
    <t>WOS:001048351400001</t>
  </si>
  <si>
    <t>Yue, FE; Angot, H; Blomquist, B; Schmale, J; Hoppe, CJM; Lei, RB; Shupe, MD; Zhan, LY; Ren, J; Liu, HL; Beck, I; Howard, D; Jokinen, T; Laurila, T; Quéléver, L; Boyer, M; Petäjä, T; Archer, S; Bariteau, L; Helmig, D; Hueber, J; Jacobi, HW; Posman, K; Xie, ZQ</t>
  </si>
  <si>
    <t>Yue, Fange; Angot, Helene; Blomquist, Byron; Schmale, Julia; Hoppe, Clara J. M.; Lei, Ruibo; Shupe, Matthew D.; Zhan, Liyang; Ren, Jian; Liu, Hailong; Beck, Ivo; Howard, Dean; Jokinen, Tuija; Laurila, Tiia; Quelever, Lauriane; Boyer, Matthew; Petaja, Tuukka; Archer, Stephen; Bariteau, Ludovic; Helmig, Detlev; Hueber, Jacques; Jacobi, Hans-Werner; Posman, Kevin; Xie, Zhouqing</t>
  </si>
  <si>
    <t>The Marginal Ice Zone as a dominant source region of atmospheric mercury during central Arctic summertime</t>
  </si>
  <si>
    <t>GASEOUS ELEMENTAL MERCURY; BOUNDARY-LAYER; SEA-ICE; OZONE; OCEAN; DEPLETION; DEPOSITION; CHEMISTRY; TRANSPORT; WATERS</t>
  </si>
  <si>
    <t>Atmospheric gaseous elemental mercury (GEM) concentrations in the Arctic exhibit a clear summertime maximum, while the origin of this peak is still a matter of debate in the community. Based on summertime observations during the Multidisciplinary drifting Observatory for the Study of Arctic Climate (MOSAiC) expedition and a modeling approach, we further investigate the sources of atmospheric Hg in the central Arctic. Simulations with a generalized additive model (GAM) show that long-range transport of anthropogenic and terrestrial Hg from lower latitudes is a minor contribution (similar to 2%), and more than 50% of the explained GEM variability is caused by oceanic evasion. A potential source contribution function (PSCF) analysis further shows that oceanic evasion is not significant throughout the ice-covered central Arctic Ocean but mainly occurs in the Marginal Ice Zone (MIZ) due to the specific environmental conditions in that region. Our results suggest that this regional process could be the leading contributor to the observed summertime GEM maximum. In the context of rapid Arctic warming and the observed increase in width of the MIZ, oceanic Hg evasion may become more significant and strengthen the role of the central Arctic Ocean as a summertime source of atmospheric Hg.</t>
  </si>
  <si>
    <t>[Yue, Fange; Xie, Zhouqing] Univ Sci &amp; Technol China, Inst Polar Environm, Dept Environm Sci &amp; Engn, Hefei 230026, Anhui, Peoples R China; [Yue, Fange; Xie, Zhouqing] Univ Sci &amp; Technol China, Anhui Key Lab Polar Environm &amp; Global Change, Dept Environm Sci &amp; Engn, Hefei 230026, Anhui, Peoples R China; [Angot, Helene; Schmale, Julia; Beck, Ivo] Ecole Polytech Fed Lausanne EPFL Valais Wallis, Extreme Environm Res Lab, Sion, Switzerland; [Angot, Helene] Univ Colorado Boulder, Inst Arctic &amp; Alpine Res INSTAAR, Boulder, CO 80303 USA; [Angot, Helene; Jacobi, Hans-Werner] Univ Grenoble Alpes, CNRS, INRAE,IGE, IRD,Grenoble INP, F-38000 Grenoble, France; [Blomquist, Byron; Shupe, Matthew D.; Howard, Dean; Bariteau, Ludovic] Univ Colorado, Cooperat Inst Res Environm Sci, Boulder, CO USA; [Blomquist, Byron; Shupe, Matthew D.; Howard, Dean; Bariteau, Ludovic] NOAA, Phys Sci Lab, Boulder, CO USA; [Hoppe, Clara J. M.] Alfred Wegener Inst, Helmholtzzentrum Polar &amp; Meeresforschung, Handelshafen 12, D-27570 Bremerhaven, Germany; [Lei, Ruibo] Polar Res Inst China, Key Lab Polar Sci MNR, Shanghai, Peoples R China; [Zhan, Liyang] Minist Nat resources, Inst Oceanog 3, Xiamen, Peoples R China; [Ren, Jian] Minist Nat Resources, Inst Oceanog 2, Key Lab Marine Ecosyst Dynam, Hangzhou 310012, Peoples R China; Shanghai Jiao Tong Univ, Sch Oceanog, Shanghai 200030, Peoples R China; Univ Helsinki, Inst Atmospher &amp; Earth Syst Res INAR Phys, Fac Sci, Helsinki, Finland; Cyprus Inst, Climate &amp; Atmosphere Res Ctr CARE C, Nicosia, Cyprus; Bigelow Lab Ocean Sci, Boothbay, ME USA; Boulder Atmosphere Innovat Res, Boulder, CO USA; JH Atmospher Instrumentat Design, Boulder, CO USA</t>
  </si>
  <si>
    <t>Chinese Academy of Sciences; University of Science &amp; Technology of China, CAS; Chinese Academy of Sciences; University of Science &amp; Technology of China, CAS; Swiss Federal Institutes of Technology Domain; Ecole Polytechnique Federale de Lausanne; University of Colorado System; University of Colorado Boulder; Institut de Recherche pour le Developpement (IRD); Centre National de la Recherche Scientifique (CNRS); Communaute Universite Grenoble Alpes; Institut National Polytechnique de Grenoble; INRAE; Universite Grenoble Alpes (UGA); University of Colorado System; University of Colorado Boulder; National Oceanic Atmospheric Admin (NOAA) - USA; Helmholtz Association; Alfred Wegener Institute, Helmholtz Centre for Polar &amp; Marine Research; Polar Research Institute of China; Third Institute of Oceanography, Ministry of Natural Resources; Ministry of Natural Resources of the People's Republic of China; Ministry of Natural Resources of the People's Republic of China; Shanghai Jiao Tong University; University of Helsinki; Bigelow Laboratory for Ocean Sciences</t>
  </si>
  <si>
    <t>Xie, ZQ (corresponding author), Univ Sci &amp; Technol China, Inst Polar Environm, Dept Environm Sci &amp; Engn, Hefei 230026, Anhui, Peoples R China.;Xie, ZQ (corresponding author), Univ Sci &amp; Technol China, Anhui Key Lab Polar Environm &amp; Global Change, Dept Environm Sci &amp; Engn, Hefei 230026, Anhui, Peoples R China.;Angot, H (corresponding author), Ecole Polytech Fed Lausanne EPFL Valais Wallis, Extreme Environm Res Lab, Sion, Switzerland.;Angot, H (corresponding author), Univ Colorado Boulder, Inst Arctic &amp; Alpine Res INSTAAR, Boulder, CO 80303 USA.;Angot, H (corresponding author), Univ Grenoble Alpes, CNRS, INRAE,IGE, IRD,Grenoble INP, F-38000 Grenoble, France.</t>
  </si>
  <si>
    <t>helene.angot@univ-grenoble-alpes.fr; zqxie@ustc.edu.cn</t>
  </si>
  <si>
    <t>Ren, Jian/K-6951-2018; Hoppe, Clara Jule Marie/AFT-1558-2022; Petäjä, Tuukka/A-8009-2008; Schmale, Julia Yvonne/Q-3942-2019; Archer, Stephen/H-5490-2012; SHUPE, MATTHEW/F-8754-2011</t>
  </si>
  <si>
    <t>Ren, Jian/0000-0002-1889-5661; Hoppe, Clara Jule Marie/0000-0002-2509-0546; Petäjä, Tuukka/0000-0002-1881-9044; Schmale, Julia Yvonne/0000-0002-1048-7962; Archer, Stephen/0000-0001-6054-2424; Jacobi, Hans-Werner/0000-0003-2230-3136; SHUPE, MATTHEW/0000-0002-0973-9982</t>
  </si>
  <si>
    <t>Office of Biological and Environmental Research - National Natural Science Foundation of China [41941014]; National Natural Science Foundation of China [41941014]; US National Science Foundation [OPP 1807496, 1914781, 1807163]; Swiss National Science Foundation [200021_188478]; Swiss Polar Institute [DIRCR-2018-004]; DOE Atmospheric System Research Program [DE-SC0019251]; NOAA Physical Sciences Laboratory [NA22OAR4320151]; Ferring Pharmaceuticals; Swiss National Science Foundation (SNF) [200021_188478] Funding Source: Swiss National Science Foundation (SNF)</t>
  </si>
  <si>
    <t>Office of Biological and Environmental Research - National Natural Science Foundation of China(National Natural Science Foundation of China (NSFC)); National Natural Science Foundation of China(National Natural Science Foundation of China (NSFC)); US National Science Foundation(National Science Foundation (NSF)); Swiss National Science Foundation(Swiss National Science Foundation (SNSF)); Swiss Polar Institute; DOE Atmospheric System Research Program; NOAA Physical Sciences Laboratory(National Oceanic Atmospheric Admin (NOAA) - USA); Ferring Pharmaceuticals(Ferring Pharmaceuticals); Swiss National Science Foundation (SNF)(Swiss National Science Foundation (SNSF))</t>
  </si>
  <si>
    <t>Data reported in this manuscript were produced as part of the international Multidisciplinary drifting Observatory for the Study of Arctic Climate (MOSAiC) expedition with the tag MOSAiC20192020, with activities supported by Polarstern expedition AWI_PS122_00 and with the help of many people84. We thank the China Arctic and Antarctic Administration for fieldwork support. Some observations used here were provided by the Atmospheric Radiation Measurement (ARM) Climate Research Facility, a US Department of Energy (DOE) Office of Science User Facility sponsored by the Office of Biological and Environmental Research. We thank the many ARM operators who supported the field observations. We thank Hui Kang, Jianfang Chen and Songtao Ai for help in field work. We thank Weihua Gu, Hongwei Liu, and Lei Zhang for helpful discussion. This research was funded by the National Natural Science Foundation of China (grant no. 41941014), the US National Science Foundation (awards OPP 1807496, 1914781, and 1807163), the Swiss National Science Foundation (grant 200021_188478), the Swiss Polar Institute (grant DIRCR-2018-004), the DOE Atmospheric System Research Program (DE-SC0019251), and NOAA Physical Sciences Laboratory (NA22OAR4320151). JS holds the Ingvar Kamprad chair for extreme environment research, sponsored by Ferring Pharmaceuticals.</t>
  </si>
  <si>
    <t>AUG 14</t>
  </si>
  <si>
    <t>10.1038/s41467-023-40660-9</t>
  </si>
  <si>
    <t>P2XG3</t>
  </si>
  <si>
    <t>WOS:001049314000013</t>
  </si>
  <si>
    <t>Lin, Y; Wu, Z; Ke, HW; Chen, HR; Xu, Y; Lin, J; Liu, YG; Xu, FJ; Huang, DR; Wang, Y; Li, TY; Cai, MG</t>
  </si>
  <si>
    <t>Lin, Yan; Wu, Zhai; Ke, Hongwei; Chen, Huorong; Xu, Ye; Lin, Jin; Liu, Yanguang; Xu, Fangjian; Huang, Dongren; Wang, Yi; Li, Tianyao; Cai, Minggang</t>
  </si>
  <si>
    <t>Heavy metals and Pb isotopes in sediment cores from the Bering and Chukchi seas: Implications for environmental changes and human activities over the past century</t>
  </si>
  <si>
    <t>MARINE ENVIRONMENTAL RESEARCH</t>
  </si>
  <si>
    <t>Sediment cores; Metals; Pb isotopes; Sources; The Bering sea; The Chukchi sea</t>
  </si>
  <si>
    <t>SURFACE SEDIMENTS; TRACE-METALS; SOURCE SIGNATURES; BOTTOM SEDIMENTS; ATMOSPHERIC LEAD; ORGANIC-MATTER; ARCTIC-OCEAN; CONTAMINATION; EMISSIONS; TRANSPORT</t>
  </si>
  <si>
    <t>The Bering Sea and the Chukchi Sea are important regions for marine ecosystems and climate change. However, the historical deposition and sources of metals in these regions are poorly understood. In this study, we utilized Pb isotopes and multi-element concentrations (Ni, Cu, Fe, Mn, Zn, Cd, Pb) coupled with Pb-210 dating to investigate the historical deposition and source identification of metals in sediment cores collected from the Bering Sea and the Chukchi Sea. Our findings reveal that the transport of organic matter was mainly transported by marine and terrestrial sources in the Bering and Chukchi Sea, respectively. Historical variations of metals were similar in both seas, showing an increasing trend of metals (excluding Mn) from the 1960s to the 1990s, followed by a gradual decrease after the 1990s, which can be attributed to the development of industrial and gasoline emission. The results of the geo-accumulation index indicated that sediment in both seas was relatively unpolluted with metals. Additionally, Pb isotopic ratios suggested that natural weathering was the primary source of Pb in the area, but the use and phase-out of gasoline were also well-reconstructed. This study provides valuable information for assessing environmental changes and human activities over the past century in the Arctic and subarctic Ocean.</t>
  </si>
  <si>
    <t>[Lin, Yan] Xiamen Univ Technol, Sch Environm Sci &amp; Engn, Xiamen 361021, Peoples R China; [Lin, Yan] Xiamen Key Lab Membrane Res &amp; Applicat, Xiamen 361024, Peoples R China; [Lin, Yan; Wu, Zhai; Ke, Hongwei] Xiamen Univ, State Key Lab Marine Environm Sci, Xiamen 361102, Peoples R China; [Lin, Yan; Wu, Zhai; Ke, Hongwei; Xu, Ye; Cai, Minggang] Xiamen Univ, Key Lab Marine Chem &amp; Applicat Technol, Xiamen 361102, Peoples R China; [Lin, Yan; Wu, Zhai; Ke, Hongwei; Liu, Yanguang; Wang, Yi; Li, Tianyao; Cai, Minggang] Xiamen Univ, Coll Oceanog &amp; Environm Sci, Xiamen 361005, Peoples R China; [Chen, Huorong; Cai, Minggang] Monitoring Ctr Marine Environm &amp; Fishery Resources, Fuzhou 350003, Peoples R China; [Lin, Jin] Minist Nat Resources, Inst Oceanog 3, Xiamen 361005, Peoples R China; [Xu, Fangjian] Minist Nat Resources, Inst Oceanog 1, Qingdao 266061, Peoples R China; [Huang, Dongren] Univ Petr, Inst Earth Resources &amp; Informat, Qingdao 266555, Peoples R China</t>
  </si>
  <si>
    <t>Xiamen University of Technology; Xiamen University; Xiamen University; Xiamen University; Ministry of Natural Resources of the People's Republic of China; Third Institute of Oceanography, Ministry of Natural Resources; First Institute of Oceanography, Ministry of Natural Resources; Ministry of Natural Resources of the People's Republic of China; China University of Petroleum</t>
  </si>
  <si>
    <t>Cai, MG (corresponding author), Xiamen Univ, Key Lab Marine Chem &amp; Applicat Technol, Xiamen 361102, Peoples R China.</t>
  </si>
  <si>
    <t>National Natural Science Foundation of China [42106224, U2005207, 41976216, 41776088]; Chinese Polar Environment Comprehensive Investigation and Assessment Programs [CHINARE03-02]; Natural Science Foundation of Fujian Province [2014J06014]; Program for New Century Excellent Talents in University; Basal Research Fund of Xiamen University [2072010507]; Chinese Arctic and Antarctic Administration, State Oceanic Administration of China</t>
  </si>
  <si>
    <t>National Natural Science Foundation of China(National Natural Science Foundation of China (NSFC)); Chinese Polar Environment Comprehensive Investigation and Assessment Programs; Natural Science Foundation of Fujian Province(Natural Science Foundation of Fujian Province); Program for New Century Excellent Talents in University(Program for New Century Excellent Talents in University (NCET)); Basal Research Fund of Xiamen University; Chinese Arctic and Antarctic Administration, State Oceanic Administration of China</t>
  </si>
  <si>
    <t>This research was financially supported by the National Natural Science Foundation of China (42106224, U2005207, 41976216, 41776088) , Chinese Polar Environment Comprehensive Investigation and Assessment Programs (CHINARE03-02) , the Natural Science Foundation of Fujian Province, China (2014J06014) , the Program for New Century Excellent Talents in University and the Basal Research Fund of Xiamen University (2072010507) . We are also grateful to Prof. John Hodgkiss for his assistance with English, and to the crew of the R/V Xuelong and for the support from the Chinese Arctic and Antarctic Administration, State Oceanic Administration of China.</t>
  </si>
  <si>
    <t>ELSEVIER SCI LTD</t>
  </si>
  <si>
    <t>THE BOULEVARD, LANGFORD LANE, KIDLINGTON, OXFORD OX5 1GB, OXON, ENGLAND</t>
  </si>
  <si>
    <t>0141-1136</t>
  </si>
  <si>
    <t>1879-0291</t>
  </si>
  <si>
    <t>MAR ENVIRON RES</t>
  </si>
  <si>
    <t>Mar. Environ. Res.</t>
  </si>
  <si>
    <t>10.1016/j.marenvres.2023.106129</t>
  </si>
  <si>
    <t>Environmental Sciences; Marine &amp; Freshwater Biology; Toxicology</t>
  </si>
  <si>
    <t>Environmental Sciences &amp; Ecology; Marine &amp; Freshwater Biology; Toxicology</t>
  </si>
  <si>
    <t>T7UC1</t>
  </si>
  <si>
    <t>WOS:001079986800001</t>
  </si>
  <si>
    <t>Sremba, AL; Martin, AR; Wilson, P; Cypriano-Souza, AL; Buss, DL; Hart, T; Engel, MH; Bonatto, SL; Rosenbaum, H; Collins, T; Olavarría, C; Archer, F; Steel, D; Jackson, JA; Baker, CS</t>
  </si>
  <si>
    <t>Sremba, Angela L.; Martin, Anthony R.; Wilson, Peter; Cypriano-Souza, Ana Lucia; Buss, Danielle L.; Hart, Tom; Engel, Marcia H.; Bonatto, Sandro L.; Rosenbaum, Howard; Collins, Tim; Olavarria, Carlos; Archer, Frederick, I; Steel, Debbie; Jackson, Jennifer A.; Baker, C. Scott</t>
  </si>
  <si>
    <t>Diversity of mitochondrial DNA in 3 species of great whales before and after modern whaling</t>
  </si>
  <si>
    <t>JOURNAL OF HEREDITY</t>
  </si>
  <si>
    <t>blue whale; fin whale; humpback whale; mtDNA diversity; pre-whaling</t>
  </si>
  <si>
    <t>MEGAPTERA-NOVAEANGLIAE; HUMPBACK WHALES; BOWHEAD WHALES; POPULATION-STRUCTURE; RELATIVE ABUNDANCE; GENETIC-ANALYSIS; BREEDING AREA; SOUTH GEORGIA; BEAKED-WHALES; ATLANTIC</t>
  </si>
  <si>
    <t>The 20th century commercial whaling industry severely reduced populations of great whales throughout the Southern Hemisphere. The effect of this exploitation on genetic diversity and population structure remains largely undescribed. Here, we compare pre- and post-whaling diversity of mitochondrial DNA (mtDNA) control region sequences for 3 great whales in the South Atlantic, such as the blue, humpback, and fin whale. Pre-whaling diversity is described from mtDNA extracted from bones collected near abandoned whaling stations, primarily from the South Atlantic island of South Georgia. These bones are known to represent the first stage of 20th century whaling and thus pre-whaling diversity of these populations. Post-whaling diversity is described from previously published studies reporting large-scale sampling of living whales in the Southern Hemisphere. Despite relatively high levels of surviving genetic diversity in the post-whaling populations, we found evidence of a probable loss of mtDNA lineages in all 3 species. This is evidenced by the detection of a large number of haplotypes found in the pre-whaling samples that are not present in the post-whaling samples. A rarefaction analysis further supports a loss of haplotypes in the South Atlantic humpback and Antarctic blue whale populations. The bones from former whaling stations in the South Atlantic represent a remarkable molecular archive for further investigation of the decline and ongoing recovery in the great whales of the Southern Hemisphere.</t>
  </si>
  <si>
    <t>[Sremba, Angela L.] Oregon State Univ, Cooperat Inst Marine Resource &amp; Ecosyst Studies, Newport, OR USA; [Sremba, Angela L.; Steel, Debbie; Baker, C. Scott] Oregon State Univ, Marine Mammal Inst, Newport, OR USA; [Martin, Anthony R.] Univ Dundee, Ctr Remote Environm, Dundee, Scotland; [Wilson, Peter] 34 Captains Pl, Southampton, England; [Cypriano-Souza, Ana Lucia; Bonatto, Sandro L.] Pontificia Univ Catolica Rio Grande Do Sul, Porto Alegre, RS, Brazil; [Cypriano-Souza, Ana Lucia; Engel, Marcia H.] Inst Baleia Jubarte Caravelas, Projeto Baleia Jubarte, Caravelas, BA, Brazil; [Buss, Danielle L.; Jackson, Jennifer A.] British Antarctic Survey, Cambridge, England; [Buss, Danielle L.] Univ Cambridge, Dept Archaeol, Cambridge, England; [Hart, Tom] Univ Oxford, Dept Zool, Oxford, England; [Rosenbaum, Howard] Ocean Giants Program, Wildlife Conservat Soc, Bronx, NY USA; [Rosenbaum, Howard; Collins, Tim] Sackler Inst, Amer Museum Nat Hist, New York, NY USA; [Olavarria, Carlos] Ctr Estudios Avanzados Zonas Aridas CEAZA, La Serena, Chile; [Archer, Frederick, I] SW Fisheries Sci Ctr, La Jolla, CA USA; [Sremba, Angela L.] Oregon State Univ, Cooperat Inst Marine Ecosyst &amp; Resource Studies, 2030 SE Marine Sci Dr, Newport, OR 97365 USA</t>
  </si>
  <si>
    <t>Oregon State University; Oregon State University; University of Dundee; Pontificia Universidade Catolica Do Rio Grande Do Sul; UK Research &amp; Innovation (UKRI); Natural Environment Research Council (NERC); NERC British Antarctic Survey; University of Cambridge; University of Oxford; Wildlife Conservation Society; American Museum of Natural History (AMNH); National Oceanic Atmospheric Admin (NOAA) - USA; Oregon State University</t>
  </si>
  <si>
    <t>Sremba, AL (corresponding author), Oregon State Univ, Cooperat Inst Marine Ecosyst &amp; Resource Studies, 2030 SE Marine Sci Dr, Newport, OR 97365 USA.</t>
  </si>
  <si>
    <t>srembaa@oregonstate.edu</t>
  </si>
  <si>
    <t>Jackson, Jennifer A/E-7997-2013; Archer, Frederick/HRA-3487-2023</t>
  </si>
  <si>
    <t>Archer, Frederick/0000-0002-3179-4769; Hart, Tom/0000-0002-4527-5046; Jackson, Jennifer/0000-0003-4158-1924; Martin, Anthony/0000-0003-1158-6919; Sremba, Angie/0000-0003-4904-5819</t>
  </si>
  <si>
    <t>International Whaling Commission, Southern Ocean Research Partnership; Mamie Markham Research award; NERC-Cambridge ESS Doctoral Training Partnership Natural Environment Research Council [NE/L002507/1]; Petroleo Brasileiro S.A. (PETROBRAS)</t>
  </si>
  <si>
    <t>International Whaling Commission, Southern Ocean Research Partnership; Mamie Markham Research award; NERC-Cambridge ESS Doctoral Training Partnership Natural Environment Research Council; Petroleo Brasileiro S.A. (PETROBRAS)(Fundacao de Amparo a Pesquisa do Amapa (FAPEAP)Petrobras)</t>
  </si>
  <si>
    <t>Funding for this research was provided by a grant from the International Whaling Commission, Southern Ocean Research Partnership [to ALS, CSB, and JAJ], and a Mamie Markham Research award [to ALS]. Bones from South Georgia were collected by the British Antarctic Survey specimens from South Georgia were collected under permits Regulated Activity Permit 2016-009 issued by the Government of South Georgia and the South Sandwich Islands. Laboratory analyses of samples collected by the British Antarctic Survey were funded by an NERC-Cambridge ESS Doctoral Training Partnership from the Natural Environment Research Council (NE/L002507/1 to DLB). Projeto Baleia Jubarte was sponsored by Petroleo Brasileiro S.A. (PETROBRAS).</t>
  </si>
  <si>
    <t>OXFORD UNIV PRESS INC</t>
  </si>
  <si>
    <t>CARY</t>
  </si>
  <si>
    <t>JOURNALS DEPT, 2001 EVANS RD, CARY, NC 27513 USA</t>
  </si>
  <si>
    <t>0022-1503</t>
  </si>
  <si>
    <t>1465-7333</t>
  </si>
  <si>
    <t>J HERED</t>
  </si>
  <si>
    <t>J. Hered.</t>
  </si>
  <si>
    <t>10.1093/jhered/esad048</t>
  </si>
  <si>
    <t>Evolutionary Biology; Genetics &amp; Heredity</t>
  </si>
  <si>
    <t>Y6AG6</t>
  </si>
  <si>
    <t>Green Published, Bronze</t>
  </si>
  <si>
    <t>WOS:001060599700001</t>
  </si>
  <si>
    <t>Jackson, SL; Vance, TR; Crockart, C; Moy, A; Plummer, C; Abram, NJ</t>
  </si>
  <si>
    <t>Jackson, Sarah L.; Vance, Tessa R.; Crockart, Camilla; Moy, Andrew; Plummer, Christopher; Abram, Nerilie J.</t>
  </si>
  <si>
    <t>Climatology of the Mount Brown South ice core site in East Antarctica: implications for the interpretation of a water isotope record</t>
  </si>
  <si>
    <t>SNOW ACCUMULATION RATES; WILHELM-II LAND; LAW DOME; STORM TRACKS; TEMPERATURE RECONSTRUCTIONS; AUSTRALIAN RAINFALL; KOHNEN STATION; SURFACE SNOW; SIGNAL; VARIABILITY</t>
  </si>
  <si>
    <t>Water stable isotope records from ice cores ( delta O-18 and delta D) are a critical tool for constraining long-term temperature variability at high latitudes. However, precipitation in Antarctica consists of semi-continuous small events and intermittent extreme events. In regions of high accumulation, this can bias ice core records towards recording the synoptic climate conditions present during extreme precipitation events. In this study we utilise a combination of ice core data, reanalysis products, and models to understand how precipitation intermittency impacts the temperature records preserved in an ice core from Mount Brown South in East Antarctica. Extreme precipitation events represent only the largest 10% of all precipitation events, but they account for 52% of the total annual snowfall at this site, leading to an overrepresentation of these events in the ice core record. Extreme precipitation events are associated with high-pressure systems in the mid-latitudes that cause increased transport of warm and moist air from the southern Indian Ocean to the ice core site. Warm temperatures associated with these events result in a +4.8 degrees C warm bias in the mean annual temperature when weighted by daily precipitation, and water isotopes in the Mount Brown South ice core are shown to be significantly correlated with local temperature when this precipitation-induced temperature bias is included. The Mount Brown South water isotope record spans more than 1000 years and will provide a valuable regional reconstruction of long-term temperature and hydroclimate variability in the data-sparse southern Indian Ocean region.</t>
  </si>
  <si>
    <t>[Jackson, Sarah L.; Abram, Nerilie J.] Australian Natl Univ, Res Sch Earth Sci, Canberra, ACT 2601, Australia; [Jackson, Sarah L.; Abram, Nerilie J.] Australian Natl Univ, Australian Ctr Excellence Antarctic Sci, Canberra, ACT 2601, Australia; [Jackson, Sarah L.; Abram, Nerilie J.] Australian Natl Univ, ARC Ctr Excellence Climate Extremes, Canberra, ACT 2601, Australia; [Vance, Tessa R.; Crockart, Camilla; Moy, Andrew; Plummer, Christopher] Univ Tasmania, Inst Marine &amp; Antarctic Studies, Australian Antarctic Program Partnership, Hobart, Tas 7004, Australia; [Moy, Andrew] Australian Antarctic Div, Dept Climate Change Energy Environm &amp; Water, Kingston, Tas 7050, Australia</t>
  </si>
  <si>
    <t>Australian National University; Australian National University; Australian National University; University of Tasmania; Australian Antarctic Division</t>
  </si>
  <si>
    <t>Jackson, SL (corresponding author), Australian Natl Univ, Res Sch Earth Sci, Canberra, ACT 2601, Australia.;Jackson, SL (corresponding author), Australian Natl Univ, Australian Ctr Excellence Antarctic Sci, Canberra, ACT 2601, Australia.;Jackson, SL (corresponding author), Australian Natl Univ, ARC Ctr Excellence Climate Extremes, Canberra, ACT 2601, Australia.</t>
  </si>
  <si>
    <t>sarah.jackson@anu.edu.au</t>
  </si>
  <si>
    <t>Abram, Nerilie/0000-0003-1246-2344; Jackson, Sarah/0000-0003-4829-0687; Vance, Tessa/0000-0001-6970-8646</t>
  </si>
  <si>
    <t>Australian Research Council (ARC) Centre of Excellence for Climate Extremes [CE170100023]; ARC Australian Centre for Excellence in Antarctic Science [SR200100008]; ARC [DP180102522, DP220100606]; ARC Special Research Initiative for Antarctic Gateway Partnership [SR140300001]; Australian Antarctic Program Partnership [ASCI000002]; National Science Foundation; [NSF~P2C2~18041212]</t>
  </si>
  <si>
    <t>Australian Research Council (ARC) Centre of Excellence for Climate Extremes(Australian Research Council); ARC Australian Centre for Excellence in Antarctic Science(Australian Research Council); ARC(Australian Research Council); ARC Special Research Initiative for Antarctic Gateway Partnership; Australian Antarctic Program Partnership; National Science Foundation(National Science Foundation (NSF));</t>
  </si>
  <si>
    <t>This research has been supported by the Australian Research Council (ARC) Centre of Excellence for Climate Extremes (CE170100023) and the ARC Australian Centre for Excellence in Antarctic Science (SR200100008), ARC Discovery Projects (grant nos. DP180102522 and DP220100606), the ARC Special Research Initiative for the Antarctic Gateway Partnership (grant no. SR140300001), and the Australian Antarctic Program Partnership (ASCI000002) and a National Science Foundation project (grant no. NSF P2C2 1804121).</t>
  </si>
  <si>
    <t>10.5194/cp-19-1653-2023</t>
  </si>
  <si>
    <t>P1CH4</t>
  </si>
  <si>
    <t>WOS:001048081200001</t>
  </si>
  <si>
    <t>Audzijonyte, A; Arbaciauskas, K; Smith, C</t>
  </si>
  <si>
    <t>Audzijonyte, Asta; Arbaciauskas, Kestutis; Smith, Carl</t>
  </si>
  <si>
    <t>Does the Ice Age legacy end in Central Europe? The shrinking distributions of glacial relict crustaceans in Lithuania</t>
  </si>
  <si>
    <t>biological invasion; climate change; eutrophication; glacial relicts; Monoporeia affinis; Mysis relicta; Pallaseopsis quadrispinosa; Ponto-Caspian crustaceans</t>
  </si>
  <si>
    <t>MYSIS-RELICTA; FRESH-WATER; LAKE; ABUNDANCE; SALEMAAI; MALACOSTRACA; DILUVIANA; HISTORY; QUALITY; BREITER</t>
  </si>
  <si>
    <t>Glacial relict crustaceans are characterized by their affinity for cold and well-oxygenated waters and their limited dispersal ability. They occur in large, deep lakes of Northern and Central Europe and North America, with their distributions shaped by glaciation events. In many countries and especially along the southern distribution edge, glacial relict populations are declining as a result of eutrophication, global warming, and possible adverse interactions with invasive Ponto-Caspian crustaceans.This study assessed the status of three glacial relict malacostracan species (the amphipods Monoporeia affinis and Pallaseopsis quadrispinosa and the mysid Mysis relicta) in Lithuania and modelled their abundance across environmental variables, including the presence of Ponto-Caspian malacostracans.The results showed that M. affinis is probably extinct in the country, whereas M. relicta was found in only nine out of 16 locations from which it was previously recorded. The distribution of P. quadrispinosa also seems to be shrinking.The annual water renewal rate (P. quadrispinosa and M. relicta) and lake depth (P. quadrispinosa) were significantly and positively associated with the relative abundance of relict mysids and amphipods, but no association was found with lake size or with the presence of invasive Ponto-Caspian crustaceans. Both species were less abundant in samples collected in the 21st century compared with the 20th century.Given the biogeographical and ecological importance of glacial relict crustaceans, their widespread declines are of concern and point to the deterioration of habitat quality, essential for other species with similar requirements. Urgent action is needed to improve water conditions and safeguard these communities. In cases where water quality improves, the reintroduction of extirpated relict populations should be considered. One example is Lake Druksiai, where these crustaceans became extinct during the operation of the Ignalina nuclear power plant but where conditions improved following the closure of the power plant in 2009.</t>
  </si>
  <si>
    <t>[Audzijonyte, Asta; Arbaciauskas, Kestutis; Smith, Carl] Nat Res Ctr, Vilnius 08412, Lithuania; [Audzijonyte, Asta] Univ Tasmania, Inst Marine &amp; Antarctic Sci, Hobart, Tas, Australia; [Arbaciauskas, Kestutis] Vilnius Univ, Life Sci Ctr, Dept Zool, Vilnius, Lithuania; [Smith, Carl] Univ Lodz, Dept Ecol &amp; Vertebrate Zool, Lodz, Poland; [Smith, Carl] Czech Acad Sci, Inst Vertebrate Biol, Brno, Czech Republic</t>
  </si>
  <si>
    <t>Nature Research Center - Lithuania; University of Tasmania; Vilnius University; University of Lodz; Czech Academy of Sciences; Institute of Vertebrate Biology of the Czech Academy of Sciences</t>
  </si>
  <si>
    <t>Audzijonyte, A (corresponding author), Nat Res Ctr, Vilnius 08412, Lithuania.</t>
  </si>
  <si>
    <t>asta.audzijonyte@gamtc.lt</t>
  </si>
  <si>
    <t>Research Council of Lithuania [01.2.2-LMT-K-718-02-0006]</t>
  </si>
  <si>
    <t>Research Council of Lithuania(Research Council of Lithuania (LMTLT))</t>
  </si>
  <si>
    <t>Research Council of Lithuania, Grant/Award Number: 01.2.2-LMT-K-718-02-0006</t>
  </si>
  <si>
    <t>10.1002/aqc.4001</t>
  </si>
  <si>
    <t>U0RC4</t>
  </si>
  <si>
    <t>WOS:001049221800001</t>
  </si>
  <si>
    <t>Sutter, J</t>
  </si>
  <si>
    <t>Sutter, Johannes</t>
  </si>
  <si>
    <t>Can solar radiation modification prevent a future collapse of the West Antarctic Ice Sheet?</t>
  </si>
  <si>
    <t>SEA-LEVEL RISE</t>
  </si>
  <si>
    <t>[Sutter, Johannes] Univ Bern, Bern, Switzerland</t>
  </si>
  <si>
    <t>University of Bern</t>
  </si>
  <si>
    <t>Sutter, J (corresponding author), Univ Bern, Bern, Switzerland.</t>
  </si>
  <si>
    <t>10.1038/s41558-023-01739-9</t>
  </si>
  <si>
    <t>R2PL6</t>
  </si>
  <si>
    <t>WOS:001048833600005</t>
  </si>
  <si>
    <t>Nigro, R; Silvestro, AM; Juáres, M; Di Marco, P</t>
  </si>
  <si>
    <t>Nigro, Rocio; Silvestro, Anahi M.; Juares, Mariana; Di Marco, Pamela</t>
  </si>
  <si>
    <t>A case of melanism in a Gentoo Penguin (Pygoscelis papua) at Esperanza/Hope Bay, Antarctica</t>
  </si>
  <si>
    <t>POLAR BIOLOGY</t>
  </si>
  <si>
    <t>Antarctic Peninsula; Color aberration; Melanin; Pygoscelids</t>
  </si>
  <si>
    <t>COLOR ABERRATIONS</t>
  </si>
  <si>
    <t>Gentoo Penguin (Pygoscelis papua) is a species that reproduces in Antarctica and sub-Antarctic islands. During 2022 a Gentoo Penguin with an unusual plumage coloration was recorded at Esperanza/Hope Bay, north of the Antarctic Peninsula (63 &amp; DEG;24 &amp; PRIME; S, 57 &amp; DEG;01 &amp; PRIME; W). The coloring of plumage is achieved by two types of pigments known as carotenoids and melanins. Two different types of melanin (phaeomelanin and eumelanin) are responsible of producing different pigmentation patterns that oscillates between reddish-blackish coloration. The unusual coloration of the penguin was identified as melanism, a genetic condition that causes an excess of melanin pigment in feathers. This particular individual appeared to be in good health and exhibited normal behavior. As far as we know this is the second official report of melanism for the species since the first one in 1997 and it is the first report for the colony.</t>
  </si>
  <si>
    <t>[Nigro, Rocio] Univ Nacl La Plata, Fac Ciencias Nat &amp; Museo, Ave 122 &amp; 60, RA-1900 La Plata, Buenos Aires, Argentina; [Silvestro, Anahi M.] Ctr Invest Esquel Montana &amp; Estepa Patagon CONICET, Roca 780, RA-9200 Esquel, Chubut, Argentina; [Juares, Mariana] Inst Antart Argentino, Dept Biol Predadores Tope, 25 Mayo 1143,B1650CSP, San Martin, Buenos Aires, Argentina; [Juares, Mariana] Consejo Nacl Invest Cient &amp; Tecn CONICET, Godoy Cruz 2290,C1425FQB, Buenos Aires, DF, Argentina; [Juares, Mariana] Univ Nacl La Plata, Fac Ciencias Nat &amp; Museo, Labs Anexos, Calle 64 3,B1904AMA, La Plata, Buenos Aires, Argentina; [Di Marco, Pamela] BACE Comando Conjunto Antart Argentino, AC Med Campana Antart Invierno CAI 2022, Av Paseo Colon 1407,C1063ADB, Buenos Aires, DF, Argentina</t>
  </si>
  <si>
    <t>National University of La Plata; Museo La Plata; Instituto Antartico Argentino; Consejo Nacional de Investigaciones Cientificas y Tecnicas (CONICET); National University of La Plata; Museo La Plata</t>
  </si>
  <si>
    <t>Nigro, R (corresponding author), Univ Nacl La Plata, Fac Ciencias Nat &amp; Museo, Ave 122 &amp; 60, RA-1900 La Plata, Buenos Aires, Argentina.</t>
  </si>
  <si>
    <t>nigrorocio@hotmail.com</t>
  </si>
  <si>
    <t>Nigro, Rocio/0009-0007-9454-8147; Juares, Mariana A./0000-0002-6763-0416; Silvestro, Anahi Mariel/0000-0002-8134-9815</t>
  </si>
  <si>
    <t>Direccion Nacional del Antartico (Environmental Management Office); Instituto Antartico Argentino-Direccion Nacional del Antartico (PINST-05)</t>
  </si>
  <si>
    <t>The Instituto Antartico Argentino-Direccion Nacional del Antartico (PINST-05) provided financial and logistical support. This work involved no contact with animals. However, the field work was carried out under the permit granted by the Direccion Nacional del Antartico (Environmental Management Office).</t>
  </si>
  <si>
    <t>0722-4060</t>
  </si>
  <si>
    <t>1432-2056</t>
  </si>
  <si>
    <t>POLAR BIOL</t>
  </si>
  <si>
    <t>Polar Biol.</t>
  </si>
  <si>
    <t>10.1007/s00300-023-03190-0</t>
  </si>
  <si>
    <t>Biodiversity Conservation; Ecology</t>
  </si>
  <si>
    <t>R4IV5</t>
  </si>
  <si>
    <t>WOS:001048067000001</t>
  </si>
  <si>
    <t>Nardelli, AE; Visch, W; Farrington, G; Sanderson, JC; Bellgrove, A; Wright, JT; MacLeod, C; Hurd, CL</t>
  </si>
  <si>
    <t>Nardelli, Allyson E. E.; Visch, Wouter; Farrington, Glenn; Sanderson, J. Craig; Bellgrove, Alecia; Wright, Jeffrey T. T.; MacLeod, Catriona; Hurd, Catriona L. L.</t>
  </si>
  <si>
    <t>A new nursery approach enhances at-sea performance in the kelp Lessonia corrugata</t>
  </si>
  <si>
    <t>JOURNAL OF APPLIED PHYCOLOGY</t>
  </si>
  <si>
    <t>Phaeophyceae; Water-motion; Aquaculture; Seasonality; Hatchery; Seaweed; Cultivation</t>
  </si>
  <si>
    <t>SACCHARINA-LATISSIMA; MACROCYSTIS-PYRIFERA; WATER MOTION; UNDARIA-PINNATIFIDA; CULTIVATED KELP; NITROGEN UPTAKE; ATLANTIC COAST; NORTHERN CHILE; LAMINARIALES; GROWTH</t>
  </si>
  <si>
    <t>We found that an innovative nursery approach, where Lessonia corrugata seeded spools were cultivated by spinning to increase the water motion relative to non-spinning spools, had higher growth in both the nursery and at-sea stages. Using this method, we compared the at-sea growth of sporophytes cultivated on spinning spools at different depths (1 m, 3 m, 5 m) and seasons (timing of out-planting). Finally, we compared the at-sea growth of sporophytes cultivated on spinning spools vs. non-spinning sporophytes at 3-m depth. In the nursery, sporophytes on spinning spools developed significantly faster than those on non-spinning spools: blade length was 4.6 and 2.5 cm, and holdfast area was 0.10 and 0.03 cm(2) for spinning and non-spinning spools, respectively. At-sea L. corrugata in spring had significantly greater biomass production at 3 m and 5 m (3.0 kg m(-1) and 2.4 kg m(-1), respectively) and up to 96% survival. In summer, 100% of deployed kelps died at all depths. Growth was faster at 5 m (0.3 +/- 0.06 kg m(-1)) in autumn and at 3 and 5 m (1.1 +/- 0.1 kg m(-1) and 0.8 +/- 0.1 kg m(-1), respectively) in winter. At sea, sporophytes from the spinning spools grew significantly 60% larger, and survival was similar to 3 times greater over 3 months than sporophytes from non-spinning. Overall, this study shows that spinning seeded spools in the nursery improves the growth at sea, spring is the best season for out-planting L. corrugata, and 3 or 5 m depth is best for production.</t>
  </si>
  <si>
    <t>[Nardelli, Allyson E. E.; Visch, Wouter; Farrington, Glenn; Wright, Jeffrey T. T.; MacLeod, Catriona; Hurd, Catriona L. L.] Inst Marine &amp; Antarctic Studies IMAS, 20 Castray Esplanade, Battery Point, TAS 7004, Australia; [Sanderson, J. Craig] Tassal Pty Ltd, 1-5 Franklin Wharf, Hobart, TAS 7000, Australia; [Bellgrove, Alecia] Deakin Univ, Ctr Marine Res &amp; Innovat, Sch Life &amp; Environm Sci, Warrnambool Campus, Warrnambool, VIC 3280, Australia</t>
  </si>
  <si>
    <t>Deakin University</t>
  </si>
  <si>
    <t>Nardelli, AE (corresponding author), Inst Marine &amp; Antarctic Studies IMAS, 20 Castray Esplanade, Battery Point, TAS 7004, Australia.</t>
  </si>
  <si>
    <t>allyson.nardelli@utas.edu.au</t>
  </si>
  <si>
    <t>MacLeod, Catriona K/J-7176-2014; Bellgrove, Alecia/K-2601-2014</t>
  </si>
  <si>
    <t>Bellgrove, Alecia/0000-0002-0499-3439; Visch, Wouter/0000-0003-4291-6239</t>
  </si>
  <si>
    <t>CAUL and its Member Institutions; Seaweed solutions for sustainable aquaculture CRC Project - Australian government; Institute for Marine and Antarctic Sciences/University of Tasmania [CRCPSIX000144]</t>
  </si>
  <si>
    <t>CAUL and its Member Institutions; Seaweed solutions for sustainable aquaculture CRC Project - Australian government; Institute for Marine and Antarctic Sciences/University of Tasmania</t>
  </si>
  <si>
    <t>Open Access funding enabled and organized by CAUL and its Member Institutions This research was funded by the Seaweed solutions for sustainable aquaculture CRC Project funded by the Australian government, Institute for Marine and Antarctic Sciences/University of Tasmania, CRCPSIX000144.</t>
  </si>
  <si>
    <t>DORDRECHT</t>
  </si>
  <si>
    <t>VAN GODEWIJCKSTRAAT 30, 3311 GZ DORDRECHT, NETHERLANDS</t>
  </si>
  <si>
    <t>0921-8971</t>
  </si>
  <si>
    <t>1573-5176</t>
  </si>
  <si>
    <t>J APPL PHYCOL</t>
  </si>
  <si>
    <t>J. Appl. Phycol.</t>
  </si>
  <si>
    <t>2023 AUG 12</t>
  </si>
  <si>
    <t>10.1007/s10811-023-03061-5</t>
  </si>
  <si>
    <t>Biotechnology &amp; Applied Microbiology; Marine &amp; Freshwater Biology</t>
  </si>
  <si>
    <t>O9LD5</t>
  </si>
  <si>
    <t>WOS:001046952400002</t>
  </si>
  <si>
    <t>Abrashkin, AA; Constantin, A</t>
  </si>
  <si>
    <t>Abrashkin, A. A.; Constantin, A.</t>
  </si>
  <si>
    <t>A steady azimuthal stratified flow modelling the Antarctic Circumpolar Current</t>
  </si>
  <si>
    <t>JOURNAL OF DIFFERENTIAL EQUATIONS</t>
  </si>
  <si>
    <t>Stratified fluid; Inviscid flow</t>
  </si>
  <si>
    <t>We investigate steady flow moving purely in the azimuthal direction on a rotating sphere and having a meridionally localized jet structure. An exact solution for a stratified inviscid fluid, which admits a depth-dependent velocity profile below the surface, is constructed in spherical coordinates. This solution is relevant to the modelling of the Antarctic Circumpolar Current. We show that the stratification enables us to dispense with the nonconservative body force that was invoked in recent spherical-coordinate models to produce realistic flow profiles. (c) 2023 The Author(s). Published by Elsevier Inc. This is an open access article under the CC BY license (http://creativecommons.org/licenses/by/4.0/).</t>
  </si>
  <si>
    <t>[Abrashkin, A. A.] Natl Res Univ, Dept Math, Higher Sch Econ, Nizhnii Novgorod 603155, Russia; [Abrashkin, A. A.] Russian Acad Sci, Inst Appl Phys, Fed Res Ctr, Nizhnii Novgorod, Russia; [Constantin, A.] Univ Vienna, Fac Math, Oskar Morgenstern Pl 1, A-1090 Vienna, Austria</t>
  </si>
  <si>
    <t>HSE University (National Research University Higher School of Economics); Russian Academy of Sciences; Institute of Applied Physics of the Russian Academy of Sciences; University of Vienna</t>
  </si>
  <si>
    <t>Constantin, A (corresponding author), Univ Vienna, Fac Math, Oskar Morgenstern Pl 1, A-1090 Vienna, Austria.</t>
  </si>
  <si>
    <t>aabrashkin@hse.ru; adrian.constantin@univie.ac.at</t>
  </si>
  <si>
    <t>constantin, adrian/A-7868-2012</t>
  </si>
  <si>
    <t>constantin, adrian/0000-0001-8868-9305</t>
  </si>
  <si>
    <t>0022-0396</t>
  </si>
  <si>
    <t>1090-2732</t>
  </si>
  <si>
    <t>J DIFFER EQUATIONS</t>
  </si>
  <si>
    <t>J. Differ. Equ.</t>
  </si>
  <si>
    <t>NOV 25</t>
  </si>
  <si>
    <t>10.1016/j.jde.2023.07.044</t>
  </si>
  <si>
    <t>Mathematics</t>
  </si>
  <si>
    <t>HI3A9</t>
  </si>
  <si>
    <t>WOS:001158814700001</t>
  </si>
  <si>
    <t>Otiniano, L; Taboada, A; Asorey, H; Sidelnik, I; Castromonte, C; Fauth, A</t>
  </si>
  <si>
    <t>Otiniano, L.; Taboada, A.; Asorey, H.; Sidelnik, I.; Castromonte, C.; Fauth, A.</t>
  </si>
  <si>
    <t>Lago Collaborat</t>
  </si>
  <si>
    <t>Measurement of the muon lifetime and the Michel spectrum in the LAGO water Cherenkov detectors as a tool to enhance the signal-to-noise ratio</t>
  </si>
  <si>
    <t>NUCLEAR INSTRUMENTS &amp; METHODS IN PHYSICS RESEARCH SECTION A-ACCELERATORS SPECTROMETERS DETECTORS AND ASSOCIATED EQUIPMENT</t>
  </si>
  <si>
    <t>Water Cherenkov detectors; LAGO collaboration; Muon decay</t>
  </si>
  <si>
    <t>The Latin American Giant Observatory (LAGO) consists of a network of water Cherenkov detectors (WCDs) installed in the Latin American region at various latitudes, from Sierra Negra in Mexico, 18 degrees 59 &amp; PRIME; N 97 degrees 18 &amp; PRIME; W to the Antarctic Peninsula, 64 degrees 14 &amp; PRIME; S 56 degrees 38 &amp; PRIME; W and altitudes from Lima, Peru at 20 m a.s.l. to Chacaltaya, Bolivia at 5500 m a.s.l. The detectors of the network are built from commercial water tanks, so they have several geometries (cylindrical in general) and different water purification methods. All these features generate different profiles in the response to air shower particles measured by our detectors and produce pulse-shaped electronic signals. Common sources of noise in a WCD come from light leakage, electronic noise, and noise associated with the operation of photomultiplier tubes (PMTs) such as thermionic emission and after-pulses; they all could produce detectable pulses recorded by the LAGO data acquisition (DAQ) system. In LAGO WCDs, these noise signals are expected to present a short pulse width (of a few nanoseconds), while secondary radiation typically produces pulses of several tens of nanoseconds. We used data from the LAGO DAQ system, which digitises pulses at 40 MHz sampling rate on windows of 300 ns (12 temporal bins) and with a 10-bit resolution. The LAGO DAQ configuration uses a single threshold based trigger in the third temporal bin. We proposed a secondary trigger threshold at the fourth bin to improve the noise rejection. In this work, we show how the optimal values for these triggers are now obtained from the measurement of the muon lifetime within the water volume and the resulting Michel spectrum. Our results were also simulated using the LAGO ARTI simulation framework to estimate the expected flux of secondary particles at the detector site; and the Meiga framework, a Geant4-based simulator used to estimate the WCDs response to the atmospheric radiation flux.</t>
  </si>
  <si>
    <t>[Otiniano, L.] Comis Nacl Invest &amp; Desarrollo Aerosp CONIDA, Lima, Peru; [Taboada, A.] Inst Tecnol Detecc &amp; Astroparticulas ITeDA, Buenos Aires, Argentina; [Asorey, H.] Ctr Atomico Bariloche CNEA, Dept Fis Med, San Carlos De Bariloche, Argentina; [Sidelnik, I.] CNEA, Ctr Atomico Bariloche, Dept Fis Neutrones, San Carlos De Bariloche, Argentina; [Sidelnik, I.] Consejo Nacl Invest Cient &amp; Tecn, San Carlos De Bariloche, Argentina; [Fauth, A.] Univ Estadual Campinas UNICAMP, San Carlos De Bariloche, Argentina; [Otiniano, L.; Castromonte, C.] Univ Nacl Ingn, Lima, Peru</t>
  </si>
  <si>
    <t>Comision Nacional de Energia Atomica (CNEA); Centro Atomico Bariloche; Consejo Nacional de Investigaciones Cientificas y Tecnicas (CONICET); University Nacional de Ingenieria Lima</t>
  </si>
  <si>
    <t>Otiniano, L (corresponding author), Comis Nacl Invest &amp; Desarrollo Aerosp CONIDA, Lima, Peru.</t>
  </si>
  <si>
    <t>lotiniano@conida.gob.pe</t>
  </si>
  <si>
    <t>Otiniano, Luis/H-5350-2018; Fauth, Anderson/F-9570-2012</t>
  </si>
  <si>
    <t>Otiniano, Luis/0000-0003-1453-5789; Fauth, Anderson/0000-0001-7239-0288</t>
  </si>
  <si>
    <t>'European Open Science Cloud - Expanding Capacities by building Capabilities'(EOSCSYNERGY); European Commission [857647]; ICTP, Italy; OIEA [NT-17]; Universidad Nacional de Ingenieria, Peru [FC-FI-11-2020]; [139-2017]</t>
  </si>
  <si>
    <t>'European Open Science Cloud - Expanding Capacities by building Capabilities'(EOSCSYNERGY); European Commission(European Union (EU)European Commission Joint Research Centre); ICTP, Italy; OIEA; Universidad Nacional de Ingenieria, Peru;</t>
  </si>
  <si>
    <t>This work was partly carried out within the 'European Open Science Cloud - Expanding Capacities by building Capabilities'(EOSCSYNERGY) project, co-funded by the European Commission's Horizon 2020 RI Programme under Grant Agreement n. 857647. We acknowledge the ICTP, Italy and OIEA grant NT-17 that partially funded stays to carry out this work. Also ProCiencia through 139-2017 grant and Universidad Nacional de Ingenieria, Peru through grant FC-FI-11-2020 for partially funded detectors development. The LAGO Collaboration is very thankful to all the participating institutions and to the Pierre Auger Collaboration for their continuous support.</t>
  </si>
  <si>
    <t>0168-9002</t>
  </si>
  <si>
    <t>1872-9576</t>
  </si>
  <si>
    <t>NUCL INSTRUM METH A</t>
  </si>
  <si>
    <t>Nucl. Instrum. Methods Phys. Res. Sect. A-Accel. Spectrom. Dect. Assoc. Equip.</t>
  </si>
  <si>
    <t>10.1016/j.nima.2023.168567</t>
  </si>
  <si>
    <t>Instruments &amp; Instrumentation; Nuclear Science &amp; Technology; Physics, Nuclear; Physics, Particles &amp; Fields</t>
  </si>
  <si>
    <t>Instruments &amp; Instrumentation; Nuclear Science &amp; Technology; Physics</t>
  </si>
  <si>
    <t>S0OC0</t>
  </si>
  <si>
    <t>WOS:001068238800001</t>
  </si>
  <si>
    <t>De Mello, DC; Veloso, GV; Moquedace, CM; Oliveira, ID; De Oliveira, FS; Gomes, LC; De Souza, JJLL; Francelino, MR; Fernandes, EI; Schaefer, CEGR; Dematte, JAM</t>
  </si>
  <si>
    <t>De Mello, Danilo Cesar; Veloso, Gustavo Vieira; Moquedace, Cassio Marques; Oliveira, Isabelle De Angeli; De Oliveira, Fabio Soares; Gomes, Lucas Carvalho; Lelis Leal De Souza, Jose Joao; Francelino, Marcio Rocha; Fernandes-Filho, Elpidio Inacio; Goncalves reynaud Schaefer, Carlos Ernesto; Dematte, Jose A. M.</t>
  </si>
  <si>
    <t>Radiometric and magnetic susceptibility characterization of soil profiles: Geophysical data and their relationship with Antarctic periglacial processes, pedogenesis, and lithology</t>
  </si>
  <si>
    <t>CATENA</t>
  </si>
  <si>
    <t>Soil magnetic susceptibility; Gamma -ray spectrometry; Periglacial environment; Pedogeomorphology; Antarctic soils</t>
  </si>
  <si>
    <t>SOUTH SHETLAND ISLANDS; GAMMA-RAY SPECTROMETRY; KING-GEORGE ISLAND; NATURAL RADIOACTIVITY; LIVINGSTON ISLAND; CHEMISTRY; PENINSULA; CLIMATE; ATTENUATION; MINERALOGY</t>
  </si>
  <si>
    <t>Maritime Antarctica is still pedologically unexplored by proximal geophysical sensors. In-depth soil geophysical characterizations in depth can provide comprehensive information regarding how weathering, pedogenesis, and periglacial processes operate in periglacial environments, with advantages like non-invasive methodology, fast and precise data acquisition, practical equipment operation, and cost-effectiveness. This research aimed to carry out the first proximal gamma-spectrometric and magnetic geophysical characterization of soil profiles in maritime Antarctica and to relate the geophysical variables analyzed with periglacial processes, weathering, pedogenesis, geology, and landscape dynamics. The study was carried out in the Keller Peninsula (King George Island, Maritime Antarctica) with the pedological characterization of soil profiles, using two proximal geophysical sensors (gamma spectrometer and susceptibility meter) that quantify, respectively, soil radionuclides uranium, thorium and potassium as well as soil magnetic susceptibility. For that, twenty soil profiles were described and characterized, and soil samples were collected for physico-chemical analysis. In addition, readings were carried out with the two geophysical sensors in each soil profile, through soil horizons up to the lithic contact and/or permafrost top. We performed exploratory statistical analyses in R software as follows: visualizing the geophysical variables in soil depth for each profile and soil class, obtaining descriptive statistics among soil classes, analyzing geophysical variables by geology and soil classes, performing Spearman correlation between geophysical variables and soil physico-chemical attributes, and applying principal component analysis to pedological classes, geophysical variables, and soil physico-chemical attributes. The results showed that radionuclide contents increased with soil profile depth in all profiles and soil classes analyzed, except for Cryosols where permafrost is present, and cryoturbation was more pronounced. The potassium content was high in all soil profiles, evidencing the low degree of chemical weathering and leaching. The soil magnetic susceptibility values tended to decrease in depth, mainly where permafrost was present. The gravel content contributed more to the levels of radionuclide content. The clay content in some soil classes present contributed secondarily to uranium and thorium contents. Soil profiles located on marine terraces were influenced by periglacial reworking and deposition of different materials, showing increases in magnetic susceptibility values with soil depth by the absolute accumulation of ferrimagnetic minerals. Principal component analyses efficiently separated Regosols from other soil classes by soil &amp; kappa; related to lithology, whereas Cambisols and other soil classes were separated by radionuclide contents related to incipient pedogenesis. These findings may give new insights into understand this inhospitable continent.</t>
  </si>
  <si>
    <t>[De Mello, Danilo Cesar; Veloso, Gustavo Vieira; Moquedace, Cassio Marques; Oliveira, Isabelle De Angeli; Lelis Leal De Souza, Jose Joao; Francelino, Marcio Rocha; Fernandes-Filho, Elpidio Inacio; Goncalves reynaud Schaefer, Carlos Ernesto] Univ Fed Vicosa, Dept Soil Sci, Vicosa, Brazil; [De Oliveira, Fabio Soares] Univ Fed Minas Gerais, Dept Geog, Belo Horizonte, Brazil; [Gomes, Lucas Carvalho] Aarhus Univ, Dept Agroecol, Blichers Alle 20, DK-8830 Tjele, Denmark; [Dematte, Jose A. M.] Univ Sao Paulo, Luiz Queiroz Coll Agr, Dept Soil Sci, Av Padua Dias, 11,CP 9, BR-13418900 Piracicaba, SP, Brazil</t>
  </si>
  <si>
    <t>Universidade Federal de Vicosa; Universidade Federal de Minas Gerais; Aarhus University; Universidade de Sao Paulo</t>
  </si>
  <si>
    <t>De Mello, DC (corresponding author), Univ Fed Vicosa, Dept Soil Sci, Vicosa, Brazil.</t>
  </si>
  <si>
    <t>danilo.mello@ufv.br; cassio.moquedace@ufv.br; isabelle.angeli@ufv.br; lucas.gomes@agro.au.dk; jjlelis@ufv.br; marcio.francelino@ufv.br; elpidio@ufv.br; carlos.schaefer@ufv.br; jamdemat@usp.br</t>
  </si>
  <si>
    <t>Souza, José João Lelis Leal de/G-5960-2018; dos Santos, Cássio Marques Moquedace/AAW-3406-2020; Francelino, Marcio Rocha/AAS-4224-2020; Vieira Veloso, Gustavo/AAR-7287-2020; Mello, Danilo/C-2828-2017</t>
  </si>
  <si>
    <t>Souza, José João Lelis Leal de/0000-0003-4670-6626; dos Santos, Cássio Marques Moquedace/0000-0002-7673-4524; Francelino, Marcio Rocha/0000-0001-8837-1372; Vieira Veloso, Gustavo/0000-0002-9451-2714; MELLO, DANILO CESAR DE/0000-0002-5398-9313</t>
  </si>
  <si>
    <t>National Council for Scientific and Technological Development (CNPq) [305996/2018-5, 001]; Coordenacao de Aperfeicoamento de Pessoal de Nivel Superior-Brazil; [134608/2015-1]</t>
  </si>
  <si>
    <t>National Council for Scientific and Technological Development (CNPq)(Conselho Nacional de Desenvolvimento Cientifico e Tecnologico (CNPQ)); Coordenacao de Aperfeicoamento de Pessoal de Nivel Superior-Brazil(Coordenacao de Aperfeicoamento de Pessoal de Nivel Superior (CAPES));</t>
  </si>
  <si>
    <t>We would like to thank the National Council for Scientific and Technological Development (CNPq) for the first author's scholarship (grant No. 134608/2015-1; grant number 305996/2018-5) for providing essential resources. This study was financed in part by the Coordenacao de Aperfeicoamento de Pessoal de Nivel Superior-Brazil (CAPES) -Finance Code 001; We are also grateful to the Terrantar - UFV group, Geotechnologies in Soil Science group, Laboratorio de~~Geoprocessamento e Pedometria - UFV (LabGeo - UFV) , Programa de Pos-Graduacao em Solos e Nutricao de Plantas - PGSNP' of the Soil Department of the Universidade Federal de Vicosa, Brazil, and Programa Antartico Brasileiro, for their support.</t>
  </si>
  <si>
    <t>0341-8162</t>
  </si>
  <si>
    <t>1872-6887</t>
  </si>
  <si>
    <t>Catena</t>
  </si>
  <si>
    <t>10.1016/j.catena.2023.107427</t>
  </si>
  <si>
    <t>Geosciences, Multidisciplinary; Soil Science; Water Resources</t>
  </si>
  <si>
    <t>Geology; Agriculture; Water Resources</t>
  </si>
  <si>
    <t>Q2EK3</t>
  </si>
  <si>
    <t>WOS:001055698600001</t>
  </si>
  <si>
    <t>Gálvez, C; Raverty, S; Galván-Magaña, F; Field, CL; Elorriaga-Verplancken, FR</t>
  </si>
  <si>
    <t>Galvez, Casandra; Raverty, Stephen; Galvan-Magana, Felipe; Field, Cara L.; Elorriaga-Verplancken, Fernando R.</t>
  </si>
  <si>
    <t>Mortality in an off-shore predator critical habitat during the Northeast Pacific marine heatwave</t>
  </si>
  <si>
    <t>ocean warming; marine mammal; vital demographic rates; pinniped breeding rookeries; pathology; marine mammal conservation; health</t>
  </si>
  <si>
    <t>CALIFORNIA CURRENT SYSTEM; ANTARCTIC FUR-SEAL; ARCTOCEPHALUS-GAZELLA; AUSTRALIS-GRACILIS; GUADALUPE ISLAND; BAJA-CALIFORNIA; PUP MORTALITY; GUAFO ISLAND; IMPACTS; PENINSULA</t>
  </si>
  <si>
    <t>Defining baseline mortality and trends in wildlife populations is imperative to understand natural and anthropogenic threats to overall population health and improve conservation measures for species, particularly in geographically confined habitats. The Guadalupe fur seal Arctocephalus townsendi (GFS) is a threatened pinniped that ranges throughout the west coast of Mexico with sporadic dispersion to higher latitudes. Their breeding habitat is restricted to Guadalupe Island, Mexico, which is vulnerable to periodic and cyclic warming of the Northeast Pacific Ocean. The impacts of environmental change on GFS health and reproductive success at Guadalupe Island are poorly defined and the aim of this study was to establish baseline pup (GFSn) mortality rates and primary causes of death during the 2013-2016 breeding seasons at Guadalupe Island. Interannual mortality rates and causes of death were compared by year, breeding seasons and by geographic location. The highest mortality rate in GFSn was in 2015 (14.7%), followed by 2014 (8.2%), 2016 (6.7%) and 2013 (5.6%). The presumptive causes of mortality of GFSn were consistent with other published long term otariids health surveys and included: emaciation (49%), trauma (24%), infectious disease (8%), drowning (4%) stillbirth/perinatal mortality (4%) and undetermined (11%). However, in 2015 and coinciding with northeast Pacific marine heatwave in 2014-2016, emaciation accounted for 54% of GFSn mortality in contrast to 9% in 2013. For GFSn, terrestrial habitat may influence mortality rates and causes of mortality but like other marine predators, marine habitat features, such as an increase in sea surface temperature are associated with changes in maternal care, nutritional status and pups survival. Monitoring mortality rate and causes in GFSn at Guadalupe Island is crucial to establish baseline health trends, document potential impacts on species demographics and recruitment during marine heatwaves and potential consequences in population recovery.</t>
  </si>
  <si>
    <t>[Galvez, Casandra; Galvan-Magana, Felipe; Elorriaga-Verplancken, Fernando R.] Inst Politecn Nacl, Ctr Interdisciplinario Ciencias Marinas, Paz, Baja California, Mexico; [Galvez, Casandra] Marine Conservat Med &amp; Ecosyst Hlth, Paz, Baja California, Mexico; [Raverty, Stephen] Minist Agr &amp; Food, Anim Hlth Ctr, Abbotsford, BC, Canada; [Field, Cara L.] Marine Mammal Ctr, Dept Vet Sci, Sausalito, CA 94965 USA</t>
  </si>
  <si>
    <t>Elorriaga-Verplancken, FR (corresponding author), Inst Politecn Nacl, Ctr Interdisciplinario Ciencias Marinas, Paz, Baja California, Mexico.</t>
  </si>
  <si>
    <t>felorriaga@ipn.mx</t>
  </si>
  <si>
    <t>Elorriaga-Verplancken, Fernando R./0000-0002-7360-8039; Gutierrez Galvez, Priscilla Casandra/0000-0001-8994-6326</t>
  </si>
  <si>
    <t>Instituto Politecnico Nacional for fellowships (COFAA, EDI); SIP projects [20130944, 20140277, 20160164]; Consejo Nacional de Ciencia y Tecnologia (Conacyt) [CVU: 511077]</t>
  </si>
  <si>
    <t>Instituto Politecnico Nacional for fellowships (COFAA, EDI); SIP projects; Consejo Nacional de Ciencia y Tecnologia (Conacyt)(Consejo Nacional de Ciencia y Tecnologia (CONACyT))</t>
  </si>
  <si>
    <t>We would like to thank Dr. Wendy Roe and Msc. Larissa Chavez-Soriano for review of this work and volunteers who contributed to data collection. We are grateful to the Secretaria de Marina Armada de Mexico and Comision Nacional de Areas Naturales ProtegidasIsla Guadalupe and Direccion General de Vida Silvestre for providing research permits (SGPA/DGVS/01847/12, 11744/13, 00195/15, and DGVS/00050/16) and FE-V and FG-M thank the Instituto Politecnico Nacional for fellowships (COFAA, EDI) with SIP projects (20130944, 20140277 and 20160164) and to Consejo Nacional de Ciencia y Tecnologia (Conacyt) for CG fellowship (2013-2015) (CVU: 511077).</t>
  </si>
  <si>
    <t>AUG 11</t>
  </si>
  <si>
    <t>10.3389/fmars.2023.1202533</t>
  </si>
  <si>
    <t>Q0GA3</t>
  </si>
  <si>
    <t>WOS:001054366700001</t>
  </si>
  <si>
    <t>Bender, AN; Krause, DJ; Goebel, ME; Hoffman, JI; Lewallen, EA; Bonin, CA</t>
  </si>
  <si>
    <t>Bender, Arona N.; Krause, Douglas J.; Goebel, Michael E.; Hoffman, Joseph I.; Lewallen, Eric A.; Bonin, Carolina A.</t>
  </si>
  <si>
    <t>Genetic diversity and demographic history of the leopard seal: A Southern Ocean top predator</t>
  </si>
  <si>
    <t>EFFECTIVE POPULATION-SIZE; ECOSYSTEM-BASED MANAGEMENT; ARCTIC MARINE MAMMALS; HYDRURGA-LEPTONYX; PRYDZ BAY; FUR SEALS; MITOCHONDRIAL; PHYLOGENY; GROWTH; BOTTLENECK</t>
  </si>
  <si>
    <t>Leopard seals (Hydrurga leptonyx) are top predators that can exert substantial top-down control of their Antarctic prey species. However, population trends and genetic diversity of leopard seals remain understudied, limiting our understanding of their ecological role. We investigated the genetic diversity, effective population size and demographic history of leopard seals to provide fundamental data that contextualizes their predatory influence on Antarctic ecosystems. Ninety leopard seals were sampled from the northern Antarctic Peninsula during the austral summers of 2008-2019 and a 405bp segment of the mitochondrial control region was sequenced for each individual. We uncovered moderate levels of nucleotide (&amp; pi; = 0.013) and haplotype (Hd = 0.96) diversity, and the effective population size was estimated at around 24,000 individuals (NE = 24,376; 95% CI: 16,876-33,126). Consistent with findings from other ice-breeding pinnipeds, Bayesian skyline analysis also revealed evidence for population expansion during the last glacial maximum, suggesting that historical population growth may have been boosted by an increase in the abundance of sea ice. Although leopard seals can be found in warmer, sub-Antarctic locations, the species' core habitat is centered on the Antarctic, making it inherently vulnerable to the loss of sea ice habitat due to climate change. Therefore, detailed assessments of past and present leopard seal population trends are needed to inform policies for Antarctic ecosystems.</t>
  </si>
  <si>
    <t>[Bender, Arona N.; Bonin, Carolina A.] Hampton Univ, Marine &amp; Environm Sci Dept, Hampton, VA 23669 USA; [Krause, Douglas J.] NOAA Fisheries, Antarctic Ecosyst Res Div, Southwest Fisheries Sci Ctr, La Jolla, CA USA; [Goebel, Michael E.] Univ Calif Santa Cruz, Ecol &amp; Evolutionary Biol Dept, Santa Cruz, CA USA; [Hoffman, Joseph I.] Univ Bielefeld, Dept Anim Behav, Bielefeld, Germany; [Hoffman, Joseph I.] British Antarctic Survey, Cambridge, England; [Lewallen, Eric A.; Bonin, Carolina A.] Hampton Univ, Dept Biol Sci, Hampton, VA 23669 USA</t>
  </si>
  <si>
    <t>Hampton University; National Oceanic Atmospheric Admin (NOAA) - USA; University of California System; University of California Santa Cruz; University of Bielefeld; UK Research &amp; Innovation (UKRI); Natural Environment Research Council (NERC); NERC British Antarctic Survey; Hampton University</t>
  </si>
  <si>
    <t>Bonin, CA (corresponding author), Hampton Univ, Marine &amp; Environm Sci Dept, Hampton, VA 23669 USA.;Bonin, CA (corresponding author), Hampton Univ, Dept Biol Sci, Hampton, VA 23669 USA.</t>
  </si>
  <si>
    <t>bonincarolina@gmail.com</t>
  </si>
  <si>
    <t>; Hoffman, Joseph/K-7725-2012</t>
  </si>
  <si>
    <t>Bonin Lewallen, Carolina/0000-0003-1162-7290; Hoffman, Joseph/0000-0001-5895-8949</t>
  </si>
  <si>
    <t>National Oceanic and Atmospheric Administration Living Marine Resources Cooperative Science Center [NA16SEC4810007, NA11SEC4810002]; NSF HRD [2000211]; NSF OPP</t>
  </si>
  <si>
    <t>National Oceanic and Atmospheric Administration Living Marine Resources Cooperative Science Center(National Oceanic Atmospheric Admin (NOAA) - USA); NSF HRD; NSF OPP(National Science Foundation (NSF)NSF - Directorate for Geosciences (GEO))</t>
  </si>
  <si>
    <t>ANB: NA16SEC4810007 and NA11SEC4810002 (National Oceanic and Atmospheric Administration Living Marine Resources Cooperative Science Center, https://www.noaa.gov/office-education/epp-msi/csc/noaa- living-marine-resources-cooperative-science-center) CAB: NSF HRD # 2000211 and NSF OPP # 2146068 (National Science Foundation, https://www.nsf.gov/awardsearch/showAward?AWD_ID= 2000211 &amp; HistoricalAwards=false; https://www.nsf. gov/awardsearch/showAward?AWD_ID= 2146068 &amp; HistoricalAwards=false) The funders had no role in study design, data collection and analysis, decision to publish, or preparation of the manuscript.</t>
  </si>
  <si>
    <t>e0284640</t>
  </si>
  <si>
    <t>10.1371/journal.pone.0284640</t>
  </si>
  <si>
    <t>P6IZ3</t>
  </si>
  <si>
    <t>gold, Green Accepted, Green Submitted, Green Published</t>
  </si>
  <si>
    <t>WOS:001051705700007</t>
  </si>
  <si>
    <t>Baird, IG; Thorne, MAS</t>
  </si>
  <si>
    <t>Baird, Ian G.; Thorne, Michael A. S.</t>
  </si>
  <si>
    <t>The downstream impacts of dams on the seasonally flooded riverine forests of the Mekong River in northeastern Cambodia</t>
  </si>
  <si>
    <t>SOUTH EAST ASIA RESEARCH</t>
  </si>
  <si>
    <t>Mekong river; Flooded forests; Hydropower dams; Downstream impacts</t>
  </si>
  <si>
    <t>HYDROPOWER; SCALE; HABITAT; BASIN</t>
  </si>
  <si>
    <t>On the Mekong River, north of Stung Treng town in northeastern Cambodia, and below the border with Laos, lies an area of riverine seasonally flooded forest designated as an internationally significant Ramsar wetland site because of its exceptional biodiversity and importance to livelihoods. This article reports on the cumulative and cascading impacts of numerous upstream hydropower dams in China and Laos on this vital ecosystem due to the release of water during the dry season, which prevents the flooded forest from undergoing its critically important drying out period. In particular, we investigate the damage being wrought on these flooded forests and on the various species dependent on them. Different species have been variously affected, but some have been largely destroyed. Others are being increasingly impacted. This habitat loss is negatively affecting fisheries, especially for a number of Pangasiidae catfish and Cyprinid carps, which is having an adverse effect on local livelihoods. New dams upriver, and continued high dry-season water from existing dams, are likely to lead eventually to the increased degradation and possibly the eradication of the flooded forests along the mainstream Mekong River, unless measures are taken to address the problem.</t>
  </si>
  <si>
    <t>[Baird, Ian G.] Univ Wisconsin Madison, Dept Geog, Madison, WI 53706 USA; [Thorne, Michael A. S.] British Antarctic Survey, Cambridge, England</t>
  </si>
  <si>
    <t>University of Wisconsin System; University of Wisconsin Madison; UK Research &amp; Innovation (UKRI); Natural Environment Research Council (NERC); NERC British Antarctic Survey</t>
  </si>
  <si>
    <t>Baird, IG (corresponding author), Univ Wisconsin Madison, Dept Geog, Madison, WI 53706 USA.</t>
  </si>
  <si>
    <t>ibaird@wisc.edu</t>
  </si>
  <si>
    <t>Baird, Ian G./AAA-4727-2021</t>
  </si>
  <si>
    <t>Baird, Ian G./0000-0001-7747-2485; Thorne, Michael/0000-0001-7759-612X</t>
  </si>
  <si>
    <t>Center for Khmer Studies; Social Sciences and Humanities Research Council (SSHRC) of Canada [PG 895-2015-1024]</t>
  </si>
  <si>
    <t>Center for Khmer Studies; Social Sciences and Humanities Research Council (SSHRC) of Canada(Social Sciences and Humanities Research Council of Canada (SSHRC))</t>
  </si>
  <si>
    <t>Thank you to Bun Sithon for assisting us with fieldwork in 2022 and to other villagers who supported our research in Stung Treng Province. Brian Eyler, Jake Brunner, Andrea Claassen and Zeb Hogan provided some useful information and comments on earlier drafts. Ratha Sor helped identify one of the molluscs reported on in this article. This research was funded by the Center for Khmer Studies, and the project, Tracking Change: Local and Traditional Knowledge in Watershed Governance, which was funded by the Social Sciences and Humanities Research Council (SSHRC) of Canada in a grant to Parlee-University of Alberta (SSHRC PG 895-2015-1024 Parlee). Thanks to Bryce Linden from the Cartography Lab in the Department of Geography, University of Wisconsin-Madison for helping prepare the map.</t>
  </si>
  <si>
    <t>0967-828X</t>
  </si>
  <si>
    <t>2043-6874</t>
  </si>
  <si>
    <t>SOUTH EAST ASIA RES</t>
  </si>
  <si>
    <t>South East Asia Res.</t>
  </si>
  <si>
    <t>OCT 2</t>
  </si>
  <si>
    <t>10.1080/0967828X.2023.2243584</t>
  </si>
  <si>
    <t>Asian Studies</t>
  </si>
  <si>
    <t>Arts &amp; Humanities Citation Index (A&amp;HCI)</t>
  </si>
  <si>
    <t>FI9D1</t>
  </si>
  <si>
    <t>WOS:001052382300001</t>
  </si>
  <si>
    <t>Zawierucha, K; Kasparová, ES; McInnes, S; Buda, J; Ambrosini, R; Devetter, M; Ficetola, GF; Franzetti, A; Takeuchi, N; Horna, P; Jaromerská, TN; Ono, M; Sabacká, M; Janko, K</t>
  </si>
  <si>
    <t>Zawierucha, Krzysztof; Kasparova, Eva Stefkova; McInnes, Sandra; Buda, Jakub; Ambrosini, Roberto; Devetter, Miloslav; Ficetola, Gentile Francesco; Franzetti, Andrea; Takeuchi, Nozomu; Horna, Patrik; Jaromerska, Tereza Novotna; Ono, Masato; Sabacka, Marie; Janko, Karel</t>
  </si>
  <si>
    <t>Cryophilic Tardigrada have disjunct and bipolar distribution and establish long-term stable, low-density demes</t>
  </si>
  <si>
    <t>Long-range dispersal; Disjunct distribution; Glaciers; Cryoconite holes; Biogeography; Tardigrada</t>
  </si>
  <si>
    <t>ARCTIC CRYOCONITE HOLES; INTEGRATIVE REDESCRIPTION; MOLECULAR EVIDENCE; GLACIER ICE; BIOGEOGRAPHY; ECOSYSTEMS; DISPERSAL; DIVERSITY; TEMPERATURE; PILATOBIUS</t>
  </si>
  <si>
    <t>Glaciers are inhabited by various cryophilic organisms ranging from single celled to multicellular, like Tardigrada (water bears). Owing to their scattered distribution, glaciers represent extremely fragmented habitats, and it remains unclear how their inhabitants survive and disperse among such isolated patches. This study investigates the biogeography of the tardigrade genus Cryoconicus, whose distribution, population stability, and interregional connectivity are examined by screening the collections from similar to 60 glaciers worldwide and by a phylogeographic analysis. We found that two Cryoconicus species occur at low densities on two Arctic glaciers in Svalbard, far from their previously reported Antarctic and Central Asian ranges. Screening of worldwide databases and DNA metabarcoding indicated that these species are absent or rare in the intermediate areas, suggesting large disjunctions in their ranges. In particular, the genetic data and multiyear resampling showed that Cryoconicus kaczmareki established a stable population on the Ebba Glacier (Svalbard), which has been isolated from its Asian core range since before the last glacial maximum. Our findings suggest that glacial invertebrates may possess wide yet largely disjunctive ranges. Interpolar- or intercontinental-scale movements of cryophilic meiofauna may occur, but migration connectivity is not sufficient to mitigate the differentiation of the local population. Revealed biogeographic patterns further demonstrate that inhabitants of extreme environments may establish isolated and highly fragmented populations that persist long term, even if at very low densities.</t>
  </si>
  <si>
    <t>[Zawierucha, Krzysztof; Buda, Jakub] Adam Mickiewicz Univ, Dept Anim Taxon &amp; Ecol, Uniwersytetu Poznanskiego 6, PL-61614 Poznan, Poland; [McInnes, Sandra] British Antarctic Survey, Madingley Rd, Cambridge CB3 0ET, England; [Ambrosini, Roberto; Ficetola, Gentile Francesco] Univ Milan, Dept Environm Sci &amp; Policy, Via Celoria 26, I-20131 Milan, Italy; [Devetter, Miloslav] Inst Soil Biol, Biol Ctr CAS, Sadkach 7, Ceske Budejovice 37005, Czech Republic; [Devetter, Miloslav] Univ South Bohemia, Fac Sci, Ctr Polar Ecol, Zlate Stoce 3, Ceske Budejovice 37005, Czech Republic; [Ficetola, Gentile Francesco] Univ Grenoble Alpes, Univ Savoie Mont Blanc, CNRS, LECA,Lab Ecol Alpine, F-38000 Grenoble, France; [Franzetti, Andrea] Univ Milano Bicocca, Dept Earth &amp; Environm Sci DISAT, Piazza Sci 1, I-20126 Milan, Italy; [Kasparova, Eva Stefkova] Czech Univ Life Sci Prague, Dept Zool &amp; Fisheries, Kamycka 129,6 Suchdol, Prague 16500, Czech Republic; [Takeuchi, Nozomu] Chiba Univ, Grad Sch Sci, Dept Earth Sci, Chiba, Japan; [Kasparova, Eva Stefkova; Horna, Patrik; Janko, Karel] Acad Sci Czech Republ, Inst Anim Physiol &amp; Genet, Lab Nonmendelian Evolut, Libechov, Czech Republic; [Jaromerska, Tereza Novotna] Charles Univ Prague, Fac Sci, Dept Ecol, Prague 12844, Czech Republic; [Ono, Masato] Chiba Univ, Grad Sch Sci &amp; Engn, Chiba, Japan; [Sabacka, Marie] Univ South Bohemia, Fac Sci, Ctr Polar Ecol, Ceske Budejovice 37005, Czech Republic; [Janko, Karel] Univ Ostrava, Fac Sci, Dept Biol &amp; Ecol, Chittussiho 10, Ostrava, Czech Republic</t>
  </si>
  <si>
    <t>Adam Mickiewicz University; UK Research &amp; Innovation (UKRI); Natural Environment Research Council (NERC); NERC British Antarctic Survey; University of Milan; Czech Academy of Sciences; Biology Centre of the Czech Academy of Sciences; University of South Bohemia Ceske Budejovice; Communaute Universite Grenoble Alpes; Universite Grenoble Alpes (UGA); Centre National de la Recherche Scientifique (CNRS); Universite Savoie Mont Blanc; Universite Gustave-Eiffel; University of Milano-Bicocca; Czech University of Life Sciences Prague; Chiba University; Czech Academy of Sciences; Institute of Animal Physiology &amp; Genetics of the Czech Academy of Sciences; Charles University Prague; Chiba University; University of South Bohemia Ceske Budejovice; University of Ostrava</t>
  </si>
  <si>
    <t>Zawierucha, K (corresponding author), Adam Mickiewicz Univ, Dept Anim Taxon &amp; Ecol, Uniwersytetu Poznanskiego 6, PL-61614 Poznan, Poland.;Janko, K (corresponding author), Acad Sci Czech Republ, Inst Anim Physiol &amp; Genet, Lab Nonmendelian Evolut, Libechov, Czech Republic.;Janko, K (corresponding author), Univ Ostrava, Fac Sci, Dept Biol &amp; Ecol, Chittussiho 10, Ostrava, Czech Republic.</t>
  </si>
  <si>
    <t>k.p.zawierucha@gmail.com; janko@iapg.cas.cz</t>
  </si>
  <si>
    <t>Horna, Patrik/GQZ-4485-2022; Takeuchi, Nozomu/Q-7869-2016; Kasparova, Eva/G-7184-2014; McInnes, Sandra/AAN-4773-2020; NovotnaJaromerska, Tereza/KFR-5522-2024; Ficetola, Gentile Francesco/A-2813-2008; Devetter, Miloslav/G-1087-2014</t>
  </si>
  <si>
    <t>Horna, Patrik/0000-0001-7337-5899; Takeuchi, Nozomu/0000-0002-3267-5534; McInnes, Sandra/0000-0003-3403-9379; NovotnaJaromerska, Tereza/0000-0002-8676-7792; Buda, Jakub/0000-0002-4584-5897; Ficetola, Gentile Francesco/0000-0003-3414-5155; Ono, Masato/0000-0001-6706-2167; Devetter, Miloslav/0000-0003-1767-4266</t>
  </si>
  <si>
    <t>10.1007/s00300-023-03170-4</t>
  </si>
  <si>
    <t>WOS:001046604600002</t>
  </si>
  <si>
    <t>Baena, P; Santín, A; La Mesa, M; Riginella, E; Owsianowski, N; Gili, JM; Ambroso, S</t>
  </si>
  <si>
    <t>Baena, Patricia; Santin, Andreu; La Mesa, Mario; Riginella, Emilio; Owsianowski, Nils; Gili, Josep-Maria; Ambroso, Stefano</t>
  </si>
  <si>
    <t>Are there distribution patterns and population structure differences among demersal fish species in relation to Antarctic benthic communities? A case study in the Weddell Sea</t>
  </si>
  <si>
    <t>Behavioral patterns; Benthic communities; Demersal fish; Size-frequency populations; Spatial distribution; Weddell Sea; Antarctica</t>
  </si>
  <si>
    <t>ROSS SEA; DEEP; BIOLOGY; ICEFISH; FAUNA; SHELF; CHANNICHTHYIDAE; BIODIVERSITY; ASSEMBLAGES; VARIABILITY</t>
  </si>
  <si>
    <t>Despite the general belief that the Southern Ocean harbors low fish biodiversity, the Weddell Sea hosts one of the richest fish communities in the region. Parallelly, the Weddell Sea is also known for the presence of dense and diverse macrobenthos. Most macrobenthic invertebrates, such as gorgonians, sponges and bryozoans, are considered ecosystem engineers as they generate a three-dimensional structure that increases habitat heterogeneity. This structural complexity serves as a refuge against predators as well as a nursery ground for many organisms, including fish species. By analyzing video transects recorded by a Remotely Operated Vehicle, we investigated density, spatial distribution and size-frequency of populations of the demersal fish species inhabiting macrobenthic communities in the southernmost part of the Weddell Sea. We also attempted to unveil whether there is any relationship between benthic and fish communities and substrate, as well as some fish behavioral patterns. The dominance of juveniles in the surveyed fish assemblages provides evidence that, at this life stage, some fish species appear to be positively associated with complex benthic communities conformed by bryozoans, sponges and gorgonians which are more common in sand matrix with sparse rocks substrates. Moreover, about 37% of all specimens recorded were resting on benthic invertebrates or were using them to hide, implying that Antarctic benthic communities might offer suitable habitat. As such, it can be concluded that there was an apparent relationship between certain species of fish and the different benthic communities, yet the exact triggers and/or factors behind such an association remain partially elusive.</t>
  </si>
  <si>
    <t>[Baena, Patricia; Santin, Andreu; Gili, Josep-Maria; Ambroso, Stefano] Spanish Natl Res Council ICM CSIC, Inst Ciencies Mar, Pg Maritim Barceloneta 37-49, Barcelona 08003, Spain; [Baena, Patricia; Ambroso, Stefano] Univ Barcelona, Dept Biol Evolut Ecol &amp; Ciencies Ambientals, Diagonal 645, Barcelona 08028, Spain; [Santin, Andreu] Univ Porto, Interdisciplinary Ctr Marine &amp; Environm Res, Matosinhos, Portugal; [La Mesa, Mario] Ist Sci Polari, Via Piero Gobetti 101, I-40129 Bologna, Italy; [Riginella, Emilio] Stn Zool Anton Dohtn, Naples, Italy; [Owsianowski, Nils] Alfred Wegener Inst, Helmholtz Zentrum Polar &amp; Meeresforsch, Bremerhaven, Germany</t>
  </si>
  <si>
    <t>Consejo Superior de Investigaciones Cientificas (CSIC); CSIC - Centro Mediterraneo de Investigaciones Marinas y Ambientales (CMIMA); CSIC - Instituto de Ciencias del Mar (ICM); University of Barcelona; Universidade do Porto; Helmholtz Association; Alfred Wegener Institute, Helmholtz Centre for Polar &amp; Marine Research</t>
  </si>
  <si>
    <t>Gili, JM (corresponding author), Spanish Natl Res Council ICM CSIC, Inst Ciencies Mar, Pg Maritim Barceloneta 37-49, Barcelona 08003, Spain.</t>
  </si>
  <si>
    <t>gili@icm.csic.es</t>
  </si>
  <si>
    <t>Muriel, Andreu Santín/Z-2737-2019</t>
  </si>
  <si>
    <t>Muriel, Andreu Santín/0000-0003-1344-1211</t>
  </si>
  <si>
    <t>ECOWED Project; [AWI_PS82_03]</t>
  </si>
  <si>
    <t>ECOWED Project;</t>
  </si>
  <si>
    <t>We thank to the captain and crew of R/V Polarstern cruise PS82 (ANT-XXIX/9) and AWI for their technical and logistical support. This research was accomplished based on the Polarstern Grant No: AWI_PS82_03 and partially funded by ECOWED Project (CTM2012-39350-C02-01), PACES I 1.6, PACES II 1.6. We are grateful to Anna Kluibenschedl, Santiago Pineda Metz and Pilar Casado de Amezua for their help during ROV deployments. Financial support is also acknowledged to Fundacion Biodiversidad, MitiCap and ResCap projects through the contracts to Stefano Ambroso, Andreu Santin and Patricia Baena. In addition, the authors affiliated to the Institut de Ciencies del Mar had the institutional support of the Severo Ochoa Centre of Excellence accreditation (CEX2019-000928-S).</t>
  </si>
  <si>
    <t>10.1007/s00300-023-03184-y</t>
  </si>
  <si>
    <t>AA7P9</t>
  </si>
  <si>
    <t>WOS:001046604600001</t>
  </si>
  <si>
    <t>Bärfuss, KB; Schmithüsen, H; Lampert, A</t>
  </si>
  <si>
    <t>Baerfuss, Konrad B.; Schmithuesen, Holger; Lampert, Astrid</t>
  </si>
  <si>
    <t>Drone-based meteorological observations up to the tropopause - a concept study</t>
  </si>
  <si>
    <t>ATMOSPHERIC MEASUREMENT TECHNIQUES</t>
  </si>
  <si>
    <t>NUMERICAL WEATHER PREDICTION; OBSERVING-SYSTEM EXPERIMENTS; ATMOSPHERIC BOUNDARY-LAYER; UNMANNED AIRCRAFT; DATA ASSIMILATION; OBSERVATION IMPACT; DROPSONDE OBSERVATIONS; FORECAST SENSITIVITY; HIGH-RESOLUTION; WARNING SYSTEM</t>
  </si>
  <si>
    <t>The main in situ database for numerical weather prediction currently relies on radiosonde and airliner observations, with large systematic data gaps: horizontally in certain countries, above the oceans and in polar regions, and vertically in the rapidly changing atmospheric boundary layer, as well as up to the tropopause in areas with low air traffic. These gaps might be patched by measurements with drones. They provide a significant improvement towards environment-friendly additional data, avoiding waste and without the need for helium. So far, such systems have not been regarded as a feasible alternative for performing measurements up to the upper troposphere. In this article, the development of a drone system that is capable of sounding the atmosphere up to an altitude of 10 km with its own propulsion is presented, for which Antarctic and mid-European ambient conditions were taken into account: after an assessment of the environmental conditions at two exemplary radiosounding sites, the design of the system and the instrumentation are presented. Further, the process to get permissions for such flight tests even in the densely populated continent of Europe is discussed, and methods to compare drone and radiosonde data for quality assessment are presented. The main result is the technical achievement of demonstrating the feasibility of reaching an altitude of 10 km with a small meteorologically equipped drone using its own propulsion. The first data are compared to radiosonde measurements, demonstrating an accuracy comparable to other aircraft-based observations, despite the simplistic sensor package deployed. A detailed error discussion is given. The article closes with an outlook on the potential use of drones for filling data gaps in the troposphere.</t>
  </si>
  <si>
    <t>[Baerfuss, Konrad B.; Lampert, Astrid] Tech Univ Carolo Wilhelmina Braunschweig, Inst Flight Guidance, D-38108 Braunschweig, Germany; [Schmithuesen, Holger] Alfred Wegener Inst, Helmholtz Ctr Polar &amp; Marine Res, D-27570 Bremerhaven, Germany</t>
  </si>
  <si>
    <t>Braunschweig University of Technology; Helmholtz Association; Alfred Wegener Institute, Helmholtz Centre for Polar &amp; Marine Research</t>
  </si>
  <si>
    <t>Bärfuss, KB (corresponding author), Tech Univ Carolo Wilhelmina Braunschweig, Inst Flight Guidance, D-38108 Braunschweig, Germany.</t>
  </si>
  <si>
    <t>k.baerfuss@tu-braunschweig.de</t>
  </si>
  <si>
    <t>Barfuss, Konrad/0000-0001-5130-5494</t>
  </si>
  <si>
    <t>Modernity Fund (mFUND) of the German Federal Ministry for Digital and Transport [19F2072A]</t>
  </si>
  <si>
    <t>Modernity Fund (mFUND) of the German Federal Ministry for Digital and Transport</t>
  </si>
  <si>
    <t>This research has been supported by the Modernity Fund (mFUND) of the German Federal Ministry for Digital and Transport (grant agreement no. 19F2072A)</t>
  </si>
  <si>
    <t>1867-1381</t>
  </si>
  <si>
    <t>1867-8548</t>
  </si>
  <si>
    <t>ATMOS MEAS TECH</t>
  </si>
  <si>
    <t>Atmos. Meas. Tech.</t>
  </si>
  <si>
    <t>10.5194/amt-16-3739-2023</t>
  </si>
  <si>
    <t>O8RJ5</t>
  </si>
  <si>
    <t>WOS:001046429300001</t>
  </si>
  <si>
    <t>Bhattacharya, A; Banerjee, A; Sequeira, N</t>
  </si>
  <si>
    <t>Bhattacharya, Abhijit; Banerjee, Anwesa; Sequeira, Nicole</t>
  </si>
  <si>
    <t>The Central Indian Tectonic Zone: A Rodinia supercontinent- forming collisional zone and analogy with the Grenville and Sveconorwegian orogens</t>
  </si>
  <si>
    <t>GEOSPHERE</t>
  </si>
  <si>
    <t>EASTERN GHATS BELT; U-PB GEOCHRONOLOGY; ARAVALLI MOUNTAIN BELT; MALANI IGNEOUS SUITE; ZIRCON GEOCHRONOLOGY; GNEISSIC COMPLEX; SOUTHERN NORWAY; SHEAR-ZONE; ACCRETIONARY OROGENS; SW NORWAY</t>
  </si>
  <si>
    <t>In the paleogeographic reconstructions of the Rodinia supercontinent, the circum- global 1.1- 0.9 Ga collisional belt is speculated to skirt the SE coast of ern Ghats Province may not have welded with the Indian landmass until 550- 500 Ma. Instead, the similar to 1500- km- long, E- striking Central Indian Tectonic Zone provides an alternate option for linking the 1.1- 0.9 Ga circum- global collisional belt through India. The highly tectonized Central Indian Tectonic Zone formed due to the early Neoproterozoic collision of the North India and the South India blocks. Based on a summary of the recent findings in the different crustal domains within the Central Indian Tectonic Zone, we demonstrate that the 1.03- 0.93 Ga collision involved thrusting that resulted in the emplacement of low- grade metamorphosed allochthonous units above the high- grade basement rocks; the development of crustal- scale, steeply dipping, orogen- parallel transpressional shear zones; syn- collisional felsic magmatism; and the degeneration of orogenesis by extensional exhumation. The features are analogous to those reported in the broadly coeval Grenville and Sveconorwegian orogens. We suggest that the 1.1- 0.9 Ga circum- global collisional belt in Rodinia swings westward from the Australo- Antarctic landmass and passes centrally through the Greater India landmass, which for the most part welded at 1.0- 0.9 Ga. It follows that the paleogeographic positions of India obtained from paleomagnetic data older than 1.1- 0.9 Ga are likely to correspond to the positions of the North and South India blocks, respectively, and not to the Greater India landmass in its entirety.</t>
  </si>
  <si>
    <t>[Bhattacharya, Abhijit] JIS Univ, Dept Earth Sci &amp; Remote Sensing, 81 Nilgunj Rd, Kolkata 700109, India; [Banerjee, Anwesa] Indian Inst Technol, Dept Earth Sci, Mumbai 400076, Maharashtra, India; [Sequeira, Nicole] Goa Univ, Sch Earth Ocean &amp; Atmospher Sci, Taleigao 403206, Goa, India</t>
  </si>
  <si>
    <t>Indian Institute of Technology System (IIT System); Indian Institute of Technology (IIT) - Bombay; Goa University</t>
  </si>
  <si>
    <t>Sequeira, N (corresponding author), Goa Univ, Sch Earth Ocean &amp; Atmospher Sci, Taleigao 403206, Goa, India.</t>
  </si>
  <si>
    <t>nsequeira@unigoa.ac.in</t>
  </si>
  <si>
    <t>1553-040X</t>
  </si>
  <si>
    <t>Geosphere</t>
  </si>
  <si>
    <t>10.1130/GES02597.1</t>
  </si>
  <si>
    <t>U6ZO4</t>
  </si>
  <si>
    <t>WOS:001050587100001</t>
  </si>
  <si>
    <t>Valdivia, N; Garrido, I; Gómez, I; Huovinen, P; Pardo, LM</t>
  </si>
  <si>
    <t>Valdivia, Nelson; Garrido, Ignacio; Gomez, Ivan; Huovinen, Pirjo; Miguel Pardo, Luis</t>
  </si>
  <si>
    <t>Diverse stability responses of a sub-Antarctic invertebrate understorey community to experimental giant kelp removal</t>
  </si>
  <si>
    <t>MARINE ECOLOGY PROGRESS SERIES</t>
  </si>
  <si>
    <t>Instability; Perturbation; Kelp forests; Harvesting; Community dynamics; Dimensionality; Marine</t>
  </si>
  <si>
    <t>MACROCYSTIS-PYRIFERA; FACILITATION CASCADES; SPATIAL-PATTERNS; COASTAL FORESTS; CONSEQUENCES; PERSISTENCE; ECOSYSTEMS; COMPLEXITY; DYNAMICS; CONTEXT</t>
  </si>
  <si>
    <t>Ecological stability is crucial for understanding anthropogenic biodiversity loss and its consequences, especially when disturbances affect species that influence numerous others. The giant kelp Macrocystis pyrifera, an iconic foundation species, supports diverse communities on temperate and subpolar coasts. While giant kelp communities in temperate regions have been extensively studied, field-based manipulative research in subpolar latitudes is still limited. We investigated the resistance, resilience, and recovery of a community subjected to experimental giant kelp removal in a sub-Antarctic ecosystem. We simulated pulsed kelp loss caused by destructive storms and monitored the macrobenthic invertebrate understorey for 12 mo. The experimental disturbance elicited varying stability responses of the understorey. Understorey community biomass was strongly resistant to the disturbance but declined gradually (i.e. low resilience), showing incomplete recovery compared to undisturbed communities. Community density (total number of individuals per sample) increased notably following the removal (i.e. weak resistance) but ultimately returned to undisturbed levels (i.e. high resilience and complete recovery). Species composition exhibited low resistance and resilience, and no recovery from the disturbance. Secondary coextinctions of several understorey species accounted for the observed low compositional stability. In contrast to giant kelp communities in temperate latitudes, the slower recovery rates of kelp and the loss of key positive interactions likely contributed to the observed stability responses in this subpolar ecosystem's invertebrate understorey. By examining the response of a sub-Antarctic understorey community to giant kelp removal, our study enhances our understanding of how foundation species sustain local biodiversity.</t>
  </si>
  <si>
    <t>[Valdivia, Nelson; Gomez, Ivan; Huovinen, Pirjo; Miguel Pardo, Luis] Univ Austral Chile, Inst Ciencias Marinas &amp; Limnol, Fac Ciencias, Valdivia 5090000, Chile; [Valdivia, Nelson; Garrido, Ignacio; Gomez, Ivan; Huovinen, Pirjo; Miguel Pardo, Luis] Univ Austral Chile, Ctr FONDAP Invest Dinam Ecosistemas Marinos, Valdivia 5090000, Chile; [Garrido, Ignacio] Univ Austral Chile, Fac Ciencias, Lab Costero Recursos Acuaticos Calfuco, Valdivia 5090000, Chile; [Garrido, Ignacio] Univ Laval, Quebec Ocean, Dept Biol, Quebec City, PQ G1V 0A6, Canada</t>
  </si>
  <si>
    <t>Universidad Austral de Chile; Universidad Austral de Chile; Universidad Austral de Chile; Laval University</t>
  </si>
  <si>
    <t>Valdivia, N (corresponding author), Univ Austral Chile, Inst Ciencias Marinas &amp; Limnol, Fac Ciencias, Valdivia 5090000, Chile.;Valdivia, N (corresponding author), Univ Austral Chile, Ctr FONDAP Invest Dinam Ecosistemas Marinos, Valdivia 5090000, Chile.</t>
  </si>
  <si>
    <t>nelson.valdivia@uach.cl</t>
  </si>
  <si>
    <t>Pardo, Luis Miguel/0000-0002-8179-5057</t>
  </si>
  <si>
    <t>FONDAP [15150003]; Agencia Nacional de investigacion y Desarrollo (ANID) [72160109]; FONDECYT [12300286, 1201069]</t>
  </si>
  <si>
    <t>FONDAP; Agencia Nacional de investigacion y Desarrollo (ANID); FONDECYT(Comision Nacional de Investigacion Cientifica y Tecnologica (CONICYT)CONICYT FONDECYT)</t>
  </si>
  <si>
    <t>We acknowledge the invaluable support provided by the Centro de Investigacion en Dinamica de Ecosistemas Marinos de Altas Latitudes (IDEAL) diving team: Paulina Bruning, Hans Bartsch, Mateo Caceres, Maria Jose Diaz, and Bastian Garrido. Dayane Osman, Charlotte Carrier, Rossana Reveco, Marjorie Araya, and Jaime Ramirez provided fundamental laboratory and logistic support. Alejandro Perez-Matus gave us pivotal support regarding subtidal sampling protocols. Comments by John N. Griffin and 3 anonymous reviewers greatly improved an early version of the manuscript. Jose Garces provided satellite data of wind magnitude at the study site. Sea level data were provided by Servicio Hidrografico y Oceanografico de la Armada de Chile (SHOA). This study was financially supported by FONDAP grant #15150003 (IDEAL). I. Garrido was financially supported by doctoral scholarship #72160109 (Becas Chile) granted by the Agencia Nacional de investigacion y Desarrollo (ANID). While writing, N.V. was supported by FONDECYT grant #12300286 and I. Gomez by FONDECYT grant #1201069.</t>
  </si>
  <si>
    <t>INTER-RESEARCH</t>
  </si>
  <si>
    <t>OLDENDORF LUHE</t>
  </si>
  <si>
    <t>NORDBUNTE 23, D-21385 OLDENDORF LUHE, GERMANY</t>
  </si>
  <si>
    <t>0171-8630</t>
  </si>
  <si>
    <t>1616-1599</t>
  </si>
  <si>
    <t>MAR ECOL PROG SER</t>
  </si>
  <si>
    <t>Mar. Ecol.-Prog. Ser.</t>
  </si>
  <si>
    <t>AUG 10</t>
  </si>
  <si>
    <t>10.3354/meps14369</t>
  </si>
  <si>
    <t>Ecology; Marine &amp; Freshwater Biology; Oceanography</t>
  </si>
  <si>
    <t>Environmental Sciences &amp; Ecology; Marine &amp; Freshwater Biology; Oceanography</t>
  </si>
  <si>
    <t>EJ5G3</t>
  </si>
  <si>
    <t>WOS:001138565000005</t>
  </si>
  <si>
    <t>Brisson-Curadeau, E; Scheffer, A; Trathan, P; Roquet, F; Cotté, C; Delord, K; Barbraud, C; Elliott, K; Bost, CA</t>
  </si>
  <si>
    <t>Brisson-Curadeau, Emile; Scheffer, Annette; Trathan, Phil; Roquet, Fabien; Cotte, Cedric; Delord, Karine; Barbraud, Christophe; Elliott, Kyle; Bost, Charles-Andre</t>
  </si>
  <si>
    <t>Investigating two consecutive catastrophic breeding seasons in a large king penguin colony</t>
  </si>
  <si>
    <t>POPULATION-DYNAMICS; SURVIVAL; BEHAVIOR; HABITAT; SEABIRD</t>
  </si>
  <si>
    <t>Large-scale breeding failures, such as offspring die-offs, can disproportionately impact wildlife populations that are characterized by a few large colonies. However, breeding monitoring-and thus investigations of such die-offs-is especially challenging in species with long reproductive cycles. We investigate two unresolved dramatic breeding failures that occurred in consecutive years (2009 and 2010) in a large king penguin Aptenodytes patagonicus colony, a long-lived species with a breeding cycle lasting over a year. Here we found that a single period, winter 2009, was likely responsible for the occurrence of breeding anomalies during both breeding seasons, suggesting that adults experienced poor foraging conditions at sea at that time. Following that unfavorable winter, the 2009 breeding cohort-who were entering the late stage of chick-rearing-immediately experienced high chick mortality. Meanwhile, the 2010 breeding cohort greatly delayed their arrival and egg laying, which would have otherwise started not long after the winter. The 2010 breeding season continued to display anomalies during the incubation and chick-rearing period, such as high abandonment rate, long foraging trips and eventually the death of all chicks in winter 2010. These anomalies could have resulted from either a domino-effect caused by the delayed laying, the continuation of poor foraging conditions, or both. This study provides an example of a large-scale catastrophic breeding failure and highlights the importance of the winter period on phenology and reproduction success for wildlife that breed in few large colonies.</t>
  </si>
  <si>
    <t>[Brisson-Curadeau, Emile; Delord, Karine; Barbraud, Christophe; Bost, Charles-Andre] Rochelle Univ, Ctr Etud Biol Chize, UMR 7372 CNRS, Villiers En Bois, France; [Brisson-Curadeau, Emile; Elliott, Kyle] McGill Univ, Nat Resource Sci, Sainte Anne De Bellevue, PQ, Canada; [Scheffer, Annette] Univ Azores, OKEANOS Ctr, P-9901862 Horta, Portugal; [Trathan, Phil] British Antarctic Survey, Madingley Rd, Cambridge CB3 0ET, England; [Trathan, Phil] Natl Oceanog Ctr, Waterfront Campus European Way, Southampton SO14 3ZH, England; [Roquet, Fabien] Univ Gothenburg, Dept Marine Sci, Gothenburg, Sweden; [Cotte, Cedric] Sorbonne Univ, Lab Oceanog &amp; Climat Experimentat &amp; Approches Nume, CNRS, IRD,MNHN, Paris, France</t>
  </si>
  <si>
    <t>Centre National de la Recherche Scientifique (CNRS); CNRS - Institute of Ecology &amp; Environment (INEE); McGill University; Universidade dos Acores; UK Research &amp; Innovation (UKRI); Natural Environment Research Council (NERC); NERC British Antarctic Survey; NERC National Oceanography Centre; University of Gothenburg; Institut de Recherche pour le Developpement (IRD); Sorbonne Universite; Centre National de la Recherche Scientifique (CNRS); Museum National d'Histoire Naturelle (MNHN)</t>
  </si>
  <si>
    <t>Brisson-Curadeau, E (corresponding author), Rochelle Univ, Ctr Etud Biol Chize, UMR 7372 CNRS, Villiers En Bois, France.;Brisson-Curadeau, E (corresponding author), McGill Univ, Nat Resource Sci, Sainte Anne De Bellevue, PQ, Canada.</t>
  </si>
  <si>
    <t>emile.brissoncuradeau@mail.mcgill.ca</t>
  </si>
  <si>
    <t>Cotte, Cedric/C-3296-2013</t>
  </si>
  <si>
    <t>British Ornithologists' Union; Vanier Canada Graduate Scholarships, Zone Atelier Antarctique et Terres Australes (ZATA-LTSER France, CNRS-INEE); Terres Australes et Antarctiques Franaises, IPEV [394, 109]</t>
  </si>
  <si>
    <t>British Ornithologists' Union; Vanier Canada Graduate Scholarships, Zone Atelier Antarctique et Terres Australes (ZATA-LTSER France, CNRS-INEE); Terres Australes et Antarctiques Franaises, IPEV</t>
  </si>
  <si>
    <t>This data collection was possible thanks to the dozens of field technicians, often staying over a year in Kerguelen to collect data on the life cycle of king penguins. The authors are especially grateful to M. Bastianelli, Y. Charbonnier, V. Chartendrault, A. Chevallier, A. Corbeau, L. Denonfoux, A. Fromant, M.Goepfert, T. Getti, T. Gouello, T. Lacombe, C. Marteau, F. Orgeret, R. Perdriat, B. Planade, and J. Sereau. They also want to thank the following funding sources: John &amp; Pat Warham Studentship from the British Ornithologists' Union, Centre d'Etude Biologique de Chize CEBC-CNRS UMR7372, the Vanier Canada Graduate Scholarships, Zone Atelier Antarctique et Terres Australes (ZATA-LTSER France, CNRS-INEE), Terres Australes et Antarctiques Francaises, IPEV (Institut Polaire Francais), the Program No. 394 Diving Birds (P.I.C.A. Bost) and Program No. 109 Seabirds and marine mammals as sentinels of global changes in the Southern Ocean (PI C. Barbraud/H. Weimerskirch) for logistical and financial support.</t>
  </si>
  <si>
    <t>10.1038/s41598-023-40123-7</t>
  </si>
  <si>
    <t>P2ZV6</t>
  </si>
  <si>
    <t>Green Accepted, Green Published, gold</t>
  </si>
  <si>
    <t>WOS:001049382700019</t>
  </si>
  <si>
    <t>Kim, Y; Kim, H; Jeong, MS; Kim, D; Kim, J; Jung, JH; Seo, HM; Han, HJ; Lee, WS; Choi, CY</t>
  </si>
  <si>
    <t>Kim, Youmin; Kim, Hankyu; Jeong, Min-Su; Kim, Dowoon; Kim, Juyang; Jung, Jaehak; Seo, Hae-Min; Han, Hyun-Jin; Lee, Woo-Shin; Choi, Chang-Yong</t>
  </si>
  <si>
    <t>Microplastics in gastrointestinal tracts of gentoo penguin (Pygoscelis papua) chicks on King George Island, Antarctica</t>
  </si>
  <si>
    <t>INGESTED MICROPLASTICS; FULMARUS-GLACIALIS; MARINE-ENVIRONMENT; NORTHERN FULMARS; PLASTIC DEBRIS; PARTICLES; SEDIMENTS; ACCUMULATION; POLLUTION; SCENARIO</t>
  </si>
  <si>
    <t>Microplastics (&lt; 5 mm) have been found in marine ecosystems worldwide, even in Antarctic ecosystems. In this study, the stomach and upper intestines of 14 dead gentoo penguin (Pygoscelis papua) chicks were collected and screened for microplastics on King George Island, a gateway to Antarctic research and tourism. A total of 378 microplastics were identified by Fourier-transform infrared spectroscopy, with 27.0 &amp; PLUSMN; 25.3 microplastics per individual. The detected number of microplastics did not increase with the mass of penguin chicks, suggesting no permanent accumulation of microplastics. However, the concentration of microplastics was much higher (9.1 &amp; PLUSMN; 10.8 microplastics per individual within the size range 100-5000 &amp; mu;m) than the previously reported concentration in the penguin feces, and a greater number of smaller microplastics were found. Marine debris surveys near the breeding colony found various plastic (79.3%) to be the most frequent type of beached debris, suggesting that local sources of marine plastic waste could have contributed to microplastic contamination of penguin chicks being fed by parents that forage in nearby seas. This finding confirms the presence of microplastics in an Antarctic ecosystem and suggests the need for stronger waste management in Antarctica and a standardized scheme of microplastic monitoring in this once-pristine ecosystem.</t>
  </si>
  <si>
    <t>[Kim, Youmin; Kim, Hankyu; Jeong, Min-Su; Seo, Hae-Min; Lee, Woo-Shin; Choi, Chang-Yong] Seoul Natl Univ, Dept Agr Forestry &amp; Bioresources, Seoul 08826, South Korea; [Kim, Youmin] Korea Polar Res Inst, Div Life Sci, Incheon 21990, South Korea; [Kim, Dowoon; Kim, Juyang; Jung, Jaehak] Korea Inst Analyt Sci &amp; Technol, Seoul 04790, South Korea; [Han, Hyun-Jin] Taxidermy Lab, Icheon 17402, Gyeonggi, South Korea; [Choi, Chang-Yong] Seoul Natl Univ, Res Inst Agr &amp; Life Sci, Seoul 08826, South Korea; [Kim, Hankyu; Jeong, Min-Su] Univ Wisconsin Madison, Dept Forest &amp; Wildlife Ecol, Madison, WI 53706 USA</t>
  </si>
  <si>
    <t>Seoul National University (SNU); Korea Polar Research Institute (KOPRI); Seoul National University (SNU); University of Wisconsin System; University of Wisconsin Madison</t>
  </si>
  <si>
    <t>Choi, CY (corresponding author), Seoul Natl Univ, Dept Agr Forestry &amp; Bioresources, Seoul 08826, South Korea.;Choi, CY (corresponding author), Seoul Natl Univ, Res Inst Agr &amp; Life Sci, Seoul 08826, South Korea.</t>
  </si>
  <si>
    <t>sub95@snu.ac.kr</t>
  </si>
  <si>
    <t>Choi, Chang-Yong/Q-9577-2019</t>
  </si>
  <si>
    <t>Choi, Chang-Yong/0000-0002-4519-7957; Kim, Hankyu/0000-0001-8682-8535</t>
  </si>
  <si>
    <t>Korean Ministry of Environment as part of a long-term ecosystem monitoring program (via Korea Polar Research Institute) [PG13130, PG14030, PG20040]; Korea Polar Research Institute; King Sejong Station</t>
  </si>
  <si>
    <t>Korean Ministry of Environment as part of a long-term ecosystem monitoring program (via Korea Polar Research Institute); Korea Polar Research Institute(Korea Polar Research Institute of Marine Research Placement (KOPRI)); King Sejong Station</t>
  </si>
  <si>
    <t>This study was funded by the Korean Ministry of Environment as part of a long-term ecosystem monitoring program (via Korea Polar Research Institute; PG13130, PG14030, PG20040) in the Antarctic Specially Protected Area no. 171 on King George Island. The authors thank Korea Polar Research Institute and King Sejong Station for their support of our field studies in Antarctica.</t>
  </si>
  <si>
    <t>10.1038/s41598-023-39844-6</t>
  </si>
  <si>
    <t>WOS:001049382700036</t>
  </si>
  <si>
    <t>Yunda-Guarin, G; Michel, LN; Roy, V; Friscourt, N; Gosselin, M; Nozais, C; Archambault, P</t>
  </si>
  <si>
    <t>Yunda-Guarin, Gustavo; Michel, Loic N.; Roy, Virginie; Friscourt, Noemie; Gosselin, Michel; Nozais, Christian; Archambault, Philippe</t>
  </si>
  <si>
    <t>Trophic ecology of epibenthic communities exposed to different sea-ice concentrations across the Canadian Arctic Ocean</t>
  </si>
  <si>
    <t>PROGRESS IN OCEANOGRAPHY</t>
  </si>
  <si>
    <t>Benthic community; Food web; Stable isotopes; Sea ice; Arctic Ocean</t>
  </si>
  <si>
    <t>FOOD-WEB STRUCTURE; STABLE-ISOTOPE RATIOS; ORGANIC-MATTER; BEAUFORT SEA; STEP FRACTIONATION; MARINE ECOSYSTEM; CHAIN LENGTH; CARBON FLOW; NICHE; DELTA-C-13</t>
  </si>
  <si>
    <t>Sea ice is one of the most critical environmental drivers shaping primary production and fluxes of organic inputs to benthic communities in the Arctic Ocean. Fluctuations in organic inputs influence ecological relationships, trophic cascades, and energy fluxes. However, changes in sea-ice concentration (SIC) induced by global warming could lead to significant shifts in trophic interactions, ultimately affecting the functioning of Arctic food webs. Despite the increasing concern over the need to understand benthic species and food web responses to rapid seaice loss, few studies have addressed this topic so far. Using multiple niche metrics based on stable isotopes, this research examined the trophic ecology of epibenthic communities in areas with different SIC across the Canadian Arctic Ocean. We found that trophic niches varied according to complex interactions between environmental conditions, resource supply, and biotic pressures such as predation and competition. Our results highlighted a lower isotopic richness (i.e., shorter food chain length and niche width) in low and high SIC areas, suggesting homogeneity of resources and a low diversity of food items ingested by individuals. In contrast, a higher isotopic richness (i.e., broad niche) was observed in the moderate SIC area, implying higher heterogeneity in basal food sources and consumers using individual trophic niches. Finally, our findings suggested a lower isotopic redundancy in areas with high SIC compared to low and moderate SIC. Overall, our results support the idea that sea ice is an important driver of benthic food web dynamics and reinforce the urgent need for further investigations of declining sea ice cover impacts on Arctic food web functioning.</t>
  </si>
  <si>
    <t>[Yunda-Guarin, Gustavo; Archambault, Philippe] Univ Laval, ArcticNet, Quebec Ocean, Takuvik UMI 3376, Quebec City, PQ, Canada; [Michel, Loic N.] Univ Brest, CNRS, UMR6197, Ifremer,Biol &amp; Ecol Ecosyst Marins Profonds BEEP, F-29280 Plouzane, France; [Roy, Virginie] Fisheries &amp; Oceans Canada, Maurice Lamontagne Inst, Mont Joli, PQ, Canada; [Friscourt, Noemie] Inst Marine &amp; Antarctic Studies, 20 Castray Esplanade, Battery Point, Tas 7004, Australia; [Gosselin, Michel; Nozais, Christian] Univ Quebec Rimouski, Quebec Ocean, Rimouski, PQ, Canada; [Gosselin, Michel] Univ Quebec Rimouski, Inst Sci Mer Rimouski, Rimouski, PQ, Canada; [Nozais, Christian] Univ Quebec Rimouski, Dept Biol Chim &amp; Geog, Rimouski, PQ, Canada</t>
  </si>
  <si>
    <t>Laval University; Universite de Bretagne Occidentale; Ifremer; Centre National de la Recherche Scientifique (CNRS); CNRS - Institute of Ecology &amp; Environment (INEE); Fisheries &amp; Oceans Canada; University of Tasmania; University of Quebec; Universite du Quebec a Rimouski; University of Quebec; Universite du Quebec a Rimouski; University of Quebec; Universite du Quebec a Rimouski</t>
  </si>
  <si>
    <t>Yunda-Guarin, G (corresponding author), Univ Laval, ArcticNet, Quebec Ocean, Takuvik UMI 3376, Quebec City, PQ, Canada.</t>
  </si>
  <si>
    <t>gustavo-adolfo.guarin.1@ulaval.ca</t>
  </si>
  <si>
    <t>; Gosselin, Michel/B-4477-2014</t>
  </si>
  <si>
    <t>Archambault, Philippe/0000-0001-5986-6149; Gosselin, Michel/0000-0002-1044-0793</t>
  </si>
  <si>
    <t>Likewise; ArcticNet</t>
  </si>
  <si>
    <t>We are grateful to ArcticNet, Natural Sciences and Engineering Research Council of Canada, and the Green Edge project (http:// www.greenedgeproject.info) for providing us with the financial resources to make this research possible. We also thank Sentinel North and Quebec-Ocean for providing financial resources for training purposes. We want to thank the officers and the crew of the Canadian research icebreakerCCGS Amundsen for affording the support and facilities during the oceanographic campaigns of 2011, 2014, and 2016 in the Arctic. We also express our gratitude to Cindy Grant and the sampling team for their great work in the field campaign. Likewise, we thank the research professionals Laure de Montety, Lisa Treau de Coeli, and Caroline Guil-lemette for the help with the benthos; Geochemistry lab, and Jonathan Gagnon for his help in measuring stable isotope ratios. We are thankful to Universite &amp; nbsp;Laval, Takuvik, ArcticNet, and Quebec-Ocean for their contribution in terms of coordination, equipment, and facilities. The lead author expresses gratitude to Sergio Cortez Ghio for his help and valuable comments about the statistical analyses carried out throughout this investigation. The lead author expresses gratitude to the Institut francais de recherche pour l'exploitation de la mer (Ifremer) , Bretagne, France, for providing their facilities during the time of the internship in the institute. Finally, the authors would like to thank the reviewers for their fruitful comments on the manuscript.r CCGS Amundsen for affording the support and facilities during the oceanographic campaigns of 2011, 2014, and 2016 in the Arctic. We also express our gratitude to Cindy Grant and the sampling team for their great work in the field campaign. Likewise, we thank the research pro-fessionals Laure de Montety, Lisa Treau de Coeli, and Caroline Guil-lemette for the help with the benthos; Geochemistry lab, and Jonathan Gagnon for his help in measuring stable isotope ratios. We are thankful to Universite' Laval, Takuvik, ArcticNet, and Que'bec-Oce'an for their contribution in terms of coordination, equipment, and facilities. The lead author expresses gratitude to Sergio Cortez Ghio for his help and valuable comments about the statistical analyses carried out throughout this investigation. The lead author expresses gratitude to the Institut francais de recherche pour l'exploitation de la mer (Ifremer) , Bretagne, France, for providing their facilities during the time of the internship in the institute. Finally, the authors would like to thank the reviewers for their fruitful comments on the manuscript.</t>
  </si>
  <si>
    <t>0079-6611</t>
  </si>
  <si>
    <t>1873-4472</t>
  </si>
  <si>
    <t>PROG OCEANOGR</t>
  </si>
  <si>
    <t>Prog. Oceanogr.</t>
  </si>
  <si>
    <t>10.1016/j.pocean.2023.103105</t>
  </si>
  <si>
    <t>R9JR4</t>
  </si>
  <si>
    <t>WOS:001067447300001</t>
  </si>
  <si>
    <t>Ran, JL; Chao, NF; Yue, LZ; Chen, G; Wang, ZT; Wu, TT; Li, CC</t>
  </si>
  <si>
    <t>Ran, Junlin; Chao, Nengfang; Yue, Lianzhe; Chen, Gang; Wang, Zhengtao; Wu, Tangting; Li, Chengchun</t>
  </si>
  <si>
    <t>Quantifying the contribution of temperature, salinity, and climate change to sea level rise in the Pacific Ocean: 2005-2019</t>
  </si>
  <si>
    <t>Pacific Ocean; steric sea level; temperature salinity; heaving; spicing; ENSO</t>
  </si>
  <si>
    <t>ANTARCTIC MODE WATER; INDIAN-OCEAN; TROPICAL PACIFIC; SOUTHERN-OCEAN; PATTERNS; HEAT; VARIABILITY; TRENDS</t>
  </si>
  <si>
    <t>In recent decades, Pacific Ocean's steric sea level anomaly (SSLA) has shown prominent patterns among global sea level variations. With ongoing global warming, the frequency and intensity of climate and sea level changes have increased, particularly in the tropical Pacific region. Therefore, it is crucial to comprehend the overall trends and mechanisms governing volumetric sea level changes in the Pacific. To accurately quantify the spatiotemporal evolution characteristics of density-driven sea level change in the Pacific Ocean (PO) from 2005 to 2019, we decomposed temperature and salinity into linear trends, interannual variations, seasonal variations, and residual terms using the STL (seasonal-trend decomposition based on loess) method. To evaluate the influence of ocean temperature, salinity, and climate change on density-driven sea level change and its underlying mechanisms, we decompose temperature as well as salinity changes through into the Heaving (vertical displacements of isopycnal surfaces) and Spicing (density-compensated temperature and salinity change) modes. The findings reveal an average steric sea level rise rate of 0.34 +/- 0.16 mm/yr in the PO from 2005 to 2019. Thermosteric sea-level accounts for 82% of this rise, primarily due to seawater temperature rise at depths of 0-700 m caused by Heaving mode changes. Accelerated SSLA increase via the thermosteric effect has been connected to interactions between greater Ekman downwelling from surface winds, radiation forcing linked to global greenhouse gases, and changes in the Pacific warm currents triggered by El Nino-Southern Oscillation (ENSO) episodes. Although salinity is affected by the Subantarctic Mode Water (SAMW) and the Antarctic Intermediate Water (AAIW) in the southern Indian Ocean, however the significance of salinity in sea level change is little compared to the role played by thermocline shift. This study offers a substantial contribution to the field, providing robust data and technical support, and facilitating a deeper understanding of the mechanisms underlying the effects of temperature and salinity on sea level changes during periods of rapid climate change, thus enhancing the accuracy of future predictions regarding sea level rise.</t>
  </si>
  <si>
    <t>[Ran, Junlin; Chao, Nengfang; Yue, Lianzhe; Chen, Gang] China Univ Geosci, Coll Marine Sci &amp; Technol, Hubei Key Lab Marine Geol Resources, Key Lab Geol Survey &amp; Evaluat,Minist Educ, Wuhan 430074, Peoples R China; [Chao, Nengfang] Univ Leeds, Sch Earth &amp; Environm, Ctr Polar Observat &amp; Modelling, Leeds, England; [Wang, Zhengtao] Wuhan Univ, Sch Geodesy &amp; Geomat, Key Lab Geospace Environm &amp; Geodesy, Wuhan, Peoples R China; [Wu, Tangting] East China Univ Technol, Sch Geomat, Nanchang, Peoples R China; [Li, Chengchun] Changsha Planning &amp; Design Survey Res Inst, Dept Aerial Surveying &amp; Remote Sensing Data, Changsha, Peoples R China</t>
  </si>
  <si>
    <t>China University of Geosciences; University of Leeds; Wuhan University; East China University of Technology</t>
  </si>
  <si>
    <t>Chao, NF (corresponding author), China Univ Geosci, Coll Marine Sci &amp; Technol, Hubei Key Lab Marine Geol Resources, Key Lab Geol Survey &amp; Evaluat,Minist Educ, Wuhan 430074, Peoples R China.;Chao, NF (corresponding author), Univ Leeds, Sch Earth &amp; Environm, Ctr Polar Observat &amp; Modelling, Leeds, England.</t>
  </si>
  <si>
    <t>chaonf@cug.edu.cn</t>
  </si>
  <si>
    <t>This study is supported by the NSFC (China) under Grants 41974019, 42274115, the China Scholarship Council (202106415011), the Opening Fund of Key Laboratory of Geological Survey and Evaluation of Ministry of Education (Grant No. GLAB2022ZR04 and GLAB2023Z [42274115, 202106415011]; NSFC (China) [GLAB2022ZR04]; China Scholarship Council [GLAB2023ZR04, 20224BAB213048]; Opening Fund of Key Laboratory of Geological Survey and Evaluation of Ministry of Education; Fundamental Research Funds for the Central Universities; Jiangxi Provincial Natural Science Foundation; [41974019]</t>
  </si>
  <si>
    <t>This study is supported by the NSFC (China) under Grants 41974019, 42274115, the China Scholarship Council (202106415011), the Opening Fund of Key Laboratory of Geological Survey and Evaluation of Ministry of Education (Grant No. GLAB2022ZR04 and GLAB2023Z; NSFC (China)(National Natural Science Foundation of China (NSFC)); China Scholarship Council(China Scholarship Council); Opening Fund of Key Laboratory of Geological Survey and Evaluation of Ministry of Education; Fundamental Research Funds for the Central Universities(Fundamental Research Funds for the Central Universities); Jiangxi Provincial Natural Science Foundation;</t>
  </si>
  <si>
    <t>This study is supported by the NSFC (China) under Grants 41974019, 42274115, the China Scholarship Council (202106415011), the Opening Fund of Key Laboratory of Geological Survey and Evaluation of Ministry of Education (Grant No. GLAB2022ZR04 and GLAB2023ZR04) and the Fundamental Research Funds for the Central Universities, and Jiangxi Provincial Natural Science Foundation (20224BAB213048).</t>
  </si>
  <si>
    <t>10.3389/fmars.2023.1200883</t>
  </si>
  <si>
    <t>P9PA3</t>
  </si>
  <si>
    <t>WOS:001053914000001</t>
  </si>
  <si>
    <t>Sutter, J; Jones, A; Frölicher, TL; Wirths, C; Stocker, TF</t>
  </si>
  <si>
    <t>Sutter, J.; Jones, A.; Frolicher, T. L.; Wirths, C.; Stocker, T. F.</t>
  </si>
  <si>
    <t>Climate intervention on a high-emissions pathway could delay but not prevent West Antarctic Ice Sheet demise</t>
  </si>
  <si>
    <t>SURFACE MASS-BALANCE; PINE ISLAND GLACIER; SEA-LEVEL RISE; MODEL DESCRIPTION; MELT RATES; RETREAT; IMPACTS; GREENLAND; AGREEMENT; THWAITES</t>
  </si>
  <si>
    <t>Solar radiation modification (SRM) is increasingly discussed as a tool to reduce or avert global warming and concomitantly the risk of ice-sheet collapse, as is considered possible for the West Antarctic Ice Sheet (WAIS). Here we analyse the impact of stratospheric aerosol injections on the centennial-to-millennial Antarctic sea-level contribution using an ice-sheet model. We find that mid-twenty-first-century large-scale SRM could delay but ultimately not prevent WAIS collapse in a high-emissions scenario. On intermediate-emissions pathways, SRM could be an effective tool to delay or even prevent an instability of WAIS if deployed by mid-century. However, SRM interventions may be associated with substantial risks, commitments and unintended side effects; therefore, emissions reductions to prevent WAIS collapse seem to be the more practical and sensible approach at the current stage. The West Antarctic Ice Sheet is expected to collapse with warming. Here the authors assess whether solar geoengineering could prevent such a collapse and find that this would be possible only with early deployment under low and medium emissions, highlighting the need for emissions mitigation.</t>
  </si>
  <si>
    <t>[Sutter, J.; Frolicher, T. L.; Wirths, C.; Stocker, T. F.] Univ Bern, Phys Inst, Climate &amp; Environm Phys, Bern, Switzerland; [Sutter, J.; Frolicher, T. L.; Wirths, C.; Stocker, T. F.] Univ Bern, Oeschger Ctr Climate Change Res, Bern, Switzerland; [Jones, A.] Met Off, Exeter, England</t>
  </si>
  <si>
    <t>University of Bern; University of Bern; Met Office - UK</t>
  </si>
  <si>
    <t>Sutter, J (corresponding author), Univ Bern, Phys Inst, Climate &amp; Environm Phys, Bern, Switzerland.;Sutter, J (corresponding author), Univ Bern, Oeschger Ctr Climate Change Res, Bern, Switzerland.</t>
  </si>
  <si>
    <t>johannes.sutter@unibe.ch</t>
  </si>
  <si>
    <t>Froelicher, Thomas/AAG-9598-2019</t>
  </si>
  <si>
    <t>Froelicher, Thomas/0000-0003-2348-7854; Wirths, Christian/0000-0002-2000-0804; Sutter, Johannes/0000-0002-3357-2633</t>
  </si>
  <si>
    <t>Deutsche Forschungsgemeinschaft [SU 1166/1-1]; Swiss National Science Foundation [PP00P2_198897, 199]; European Union [820989, 200020_200492, 820970]; Swiss National Science Foundation (SNF) [PP00P2_198897] Funding Source: Swiss National Science Foundation (SNF)</t>
  </si>
  <si>
    <t>Deutsche Forschungsgemeinschaft(German Research Foundation (DFG)); Swiss National Science Foundation(Swiss National Science Foundation (SNSF)); European Union(European Union (EU)); Swiss National Science Foundation (SNF)(Swiss National Science Foundation (SNSF))</t>
  </si>
  <si>
    <t>Calculations were performed on UBELIX, the high-performance computing cluster at the University of Bern. We thank G. Jansen for excellent technical support on the HPC infrastructure. J.S. acknowledges funding from the Deutsche Forschungsgemeinschaft under grant no. SU 1166/1-1. T.F.S. acknowledges funding from the Swiss National Science Foundation (grant 200020_200492) and from the European Union's Horizon 2020 research and innovation programme under grant agreement no. 820970 (project TiPES; this is TiPES contribution no. 199). T.L.F. acknowledges funding from the Swiss National Science Foundation (grant PP00P2_198897) and the European Union's Horizon 2020 research and innovation programme under grant agreement no. 820989 (project COMFORT).</t>
  </si>
  <si>
    <t>10.1038/s41558-023-01738-w</t>
  </si>
  <si>
    <t>WOS:001045774300001</t>
  </si>
  <si>
    <t>Lecavalier, BS; Tarasov, L; Balco, G; Spector, P; Hillenbrand, CD; Buizert, C; Ritz, C; Leduc-Leballeur, M; Mulvaney, R; Whitehouse, PL; Bentley, MJ; Bamber, J</t>
  </si>
  <si>
    <t>Lecavalier, Benoit S.; Tarasov, Lev; Balco, Greg; Spector, Perry; Hillenbrand, Claus-Dieter; Buizert, Christo; Ritz, Catherine; Leduc-Leballeur, Marion; Mulvaney, Robert; Whitehouse, Pippa L.; Bentley, Michael J.; Bamber, Jonathan</t>
  </si>
  <si>
    <t>Antarctic Ice Sheet paleo-constraint database</t>
  </si>
  <si>
    <t>EARTH SYSTEM SCIENCE DATA</t>
  </si>
  <si>
    <t>LAST GLACIAL MAXIMUM; WEDDELL SEA EMBAYMENT; GROUNDING-LINE RETREAT; SOUTH SHETLAND ISLANDS; NUCLIDE EXPOSURE AGES; JAMES-ROSS-ISLAND; EAST ANTARCTICA; MARGUERITE BAY; HOLOCENE DEGLACIATION; ISOSTATIC-ADJUSTMENT</t>
  </si>
  <si>
    <t>We present a database of observational constraints on past Antarctic Ice Sheet changes during the last glacial cycle intended to consolidate the observations that represent our understanding of past Antarctic changes and for state-space estimation and paleo-model calibrations. The database is a major expansion of the initial work of Briggs and Tarasov (2013). It includes new data types and multi-tier data quality assessment. The updated constraint database, AntICE2 (https://theghub.org/resources/4884, Lecavalier et al., 2022), consists of observations of past grounded- and floating-ice-sheet extent, past ice thickness, past relative sea level, borehole temperature profiles, and present-day bedrock displacement rates. In addition to paleo-observations, the present-day ice sheet geometry and surface ice velocities are incorporated to constrain the present-day ice sheet configuration. The method by which the data are curated using explicitly defined criteria is detailed. Moreover, the observational uncertainties are specified. The methodology by which the constraint database can be applied to evaluate a given ice sheet reconstruction is discussed. The implementation of the AntICE2 database for Antarctic Ice Sheet model calibrations will improve Antarctic Ice Sheet predictions during past warm and cold periods and yield more robust paleo-model spin ups for forecasting future ice sheet changes.</t>
  </si>
  <si>
    <t>[Lecavalier, Benoit S.; Tarasov, Lev] Mem Univ, Dept Phys &amp; Phys Oceanog, St John, NF, Canada; [Spector, Perry] Berkeley Geochronol Ctr, Berkeley, CA USA; [Hillenbrand, Claus-Dieter; Mulvaney, Robert] British Antarctic Survey, Cambridge, England; [Buizert, Christo] Oregon State Univ, Coll Earth Ocean &amp; Atmospher Sci, Corvallis, OR USA; [Ritz, Catherine] Univ Grenoble Alpes, CNRS, IRD, IGE, Grenoble, France; [Leduc-Leballeur, Marion] CNR, Inst Appl Phys, Florence, Italy; [Whitehouse, Pippa L.; Bentley, Michael J.] Univ Durham, Dept Geog, Durham, England; [Bamber, Jonathan] Univ Bristol, Bristol Glaciol Ctr, Sch Geog Sci, Bristol, England; [Bamber, Jonathan] Tech Univ Munich, Dept Aerosp &amp; Geodesy, Data Sci Earth Observat, Munich, Germany</t>
  </si>
  <si>
    <t>Memorial University Newfoundland; Berkeley Geochronolgy Center; UK Research &amp; Innovation (UKRI); Natural Environment Research Council (NERC); NERC British Antarctic Survey; Oregon State University; Communaute Universite Grenoble Alpes; Universite Grenoble Alpes (UGA); Centre National de la Recherche Scientifique (CNRS); Institut de Recherche pour le Developpement (IRD); Consiglio Nazionale delle Ricerche (CNR); Istituto di Fisiologia Clinica (IFC-CNR); Istituto di Fisica Applicata Nello Carrara (IFAC-CNR); Durham University; University of Bristol; Technical University of Munich</t>
  </si>
  <si>
    <t>Lecavalier, BS (corresponding author), Mem Univ, Dept Phys &amp; Phys Oceanog, St John, NF, Canada.</t>
  </si>
  <si>
    <t>b.lecavalier@mun.ca</t>
  </si>
  <si>
    <t>Leduc-Leballeur, Marion/AAK-9880-2021; Mulvaney, Robert/K-3929-2012</t>
  </si>
  <si>
    <t>Leduc-Leballeur, Marion/0000-0001-7579-7024; Whitehouse, Pippa/0000-0002-9092-3444; Mulvaney, Robert/0000-0002-5372-8148; Ritz, Catherine/0000-0003-0785-8571</t>
  </si>
  <si>
    <t>NSERC Discovery Grant [RGPIN-2018-06658]; German Federal Ministry of Education and Research (BMBF); Natural Environment Research Council (NERC); US National Science Foundation [1643394]; French Polar Institute (IPEV); European Research Council (ERC) [INCISED- 885205]</t>
  </si>
  <si>
    <t>NSERC Discovery Grant(Natural Sciences and Engineering Research Council of Canada (NSERC)); German Federal Ministry of Education and Research (BMBF)(Federal Ministry of Education &amp; Research (BMBF)); Natural Environment Research Council (NERC)(UK Research &amp; Innovation (UKRI)Natural Environment Research Council (NERC)); US National Science Foundation(National Science Foundation (NSF)); French Polar Institute (IPEV); European Research Council (ERC)(European Research Council (ERC)Spanish Government)</t>
  </si>
  <si>
    <t>This research has been supported by an NSERC Discovery Grant held by Lev Tarasov (number RGPIN-2018-06658) and is a contribution to the PalMod project funded by the German Federal Ministry of Education and Research (BMBF).Claus-Dieter Hillenbr and was supported by the Natural Environment Research Council (NERC). Christo Buizert acknowledges financial support from the US National Science Foundation (number1643394). Temperature measurements at EDC (Concordia Station)were supported by the French Polar Institute (IPEV, prog. 902).Michael J. Bentley has received funding from the European Research Council (ERC) under the European Union's Horizon 2020 research and innovation programme (number INCISED- 885205 )</t>
  </si>
  <si>
    <t>1866-3508</t>
  </si>
  <si>
    <t>1866-3516</t>
  </si>
  <si>
    <t>EARTH SYST SCI DATA</t>
  </si>
  <si>
    <t>Earth Syst. Sci. Data</t>
  </si>
  <si>
    <t>10.5194/essd-15-3573-2023</t>
  </si>
  <si>
    <t>O7TJ5</t>
  </si>
  <si>
    <t>WOS:001045788300001</t>
  </si>
  <si>
    <t>Toro-Manríquez, M; Herrera, AH; Soler, R; Lencinas, MV; Ardiles, V; Pastur, GM</t>
  </si>
  <si>
    <t>Toro-Manriquez, Monica; Herrera, Alejandro Huertas; Soler, Rosina; Lencinas, Maria Vanessa; Ardiles, Victor; Pastur, Guillermo Martinez</t>
  </si>
  <si>
    <t>Association between bryophytes and seedlings in Nothofagus sub-Antarctic forests</t>
  </si>
  <si>
    <t>AUSTRAL ECOLOGY</t>
  </si>
  <si>
    <t>deciduous and evergreen mixed forests; forest ecology; microenvironments; southern Patagonia; sustainable management</t>
  </si>
  <si>
    <t>VASCULAR PLANTS; MANAGEMENT; MOSSES</t>
  </si>
  <si>
    <t>Bryophytes, which include mosses, liverworts and hornworts, indeed play a significant role in the natural dynamics of native forests. They contribute to fundamental ecological processes such as tree regeneration. In this context, the objective was to analyse the association of bryophytes with Nothofagus seedlings, as well as whether the substrates where bryophytes grew influenced bryophyte-tree seedling association, in sub-Antarctic forests at two contrasting landscapes (coastal and mountain) of Tierra del Fuego (Argentina), to better understand their impacts on the natural regeneration processes. We hypothesized that bryophytes act as a substrate for seed germination and initial regeneration growth in pure and mixed forests of N. pumilio and N. betuloides, resulting in widespread tree seedlings-bryophyte associations in all landscapes. In each forest and landscape location, 60 transects were established (10 m in length) to evaluate bryophyte cover (by point intercept method) and substrate type (bare soil, decaying wood and litter cover) where they were growing. An adaptation of the relative interaction index (RII) based on tree seedling cover associated with bryophyte species (%) and tree seedling cover in the absence of bryophytes (%) was calculated and analysed to assess competition or facilitation between bryophytes and tree seedlings. Nothofagus pumilio seedlings were less abundant in bryophytes compared to other substrates, suggesting an inhibitory effect on the germination and/or survival of N. pumilio. In contrast, the seedlings of N. betuloides, in both pure and mixed forests, exhibited higher abundance on bryophyte substrates, particularly in mosses at mountain landscape (RII = 0.83 &amp; PLUSMN; 0.08 in litter and 0.62 &amp; PLUSMN; 0.11 in decaying wood). These findings suggest that bryophytes play a facilitating role for N. betuloides seedlings during germination and initial phases of growth, mainly in the mountain. Therefore, their conservation promotes N. betuloides forest continuity, both in pure and mixed structures.</t>
  </si>
  <si>
    <t>[Toro-Manriquez, Monica; Herrera, Alejandro Huertas] Ctr Invest Ecosistemas Patagonia CIEP, Lab Recursos Forestales &amp; Conservac Biodivers, Grp Ecol Forestal, Coyhaique, Chile; [Soler, Rosina; Lencinas, Maria Vanessa; Pastur, Guillermo Martinez] Consejo Nacl Invest Cient &amp; Tecn CONICET, Ctr Austral Invest Cient CAD, Lab Recursos Agroforestales, Ushuaia, Argentina; [Ardiles, Victor] Museo Nacl Hist Nat, Interior Parque Quinta Normal, Area Bot, Santiago, Chile; [Toro-Manriquez, Monica] Ctr Invest Ecosistemas Patagonia CIEP, Lab Recursos Forestales Conservac Biodivers, Grp Ecol Forestal, Camino Baguales S-N Km 4, Coyhaique, Chile</t>
  </si>
  <si>
    <t>Consejo Nacional de Investigaciones Cientificas y Tecnicas (CONICET)</t>
  </si>
  <si>
    <t>Toro-Manríquez, M (corresponding author), Ctr Invest Ecosistemas Patagonia CIEP, Lab Recursos Forestales Conservac Biodivers, Grp Ecol Forestal, Camino Baguales S-N Km 4, Coyhaique, Chile.</t>
  </si>
  <si>
    <t>monica.toro@ciep.cl</t>
  </si>
  <si>
    <t>Toro Manríquez, Mónica/AAI-1404-2019; Martínez Pastur, Guillermo J./H-8188-2014</t>
  </si>
  <si>
    <t>Toro Manríquez, Mónica/0000-0001-6492-1333; Martínez Pastur, Guillermo J./0000-0003-2614-5403</t>
  </si>
  <si>
    <t>(Ushuaia-Argentina); Museo Nacional de Historia Natural, Santiago de Chile, Centro Austral de Investigaciones Cientificas (CADIC-CONICET, Ushuaia-Argentina); CONICET; Alvaro Promis (ECOVEG) Universidad de Chile; [R20F0002]</t>
  </si>
  <si>
    <t>(Ushuaia-Argentina); Museo Nacional de Historia Natural, Santiago de Chile, Centro Austral de Investigaciones Cientificas (CADIC-CONICET, Ushuaia-Argentina); CONICET(Consejo Nacional de Investigaciones Cientificas y Tecnicas (CONICET)); Alvaro Promis (ECOVEG) Universidad de Chile;</t>
  </si>
  <si>
    <t>We want to thank the support of the Museo Nacional de Historia Natural, Santiago de Chile, Centro Austral de Investigaciones Cientificas (CADIC-CONICET, Ushuaia-Argentina) and Tierra del Fuego National Park (PNTDF) by the Administracion de Parques Nacionales, Ushuaia, Argentina, through the project Ciclo de regeneracion natural en bosques mixtos de Nothofagus pumilio y N. betuloides: Son bosques estables o dinamicos? DRPA No 19 (2013-2018)', whose research was part of the doctoral thesis of Monica Toro Manriquez supported by CONICET doctoral scholarships, Alvaro Promis (ECOVEG) Universidad de Chile and the R20F0002 (PATSER) ANID program for financial support and encouragement with our work. Thanks to Luis Carcamo Oyarzun for his assistance with the English language and grammatical editing of the manuscript.</t>
  </si>
  <si>
    <t>1442-9985</t>
  </si>
  <si>
    <t>1442-9993</t>
  </si>
  <si>
    <t>AUSTRAL ECOL</t>
  </si>
  <si>
    <t>Austral Ecol.</t>
  </si>
  <si>
    <t>10.1111/aec.13412</t>
  </si>
  <si>
    <t>CD1Z9</t>
  </si>
  <si>
    <t>WOS:001045292500001</t>
  </si>
  <si>
    <t>Parthipan, R; Christensen, HM; Hosking, JS; Wischik, DJ</t>
  </si>
  <si>
    <t>Parthipan, Raghul; Christensen, Hannah M.; Hosking, J. Scott; Wischik, Damon J.</t>
  </si>
  <si>
    <t>Using probabilistic machine learning to better model temporal patterns in parameterizations: a case study with the Lorenz 96 model</t>
  </si>
  <si>
    <t>GEOSCIENTIFIC MODEL DEVELOPMENT</t>
  </si>
  <si>
    <t>NEURAL-NETWORK; CLIMATE; PARAMETRIZATION; UNCERTAINTIES; ALGORITHMS; REGIMES; FUTURE</t>
  </si>
  <si>
    <t>The modelling of small-scale processes is a major source of error in weather and climate models, hindering the accuracy of low-cost models which must approximate such processes through parameterization. Red noise is essential to many operational parameterization schemes, helping model temporal correlations. We show how to build on the successes of red noise by combining the known benefits of stochasticity with machine learning. This is done using a recurrent neural network within a probabilistic framework (L96-RNN). Our model is competitive and often superior to both a bespoke baseline and an existing probabilistic machine learning approach (GAN, generative adversarial network) when applied to the Lorenz 96 atmospheric simulation. This is due to its superior ability to model temporal patterns compared to standard first-order autoregressive schemes. It also generalizes to unseen scenarios. We evaluate it across a number of metrics from the literature and also discuss the benefits of using the probabilistic metric of hold-out likelihood.</t>
  </si>
  <si>
    <t>[Parthipan, Raghul; Wischik, Damon J.] Univ Cambridge, Dept Comp Sci, Cambridge, England; [Parthipan, Raghul; Hosking, J. Scott] British Antarctic Survey, Cambridge, England; [Christensen, Hannah M.] Univ Oxford, Dept Phys, Oxford, England; [Hosking, J. Scott] Alan Turing Inst, London, England</t>
  </si>
  <si>
    <t>University of Cambridge; UK Research &amp; Innovation (UKRI); Natural Environment Research Council (NERC); NERC British Antarctic Survey; University of Oxford</t>
  </si>
  <si>
    <t>Parthipan, R (corresponding author), Univ Cambridge, Dept Comp Sci, Cambridge, England.;Parthipan, R (corresponding author), British Antarctic Survey, Cambridge, England.</t>
  </si>
  <si>
    <t>rp542@cam.ac.uk</t>
  </si>
  <si>
    <t>Christensen, Hannah/L-1180-2016; Hosking, Scott/D-3437-2013</t>
  </si>
  <si>
    <t>Christensen, Hannah/0000-0001-8244-0218; Hosking, Scott/0000-0002-3646-3504</t>
  </si>
  <si>
    <t>Engineering and Physical Sciences Research Council [EP/S022961/1]; Natural Environment Research Council [NE/P018238/1]; British Antarctic Survey,Natural Environment Research Council (NERC) National Capability funding; University of Cambridge</t>
  </si>
  <si>
    <t>Engineering and Physical Sciences Research Council(UK Research &amp; Innovation (UKRI)Engineering &amp; Physical Sciences Research Council (EPSRC)); Natural Environment Research Council(UK Research &amp; Innovation (UKRI)Natural Environment Research Council (NERC)); British Antarctic Survey,Natural Environment Research Council (NERC) National Capability funding; University of Cambridge(University of Cambridge)</t>
  </si>
  <si>
    <t>Raghul Parthipan was funded by the Engineering and Physical Sciences Research Council (grant number EP/S022961/1). Hannah M. Christensen was supported by the Natural Environment Research Council (grant number NE/P018238/1).J. Scott Hosking was supported by the British Antarctic Survey,Natural Environment Research Council (NERC) National Capability funding. Damon J. Wischik was funded by the University of Cambridge</t>
  </si>
  <si>
    <t>1991-959X</t>
  </si>
  <si>
    <t>1991-9603</t>
  </si>
  <si>
    <t>GEOSCI MODEL DEV</t>
  </si>
  <si>
    <t>Geosci. Model Dev.</t>
  </si>
  <si>
    <t>10.5194/gmd-16-4501-2023</t>
  </si>
  <si>
    <t>O6XM6</t>
  </si>
  <si>
    <t>WOS:001045212800001</t>
  </si>
  <si>
    <t>Chase, BM; Carr, AS; Boom, A; Tyrrell, G; Reimer, PJ</t>
  </si>
  <si>
    <t>Chase, Brian M.; Carr, Andrew S.; Boom, Arnoud; Tyrrell, Genevieve; Reimer, Paula J.</t>
  </si>
  <si>
    <t>Linking upwelling intensity and orbital-scale climate variability in South Africa's winter rainfall zone: Insights from a -70,000-year hyrax midden record</t>
  </si>
  <si>
    <t>QUATERNARY SCIENCE ADVANCES</t>
  </si>
  <si>
    <t>Late Quaternary; Benguela upwelling; Rainfall seasonality; Palaeoclimate; Rock hyrax middens; Stable isotopes</t>
  </si>
  <si>
    <t>NITROGEN ISOTOPE COMPOSITION; FECAL DEPOSITS HYRACEUM; LATE QUATERNARY; WESTERN CAPE; WOOD CHARCOAL; WIND-STRENGTH; GRAIN-SIZE; VEGETATION; ARIDITY; POLLEN</t>
  </si>
  <si>
    <t>The climate of Africa's southwestern Cape is characterised by a strongly seasonal winter precipitation regime, with late Quaternary climate variability generally considered to have been driven by the position of the southern westerlies. This paper presents a unique -70,000 year-long palaeoclimatic record from a rock hyrax midden from South Africa's winter rainfall zone, enabling the analysis of regional climate systems since the beginning of marine isotope stage 4. The data suggest that the last glacial period was relatively humid compared to the Holocene, likely due to cooler temperatures, more extensive Antarctic sea-ice extent and an equatorward displacement of the westerly storm track. However, orbital-scale climate variability associated with the 23 kyr precessional cycle primarily correlates with changes in upwelling intensity in the Benguela system, implying an important role for the blocking of tropical easterly flow in driving long-term climatic variability. These factors combined during glacial periods to significantly amplify rainfall seasonality in the southwestern Cape, bringing more winter rainfall via mid-latitude frontal systems, while reducing the proportion of summer rainfall, particularly during the glacial periods of the late Quaternary. The results therefore highlight the need to consider a complex suite of circulation systems and dynamics when inferring drivers of long-term environmental change in the region.</t>
  </si>
  <si>
    <t>[Chase, Brian M.] Univ Montpellier, Ctr Natl Rech Sci CNRS, Inst Sci Evolut Montpellier ISEM, EPHE,IRD, Montpellier, France; [Chase, Brian M.] Univ Cape Town, Dept Environm &amp; Geog Sci, South Lane Upper Campus, ZA-7701 Rondebosch, South Africa; [Tyrrell, Genevieve] Univ Leicester, Sch Geog Geol &amp; Environm, Leicester LE1 7RH, England; [Reimer, Paula J.] Queens Univ Belfast, Sch Nat &amp; Built Environm Geog Archaeol &amp; Palaeoeco, Belfast BT7 1NN, North Ireland</t>
  </si>
  <si>
    <t>Institut de Recherche pour le Developpement (IRD); Centre National de la Recherche Scientifique (CNRS); Universite PSL; Ecole Pratique des Hautes Etudes (EPHE); Universite de Montpellier; University of Cape Town; University of Leicester; Queens University Belfast</t>
  </si>
  <si>
    <t>Chase, BM (corresponding author), Univ Montpellier, Ctr Natl Rech Sci CNRS, Inst Sci Evolut Montpellier ISEM, EPHE,IRD, Montpellier, France.</t>
  </si>
  <si>
    <t>Brian.Chase@umontpellier.fr</t>
  </si>
  <si>
    <t>European Research Council under the European Union; ERC Starting Grant HYRAX [258657]</t>
  </si>
  <si>
    <t>European Research Council under the European Union(European Research Council (ERC)); ERC Starting Grant HYRAX</t>
  </si>
  <si>
    <t>The research leading to these results has received funding from the European Research Council under the European Union's Seventh Framework Programme (FP7/2007-2013) , ERC Starting Grant HYRAX, grant agreement no. 258657. The authors would like to thank Nicholas Wilshire for contacting us regarding the hyrax midden ana-lysed for this study and Volker Miros and the owners of the Groenfontein Private Nature Reserve for allowing us to access to their land to collect midden material.</t>
  </si>
  <si>
    <t>2666-0334</t>
  </si>
  <si>
    <t>QUAT SCI ADV</t>
  </si>
  <si>
    <t>Quat. Sci. Adv.</t>
  </si>
  <si>
    <t>10.1016/j.qsa.2023.100110</t>
  </si>
  <si>
    <t>W0EA3</t>
  </si>
  <si>
    <t>WOS:001088435700001</t>
  </si>
  <si>
    <t>Stark, JS; Johnstone, GJ; King, C; Raymond, T; Rutter, A; Stark, SC; Townsend, AT</t>
  </si>
  <si>
    <t>Stark, Jonathan S.; Johnstone, Glenn J.; King, Catherine; Raymond, Tania; Rutter, Allison; Stark, Scott C.; Townsend, Ashley T.</t>
  </si>
  <si>
    <t>Contamination of the marine environment by Antarctic research stations: Monitoring marine pollution at Casey station from 1997 to 2015</t>
  </si>
  <si>
    <t>POLYBROMINATED DIPHENYL ETHERS; SOFT-SEDIMENT ASSEMBLAGES; BENTHIC DIATOM COMMUNITIES; WASTE-DISPOSAL SITE; ION-EXCHANGE-RESIN; THALA VALLEY TIP; METAL CONTAMINATION; MCMURDO-STATION; TRACE-METAL; DAVIS STATION</t>
  </si>
  <si>
    <t>The contamination of the marine environment surrounding coastal Antarctic research stations remains insufficiently understood in terms of its extent, persistence, and characteristics. We investigated the presence of contaminants in marine sediments near Casey Station, located in the Windmill Islands of East Antarctica, during the period spanning from 1997 to 2015. Metals, hydrocarbons, PBDEs, PCBs, and nutrients were measured in sediments at anthropogenically disturbed sites, including the wastewater outfall, the wharf area, two former waste disposal sites, and various control locations. Sampling was carried out at three spatial scales: Locations, which were generally kilometres apart and formed the primary scale for comparison; Sites, which were 100 meters apart within each location; and Plots, which were 10 meters apart within each site. Consistently higher concentrations of most contaminants, and in some cases nutrients, were observed at disturbed locations. Some locations also exhibited an increase in contaminant concentrations over time. The spatial distribution of sediment properties (such as grain size and organic matter) and contaminants displayed intricate patterns of variation. Variation in grain size depended on the size category, with fine grains (e.g., &lt; 63 mu m) showing the greatest variation at the Location scale, while coarse grains exhibited minimal variation at this scale. Contaminant levels demonstrated significant differences between Locations, accounting for approximately 55% of the overall variation for metals, while the variation within the 10-meter scale generally exceeded that within the 100-meter scale. Residual variation among replicate samples was also very high, demonstrating the need for adequate replication in studies of sediments and contaminants around stations. Some contaminants exceeded international guidelines for sediment quality, including metals, hydrocarbons, and PCBs. We conclude that Antarctic research stations such as Casey are likely to pose a moderate level of long-term ecological risk to local marine ecosystems through marine pollution. However, contamination is expected to be confined to areas in close proximity to the stations, although its extent and concentration are anticipated to increase with time. Raising awareness of the contamination risks associated with Antarctic stations and implementing monitoring programs for marine environments adjacent to these stations can contribute to informed decision-making and the improvement of environmental management practices in Antarctica.</t>
  </si>
  <si>
    <t>[Stark, Jonathan S.; Johnstone, Glenn J.; King, Catherine; Raymond, Tania; Stark, Scott C.] Australian Antarctic Div, East Antarctic Monitoring Program, Kingston, Tas, Australia; [Rutter, Allison] Queens Univ, Analyt Serv Unit, Kingston, ON, Canada; [Townsend, Ashley T.] Univ Tasmania, Coll Sci &amp; Engn, Cent Sci Lab, Hobart, Tas, Australia</t>
  </si>
  <si>
    <t>Australian Antarctic Division; Queens University - Canada; University of Tasmania</t>
  </si>
  <si>
    <t>Stark, JS (corresponding author), Australian Antarctic Div, East Antarctic Monitoring Program, Kingston, Tas, Australia.</t>
  </si>
  <si>
    <t>jonny.stark@aad.gov.au</t>
  </si>
  <si>
    <t>Townsend, Ashley/J-7445-2014; King, Catherine/G-7059-2017</t>
  </si>
  <si>
    <t>Townsend, Ashley/0000-0002-2972-2678; King, Catherine/0000-0003-3356-0381; Stark, Jonathan/0000-0002-4268-8072</t>
  </si>
  <si>
    <t>Australian Antarctic Science research grants by the Australian Antarctic Division [AAS 2201, 2948, 4127, 4180, 4633]</t>
  </si>
  <si>
    <t>Australian Antarctic Science research grants by the Australian Antarctic Division</t>
  </si>
  <si>
    <t>This research was funded by a Australian Antarctic Science research grants to JSS (AAS 2201, 2948, 4127, 4180, 4633) by the Australian Antarctic Division (https://www.antarctica.gov.au/). The funders had no role in study design, data collection and analysis, decision to publish, or preparation of the manuscript.</t>
  </si>
  <si>
    <t>AUG 9</t>
  </si>
  <si>
    <t>e0288485</t>
  </si>
  <si>
    <t>10.1371/journal.pone.0288485</t>
  </si>
  <si>
    <t>R5KV1</t>
  </si>
  <si>
    <t>WOS:001064747700024</t>
  </si>
  <si>
    <t>Borisanova, A; Schepetov, D</t>
  </si>
  <si>
    <t>Borisanova, Anastasia; Schepetov, Dimitry</t>
  </si>
  <si>
    <t>Clarification of the diagnosis of the genus Loxosoma s.l. (Entoprocta; Loxosomatidae) based on morphological and molecular data</t>
  </si>
  <si>
    <t>ZOOTAXA</t>
  </si>
  <si>
    <t>Kamptozoa; taxonomy; morphology; phylogeny; 28S; 18S; new combination</t>
  </si>
  <si>
    <t>ANTARCTIC ENTOPROCTA; SOLITARIA; ALIGNMENT; TAXA; SEA</t>
  </si>
  <si>
    <t>Loxosomatidae are solitary entoprocts associated with various types of invertebrate hosts. Two genera are distinguished in the family Loxosomatidae, Loxosomella and Loxosoma, that have clear morphological differences in the attachment structures. Loxosoma attaches to the substratum by a muscular sucking pedal disk, which allows moving. Both kidneys and adults are thought to have a pedal disc throughout their lives. In August 2021, several specimens of loxosomatids were found in the White Sea at a depth of 30-70 m on a polychaete Laonice sp. (Spionidae), which were investigated using light and electron microscopy as well as molecular phylogenetic analysis. These loxosomatids were identified as Loxosomella aripes Nielsen, although a stalk of large buds of the specimens from the White Sea terminate with a pedal disc typical of Loxosoma. Molecular phylogenetic analysis of two markers [28S rRNA (similar to 380bp) and 18S rRNA (in three parts totaling similar to 1850bp)] confirms the affinity of the species to Loxosoma s.l. and does not confirm monophyly of the genera Loxosoma and Loxosomella, indicating that the entire system of loxosomatids requires revision. Here, we redescribe the species Loxosomella aripes as Loxosoma s.l. aripes. The diagnosis of the genus Loxosoma s.l. is supplemented with the observation that the structure of the attachment organ can change after anchoring to the substrate. A list of species currently assigned to Loxosomella that may in fact belong to the genus Loxosoma s.l. is also given.</t>
  </si>
  <si>
    <t>[Borisanova, Anastasia; Schepetov, Dimitry] Moscow MV Lomonosov State Univ, Fac Biol, Moscow 119991, Russia; [Schepetov, Dimitry] Shenzhen MSU BIT Univ, Biol Fac, Shenzhen 518172, Peoples R China</t>
  </si>
  <si>
    <t>Lomonosov Moscow State University; Shenzhen MSU-BIT University</t>
  </si>
  <si>
    <t>Borisanova, A (corresponding author), Moscow MV Lomonosov State Univ, Fac Biol, Moscow 119991, Russia.</t>
  </si>
  <si>
    <t>d.m.schepetov@gmail.com; borisanovaao@mail.ru</t>
  </si>
  <si>
    <t>Borisanova, Anastasia/0000-0002-9700-6446</t>
  </si>
  <si>
    <t>Russian Science Foundation [23-14-00020]; Scientific Project of the State Order of the Government of Russian Federation [121032300121-0]</t>
  </si>
  <si>
    <t>Russian Science Foundation(Russian Science Foundation (RSF)); Scientific Project of the State Order of the Government of Russian Federation</t>
  </si>
  <si>
    <t>The research was supported by the Russian Science Foundation (project no. 23-14-00020). The research was carried out as a part of the Scientific Project of the State Order of the Government of Russian Federation to Lomonosov Moscow State University No. 121032300121-0. We are deeply grateful to Nataliya Budaeva from University of Bergen for providing photographs of the holotype of Loxosoma aripes n. comb. from the collection of the Zoological Museum, Bergen, the management of the White Sea Biological Station, Oleg I. Malutin for helping with the shipping of the studied material, Anna E. Zhadan for helping with the identification of the host species, Valentina Tambovtseva (Institute of Developmental Biology, Russian Academy of Sciences) for the assistance in Sanger sequencing. Sanger sequencing was conducted using the equipment of the Core Centrum of the Institute of Developmental Biology RAS. SEM studies and TEM studies were carried out at the Shared Research Facility Electron Microscopy in Life Sciences at Moscow State University (Unique Equipment Three-dimensional electron microscopy and spectroscopy). The authors are deeply grateful to Elena M. Krylova for helpful comments on the first submitted version of the manuscript.</t>
  </si>
  <si>
    <t>MAGNOLIA PRESS</t>
  </si>
  <si>
    <t>AUCKLAND</t>
  </si>
  <si>
    <t>250F Marua Road Mt Wellington, AUCKLAND, ST LUKES 1023, NEW ZEALAND</t>
  </si>
  <si>
    <t>1175-5326</t>
  </si>
  <si>
    <t>1175-5334</t>
  </si>
  <si>
    <t>Zootaxa</t>
  </si>
  <si>
    <t>10.11646/zootaxa.5325.3.2</t>
  </si>
  <si>
    <t>R3CZ7</t>
  </si>
  <si>
    <t>WOS:001063175500001</t>
  </si>
  <si>
    <t>Liang, L; Guo, HD; Liang, S; Li, XC; Moore, JC; Li, XW; Cheng, X; Wu, WJ; Liu, Y; Rinke, A; Jia, GS; Pan, FF; Gong, C</t>
  </si>
  <si>
    <t>Liang, Lei; Guo, Huadong; Liang, Shuang; Li, Xichen; Moore, John C.; Li, Xinwu; Cheng, Xiao; Wu, Wenjin; Liu, Yan; Rinke, Annette; Jia, Gensuo; Pan, Feifei; Gong, Chen</t>
  </si>
  <si>
    <t>Delayed Antarctic melt season reduces albedo feedback</t>
  </si>
  <si>
    <t>NATIONAL SCIENCE REVIEW</t>
  </si>
  <si>
    <t>Antarctic ice sheet; snowmelt; season delay; sea ice; solar irradiance</t>
  </si>
  <si>
    <t>ICE SHELVES; MELTWATER; TRENDS; VARIABILITY; SNOWMELT; OCEAN; OSCILLATION; CIRCULATION; IMPACTS; PERIOD</t>
  </si>
  <si>
    <t>Antarctica's response to climate change varies greatly both spatially and temporally. Surface melting impacts mass balance and also lowers surface albedo. We use a 43-year record (from 1978 to 2020) of Antarctic snow melt seasons from space-borne microwave radiometers with a machine-learning algorithm to show that both the onset and the end of the melt season are being delayed. Granger-causality analysis shows that melt end is delayed due to increased heat flux from the ocean to the atmosphere at minimum sea-ice extent from warming oceans. Melt onset is Granger-caused primarily by the turbulent heat flux from ocean to atmosphere that is in turn driven by sea-ice variability. Delayed snowmelt season leads to a net decrease in the absorption of solar irradiance, as a delayed summer means that higher albedo occurs after the period of maximum solar radiation, which changes Antarctica's radiation balance more than sea-ice cover. The Antarctic snowmelt season shows a delay over the satellite record. Decreasing spring and early summer surface temperature leads to delay of snowmelt onset, while the melt season ends later mainly due to enhanced ocean-atmosphere heat exchange. The delay in snowmelt season results in reduction of net surface solar radiation.</t>
  </si>
  <si>
    <t>[Liang, Lei; Guo, Huadong; Liang, Shuang; Li, Xinwu; Wu, Wenjin; Gong, Chen] Chinese Acad Sci, Aerosp Informat Res Inst, Key Lab Digital Earth Sci, Beijing 100094, Peoples R China; [Liang, Lei; Guo, Huadong; Liang, Shuang; Li, Xinwu; Wu, Wenjin] Int Res Ctr Big Data Sustainable Dev Goals, Beijing 100094, Peoples R China; [Li, Xichen; Jia, Gensuo] Chinese Acad Sci, Inst Atmospher Phys, Beijing 100029, Peoples R China; [Moore, John C.] Beijing Normal Univ, Coll Global Change &amp; Earth Syst Sci, Beijing 100875, Peoples R China; [Moore, John C.] Univ Lapland, Arctic Ctr, Rovaniemi 96101, Finland; [Moore, John C.] CAS Ctr Excellence Tibetan Plateau Earth Sci, Beijing 100101, Peoples R China; [Cheng, Xiao] Sun Yat sen Univ, Sch Geospatial Engn &amp; Sci, Guangzhou 519082, Peoples R China; [Rinke, Annette] Alfred Wegener Inst Helmholtz Ctr Polar &amp; Marine R, D-14473 Potsdam, Germany; [Pan, Feifei] Univ North Texas, Dept Geog, Denton, TX 76203 USA</t>
  </si>
  <si>
    <t>Chinese Academy of Sciences; Aerospace Information Research Institute, CAS; Chinese Academy of Sciences; Institute of Atmospheric Physics, CAS; Beijing Normal University; University of Lapland; Sun Yat Sen University; University of North Texas System; University of North Texas Denton</t>
  </si>
  <si>
    <t>Li, XW (corresponding author), Chinese Acad Sci, Aerosp Informat Res Inst, Key Lab Digital Earth Sci, Beijing 100094, Peoples R China.;Li, XW (corresponding author), Int Res Ctr Big Data Sustainable Dev Goals, Beijing 100094, Peoples R China.;Moore, JC (corresponding author), Beijing Normal Univ, Coll Global Change &amp; Earth Syst Sci, Beijing 100875, Peoples R China.;Moore, JC (corresponding author), Univ Lapland, Arctic Ctr, Rovaniemi 96101, Finland.;Moore, JC (corresponding author), CAS Ctr Excellence Tibetan Plateau Earth Sci, Beijing 100101, Peoples R China.</t>
  </si>
  <si>
    <t>john.moore.bnu@gmail.com; lixw@aircas.ac.cn</t>
  </si>
  <si>
    <t>Jia, Gensuo/AAL-2681-2020; Wu, Wenjin/AAZ-6351-2020</t>
  </si>
  <si>
    <t>Jia, Gensuo/0000-0001-5950-9555;</t>
  </si>
  <si>
    <t>2095-5138</t>
  </si>
  <si>
    <t>2053-714X</t>
  </si>
  <si>
    <t>NATL SCI REV</t>
  </si>
  <si>
    <t>Natl. Sci. Rev.</t>
  </si>
  <si>
    <t>nwad157</t>
  </si>
  <si>
    <t>10.1093/nsr/nwad157</t>
  </si>
  <si>
    <t>O6NZ5</t>
  </si>
  <si>
    <t>WOS:001044965500008</t>
  </si>
  <si>
    <t>Lambert, E; Jüling, A; van de Wal, RSW; Holland, PR</t>
  </si>
  <si>
    <t>Lambert, Erwin; Juling, Andre; van de Wal, Roderik S. W.; Holland, Paul R.</t>
  </si>
  <si>
    <t>Modelling Antarctic ice shelf basal melt patterns using the one-layer Antarctic model for dynamical downscaling of ice-ocean exchanges (LADDIE v1.0)</t>
  </si>
  <si>
    <t>PINE ISLAND GLACIER; GROUNDING LINE; SHEET; PARAMETERIZATION; CIRCULATION; RETREAT; RATES; WATER; ROSS; PARAMETERISATIONS</t>
  </si>
  <si>
    <t>A major source of uncertainty in future sea level projections is the ocean-driven basal melt of Antarctic ice shelves. While ice sheet models require a kilometre-scale resolution to realistically resolve ice shelf stability and grounding line migration, global or regional 3D ocean models are computationally too expensive to produce basal melt forcing fields at this resolution on long timescales. To bridge this resolution gap, we introduce the 2D numerical model LADDIE (one-layer Antarctic model for dynamical downscaling of ice-ocean exchanges), which allows for the computationally efficient modelling of detailed basal melt fields. The model is open source and can be applied easily to different geometries or different ocean forcings. The aim of this study is threefold: to introduce the model to the community, to demonstrate its application and performance in two use cases, and to describe and interpret new basal melt patterns simulated by this model. The two use cases are the small Crosson-Dotson Ice Shelf in the warm Amundsen Sea region and the large Filchner-Ronne Ice Shelf in the cold Weddell Sea. At ice-shelf-wide scales, LADDIE reproduces observed patterns of basal melting and freezing in warm and cold environments without the need to re-tune parameters for individual ice shelves. At scales of 0.5-5 km, which are typically unresolved by 3D ocean models and poorly constrained by observations, LADDIE produces plausible basal melt patterns. Most significantly, the simulated basal melt patterns are physically consistent with the applied ice shelf topography. These patterns are governed by the topographic steering and Coriolis deflection of meltwater flows, two processes that are poorly represented in basal melt parameterisations. The kilometre-scale melt patterns simulated by LADDIE include enhanced melt rates in grounding zones and basal channels and enhanced melt or freezing in shear margins. As these regions are critical for ice shelf stability, we conclude that LADDIE can provide detailed basal melt patterns at the essential resolution that ice sheet models require. The physical consistency between the applied geometry and the simulated basal melt fields indicates that LADDIE can play a valuable role in the development of coupled ice-ocean modelling.</t>
  </si>
  <si>
    <t>[Lambert, Erwin; Juling, Andre] Royal Netherlands Meteorol Inst KNMI, Res &amp; Dev Weather &amp; Climate Modelling RDWK, De Bilt, Netherlands; [van de Wal, Roderik S. W.] Univ Utrecht, Inst Marine &amp; Atmospher Res Utrecht IMAU, Utrecht, Netherlands; [van de Wal, Roderik S. W.] Univ Utrecht, Dept Phys Geog, Utrecht, Netherlands; [Holland, Paul R.] British Antarctic Survey, Cambridge, England</t>
  </si>
  <si>
    <t>Royal Netherlands Meteorological Institute; Utrecht University; Utrecht University; UK Research &amp; Innovation (UKRI); Natural Environment Research Council (NERC); NERC British Antarctic Survey</t>
  </si>
  <si>
    <t>Lambert, E (corresponding author), Royal Netherlands Meteorol Inst KNMI, Res &amp; Dev Weather &amp; Climate Modelling RDWK, De Bilt, Netherlands.</t>
  </si>
  <si>
    <t>erwin.lambert@knmi.nl</t>
  </si>
  <si>
    <t>Lambert, Erwin/AAJ-6730-2020; van de wal, roderik/D-1705-2011</t>
  </si>
  <si>
    <t>Lambert, Erwin/0000-0001-7537-6385; van de wal, roderik/0000-0003-2543-3892; Juling, Andre/0000-0003-2554-9641</t>
  </si>
  <si>
    <t>10.5194/tc-17-3203-2023</t>
  </si>
  <si>
    <t>O4VG7</t>
  </si>
  <si>
    <t>WOS:001043801200001</t>
  </si>
  <si>
    <t>Ergas, M; Figueroa, D; Paschke, K; Urbina, MA; Navarro, JM; Vargas-Chacoff, L</t>
  </si>
  <si>
    <t>Ergas, Mauricio; Figueroa, Daniela; Paschke, Kurt; Urbina, Mauricio A.; Navarro, Jorge M.; Vargas-Chacoff, Luis</t>
  </si>
  <si>
    <t>Cellulosic and microplastic fibers in the Antarctic fish Harpagifer antarcticus and Sub-Antarctic Harpagifer bispinis</t>
  </si>
  <si>
    <t>Microplastic ingestion; Antarctic; Fish; Gut content; Harpagifer; Microfibers; Cellulose; Textiles</t>
  </si>
  <si>
    <t>INCLUDING MICROPLASTICS; NATURAL FIBERS; DEMERSAL FISH; FOOD-WEB; INGESTION; NOTOTHENIOIDEI; ATLANTIC; SEA; IDENTIFICATION; CONTAMINATION</t>
  </si>
  <si>
    <t>Human settlements within the Antarctic continent have caused significant coastal pollution by littering plastic. The present study assessed the potential presence of microplastics in the gastrointestinal tract of the Antarctic fish Harpagifer antarcticus, endemic to the polar region, and in the sub-Antarctic fish Harpagifer bispinis. H. antarcticus. A total of 358 microfibers of multiple colors were found in 89 % of H. antarcticus and 73 % of H. bispinis gastrointestinal track. A Micro-FTIR analysis characterized a sub-group (n = 42) of microfibers. It revealed that most of the fibers were cellulose (69 %). Manmade fibers such as microplastics polyethylene terephtalate, acrylics, and semisynthetic/natural cellulosic fibers were present in the fish samples. All the microfibers extracted were textile fibers of blue, black, red, green, and violet color. Our results suggest that laundry greywater discharges of human settlements near coastal waters in Antarctica are a major source of these pollutants in the Antarctic fish.</t>
  </si>
  <si>
    <t>[Ergas, Mauricio; Figueroa, Daniela; Navarro, Jorge M.; Vargas-Chacoff, Luis] Univ Austral Chile, Inst Ciencias Marinas &amp; Limnol, Valdivia, Chile; [Paschke, Kurt; Navarro, Jorge M.; Vargas-Chacoff, Luis] Univ Austral Chile, Ctr Fondap Invest Altas Latitudes IDEAL, Valdivia, Chile; [Paschke, Kurt] Univ Austral Chile, Inst Acuicultura, Puerto Montt, Chile; [Paschke, Kurt; Vargas-Chacoff, Luis] Univ Austral Chile, Millennium Inst Biodivers Antarctic &amp; Subantarctic, BASE, Valdivia, Chile; [Urbina, Mauricio A.] Univ Concepcion, Fac Ciencias Nat &amp; Oceanog, Dept Zool, Concepcion, Chile; [Urbina, Mauricio A.] Univ Concepcion, Inst Milenio Oceanog IMO, Concepcion, Chile; [Vargas-Chacoff, Luis] Univ Austral Chile, Integrat Biol Grp, Valdivia, Chile</t>
  </si>
  <si>
    <t>Universidad Austral de Chile; Universidad Austral de Chile; Universidad Austral de Chile; Universidad Austral de Chile; Universidad de Concepcion; Universidad de Concepcion; Universidad Austral de Chile</t>
  </si>
  <si>
    <t>Vargas-Chacoff, L (corresponding author), Univ Austral Chile, Inst Ciencias Marinas &amp; Limnol, Valdivia, Chile.</t>
  </si>
  <si>
    <t>luis.vargas@uach.cl</t>
  </si>
  <si>
    <t>INACH, Fondap IDEAL program [15150003]; ANID-Millenium Science Initiative-BASE; ANID - Programa Iniciativa Cientifica Milenio [ICN2021_002]; ANID-ANILLO ACT [210073]; ANID-FONDECYT [1210071]</t>
  </si>
  <si>
    <t>INACH, Fondap IDEAL program; ANID-Millenium Science Initiative-BASE; ANID - Programa Iniciativa Cientifica Milenio; ANID-ANILLO ACT; ANID-FONDECYT</t>
  </si>
  <si>
    <t>This study was supported by INACH, Fondap IDEAL program 15150003, and ANID-Millenium Science Initiative-BASE. ANID -~Programa Iniciativa Cientifica Milenio - ICN2021_002 to LVCH. Spectral analysis was funded by ANID-ANILLO ACT 210073 and ANID-FONDECYT 1210071 to MAU.</t>
  </si>
  <si>
    <t>B</t>
  </si>
  <si>
    <t>10.1016/j.marpolbul.2023.115380</t>
  </si>
  <si>
    <t>Q8HE6</t>
  </si>
  <si>
    <t>WOS:001059869800001</t>
  </si>
  <si>
    <t>Payne, R; Martin, J; Monahan, A; Sigmond, M</t>
  </si>
  <si>
    <t>Payne, R.; Martin, J.; Monahan, A.; Sigmond, M.</t>
  </si>
  <si>
    <t>Seasonal Predictions of Regional and Pan-Antarctic Sea Ice With a Dynamical Forecast System</t>
  </si>
  <si>
    <t>ATMOSPHERE-OCEAN</t>
  </si>
  <si>
    <t>Antarctic; sea ice; dynamical forecasting; southern ocean; seasonal timescales</t>
  </si>
  <si>
    <t>THICKNESS INITIALIZATION; DATA ASSIMILATION; PART I; MODEL; PREDICTABILITY; CLIMATE; AREA</t>
  </si>
  <si>
    <t>Operational seasonal to interannual forecasting systems are in continued development around the world. Various studies have applied models to the dynamical forecasting of sea ice, particularly in the Arctic. The Antarctic, however, has received relatively little attention, with few previous endeavours to quantify operational forecast skill of sea ice. This study assesses sea ice extent prediction skill of the Canadian Seasonal to Interannual Prediction System version 2 (CanSIPSv2) in the Pan-Antarctic domain as well as in various sectors of the Southern Ocean. The forecast skill of GEM-NEMO, one of two constituent models that together comprise CanSIPSv2, is found to generally exceed that of the other, CanCM4i. This difference is potentially due to substantial model drift of sea ice extent away from observations in CanCM4i, in addition to their different initializations of sea ice thickness. Both models show significant forecast skill exceeding that of an anomaly persistence forecast. Prediction skill was found to vary substantially across different sectors of the Southern Ocean. Moreover, our analysis also finds that CanSIPSv2 forecast skill in the Antarctic shows a dependence on time period, demonstrating generally lower skill than seen in the Arctic over the years 1980-2010, in contrast to generally higher skill than in the Arctic over the years 1980-2019. [Traduit par la redaction] Les systemes operationnels de previsions saisonnieres et interannuelles sont en evolution constante dans le monde entier. Diverses etudes ont applique des modeles a la prevision dynamique de la glace de mer, notamment dans l'Arctique. L'Antarctique, cependant, a recu relativement peu d'attention, avec peu d'efforts anterieurs pour quantifier la competence de prevision operationnelle de la glace de mer. Cette etude evalue la capacite de prevision de l'etendue de la glace de mer du Systeme de prevision interannuelle et saisonniere canadien version 2 (SPISCanv2) dans le domaine pan-antarctique, ainsi que dans divers secteurs de l'ocean Austral. La capacite de prevision de GEM-NEMO, l'un des deux modeles constitutifs du SPISCanv2, est generalement superieure a celle de l'autre modele, CanCM4i. Cette difference est potentiellement attribuable a une derive substantielle de l'etendue de la glace de mer par rapport aux observations dans le CanCM4i, en plus de leurs initialisations differentes de l'epaisseur de la glace de mer. Les deux modeles montrent une capacite de prevision significative depassant celle d'une prevision de la persistance de l'anomalie. On a constate que la capacite de prevision variait considerablement dans les differents secteurs de l'ocean Austral. De surcroit, notre analyse montre egalement que la competence de prevision du SPISCanv2 dans l'Antarctique depend de la periode, demontrant une competence generalement plus faible que celle observee dans l'Arctique au cours des annees 1980-2010, contrairement a une competence generalement plus elevee que dans l'Arctique au cours des annees 1980-2019.</t>
  </si>
  <si>
    <t>[Payne, R.; Martin, J.; Monahan, A.; Sigmond, M.] Univ Victoria, Sch Earth &amp; Ocean Sci, Victoria, BC, Canada; [Martin, J.] Royal Canadian Navy, Victoria, BC, Canada; [Sigmond, M.] Environm &amp; Climate Change Canada, Canadian Ctr Climate Modelling &amp; Anal, Victoria, BC, Canada</t>
  </si>
  <si>
    <t>University of Victoria; Environment &amp; Climate Change Canada; Canadian Centre for Climate Modelling &amp; Analysis (CCCma)</t>
  </si>
  <si>
    <t>Payne, R (corresponding author), Univ Victoria, Sch Earth &amp; Ocean Sci, Victoria, BC, Canada.</t>
  </si>
  <si>
    <t>gpayne1654@uvic.ca</t>
  </si>
  <si>
    <t>Sigmond, Michael/K-3169-2012; Martin, Joseph Zachary/IXX-0134-2023</t>
  </si>
  <si>
    <t>Martin, Joseph Zachary/0000-0001-5187-358X</t>
  </si>
  <si>
    <t>Environment and Climate Change Canada (ECCC); Natural Sciences and Engineering Research Council of Canada (NSERC) [RGPIN-2019-204986]</t>
  </si>
  <si>
    <t>Environment and Climate Change Canada (ECCC); Natural Sciences and Engineering Research Council of Canada (NSERC)(Natural Sciences and Engineering Research Council of Canada (NSERC))</t>
  </si>
  <si>
    <t>This research was made possible by the funding provided by Environment and Climate Change Canada (ECCC). Adam Monahan acknowledges the support of the Natural Sciences and Engineering Research Council of Canada (NSERC) (funding reference RGPIN-2019-204986).</t>
  </si>
  <si>
    <t>0705-5900</t>
  </si>
  <si>
    <t>1480-9214</t>
  </si>
  <si>
    <t>ATMOS OCEAN</t>
  </si>
  <si>
    <t>Atmos.-Ocean</t>
  </si>
  <si>
    <t>AUG 8</t>
  </si>
  <si>
    <t>10.1080/07055900.2023.2252387</t>
  </si>
  <si>
    <t>Meteorology &amp; Atmospheric Sciences; Oceanography</t>
  </si>
  <si>
    <t>R8LT9</t>
  </si>
  <si>
    <t>WOS:001058878600001</t>
  </si>
  <si>
    <t>Siegert, MJ; Bentley, MJ; Atkinson, A; Bracegirdle, TJ; Convey, P; Davies, B; Downie, R; Hogg, AE; Holmes, C; Hughes, KA; Meredith, MP; Ross, N; Rumble, J; Wilkinson, J</t>
  </si>
  <si>
    <t>Siegert, Martin J.; Bentley, Mike J.; Atkinson, Angus; Bracegirdle, Thomas J.; Convey, Peter; Davies, Bethan; Downie, Rod; Hogg, Anna E.; Holmes, Caroline; Hughes, Kevin A.; Meredith, Michael P.; Ross, Neil; Rumble, Jane; Wilkinson, Jeremy</t>
  </si>
  <si>
    <t>Antarctic extreme events</t>
  </si>
  <si>
    <t>FRONTIERS IN ENVIRONMENTAL SCIENCE</t>
  </si>
  <si>
    <t>extreme weather; polar; glacier; biodiversity; marine ecology; terrestrial ecology; ice shelf</t>
  </si>
  <si>
    <t>GROUNDING-LINE RETREAT; SEA-LEVEL RISE; ICE STREAM-C; WEST ANTARCTICA; CLIMATE-CHANGE; BIOLOGICAL INVASIONS; PINE ISLAND; VARIABILITY; GLACIER; SHELVES</t>
  </si>
  <si>
    <t>There is increasing evidence that fossil-fuel burning, and consequential global heating of 1.1 degrees C to date, has led to the increased occurrence and severity of extreme environmental events. It is well documented how such events have impacted society outside Antarctica through enhanced levels of rainfall and flooding, heatwaves and wildfires, drought and water/food shortages and episodes of intense cooling. Here, we briefly examine evidence for extreme events in Antarctica and the Southern Ocean across a variety of environments and timescales. We show how vulnerable natural Antarctic systems are to extreme events and highlight how governance and environmental protection of the continent must take them into account. Given future additional heating of at least 0.4 degrees C is now unavoidable (to contain heating to the Paris Agreement 1.5 degrees C scenario), and may indeed be higher unless drastic action is successfully taken on reducing greenhouse gas emissions to net zero by mid-Century, we explain it is virtually certain that future Antarctic extreme events will be more pronounced than those observed to date.</t>
  </si>
  <si>
    <t>[Siegert, Martin J.] Univ Exeter, Tremough House, Penryn, Cornwall, England; [Bentley, Mike J.] Univ Durham, Dept Geog, Durham, England; [Atkinson, Angus] Plymouth Marine Lab, Plymouth, England; [Bracegirdle, Thomas J.; Convey, Peter; Holmes, Caroline; Hughes, Kevin A.; Meredith, Michael P.; Wilkinson, Jeremy] Nat Environm Res Council NERC, British Antarctic Survey, Cambridge, England; [Convey, Peter] Univ Johannesburg, Dept Zool, Johannesburg, South Africa; [Convey, Peter] Biodivers Antarctic &amp; Subantarct Ecosyst, Santiago, Chile; [Davies, Bethan; Ross, Neil] Newcastle Univ, Sch Geog Polit &amp; Sociol, Newcastle upon Tyne, England; [Downie, Rod] Living Planet Ctr, WWF UK, Leeds, England; [Hogg, Anna E.] Univ Leeds, Sch Earth &amp; Environm, Leeds, England; [Rumble, Jane] UK Foreign &amp; Commonwealth Off, Polar Reg Dept, London, England</t>
  </si>
  <si>
    <t>University of Exeter; Durham University; Plymouth Marine Laboratory; UK Research &amp; Innovation (UKRI); Natural Environment Research Council (NERC); NERC British Antarctic Survey; University of Johannesburg; Newcastle University - UK; World Wildlife Fund; University of Leeds</t>
  </si>
  <si>
    <t>Siegert, MJ (corresponding author), Univ Exeter, Tremough House, Penryn, Cornwall, England.</t>
  </si>
  <si>
    <t>m.siegert@exeter.ac.uk</t>
  </si>
  <si>
    <t>Davies, Bethan/KFR-3266-2024; Hughes, Kevin/JVZ-0793-2024; Siegert, Martin/A-3826-2008</t>
  </si>
  <si>
    <t>Davies, Bethan/0000-0002-8636-1813; Siegert, Martin/0000-0002-0090-4806</t>
  </si>
  <si>
    <t>European Research Council (ERC) under the European Union [NE/W004747/1]; UK Foreign, Commonwealth and Development Office (FCDO); NERC project DEFIANT [885205]; ESA Polar+ Ice Shelves project [ESA-IPL-POE-EF-cb-LE-2019-834]; ESA SO-ICE project [ESA AO/1-10461/20/I-NB]; WWF; ESA project Biodiversity in the Open Ocean: Mapping, Monitoring and Modelling (BOOMS) [4000137125/22/I-DT]; European Research Council (ERC) [885205] Funding Source: European Research Council (ERC)</t>
  </si>
  <si>
    <t>European Research Council (ERC) under the European Union(European Research Council (ERC)); UK Foreign, Commonwealth and Development Office (FCDO); NERC project DEFIANT; ESA Polar+ Ice Shelves project; ESA SO-ICE project; WWF; ESA project Biodiversity in the Open Ocean: Mapping, Monitoring and Modelling (BOOMS); European Research Council (ERC)(European Research Council (ERC)Spanish Government)</t>
  </si>
  <si>
    <t>Funding for this work was provided by the UK Foreign, Commonwealth and Development Office (FCDO). CH, JW and MM were funded under NERC project DEFIANT (NE/W004747/1). MB has received funding from the European Research Council (ERC) under the European Union's Horizon 2020 research and innovation programme (Project INCISED- 885205). PC and KAH are supported by NERC core funding to the BAS Biodiversity, Evolution and Adaptation Programme and Environment Office, respectively. AEH was supported by funding from the ESA Polar+ Ice Shelves project (ESA-IPL-POE-EF-cb-LE-2019-834) and the ESA SO-ICE project (ESA AO/1-10461/20/I-NB), which both are part of the ESA Polar Science Cluster. AA was funded jointly by the WWF and by the ESA project Biodiversity in the Open Ocean: Mapping, Monitoring and Modelling (BOOMS) No. 4000137125/22/I-DT.</t>
  </si>
  <si>
    <t>2296-665X</t>
  </si>
  <si>
    <t>FRONT ENV SCI-SWITZ</t>
  </si>
  <si>
    <t>Front. Environ. Sci.</t>
  </si>
  <si>
    <t>10.3389/fenvs.2023.1229283</t>
  </si>
  <si>
    <t>P7QO4</t>
  </si>
  <si>
    <t>WOS:001052584500001</t>
  </si>
  <si>
    <t>Mota, MAD; Jones, TD; Sulaiman, N; Edgar, KM; Yamaguchi, T; Leng, MJ; Adloff, M; Greene, SE; Norris, R; Warren, B; Duffy, G; Farrant, J; Murayama, M; Hall, J; Bendle, J</t>
  </si>
  <si>
    <t>Mota, Marcelo A. De Lira A.; Jones, Tom Dunkley; Sulaiman, Nursufiah; Edgar, Kirsty M. M.; Yamaguchi, Tatsuhiko; Leng, Melanie J. J.; Adloff, Markus; Greene, Sarah E. E.; Norris, Richard; Warren, Bridget; Duffy, Grace; Farrant, Jennifer; Murayama, Masafumi; Hall, Jonathan; Bendle, James</t>
  </si>
  <si>
    <t>Multi-proxy evidence for sea level fall at the onset of the Eocene-Oligocene transition</t>
  </si>
  <si>
    <t>WALLED DINOFLAGELLATE CYSTS; ANTARCTIC GLACIATION; MISSISSIPPI RIVER; VICKSBURG GROUPS; COASTAL-PLAIN; MIDDLE EOCENE; CLIMATE; RECORDS; GREENHOUSE; EVOLUTION</t>
  </si>
  <si>
    <t>Sea level fall with the growth of the Antarctic Ice Sheet 34 million years ago, and the shift in nutrients and carbon from continental margins to the ocean, initially provided a negative feedback that slowed global cooling and ice sheet expansion. Continental-scale expansion of the East Antarctic Ice Sheet during the Eocene-Oligocene Transition (EOT) is one of the largest non-linear events in Earth's climate history. Declining atmospheric carbon dioxide concentrations and orbital variability triggered glacial expansion and strong feedbacks in the climate system. Prominent among these feedbacks was the repartitioning of biogeochemical cycles between the continental shelves and the deep ocean with falling sea level. Here we present multiple proxies from a shallow shelf location that identify a marked regression and an elevated flux of continental-derived organic matter at the earliest stage of the EOT, a time of deep ocean carbonate dissolution and the extinction of oligotrophic phytoplankton groups. We link these observations using an Earth System model, whereby this first regression delivers a pulse of organic carbon to the oceans that could drive the observed patterns of deep ocean dissolution and acts as a transient negative feedback to climate cooling.</t>
  </si>
  <si>
    <t>[Mota, Marcelo A. De Lira A.; Jones, Tom Dunkley; Sulaiman, Nursufiah; Edgar, Kirsty M. M.; Greene, Sarah E. E.; Warren, Bridget; Duffy, Grace; Farrant, Jennifer; Hall, Jonathan; Bendle, James] Univ Birmingham, Sch Geog Earth &amp; Environm Sci, Birmingham B15 2TT, England; [Mota, Marcelo A. De Lira A.] Univ Sao Paulo, Inst Geosci, Rua Lago 562, BR-05508080 Sao Paulo, SP, Brazil; [Sulaiman, Nursufiah] Univ Malaysia Kelantan, Fac Earth Sci, Jeli Campus, Locked Bag 100, Jeli 17600, Kelantan, Malaysia; [Yamaguchi, Tatsuhiko] Natl Museum Nat &amp; Sci, 4-1-1 Amakubo, Tsukuba 3050005, Japan; [Yamaguchi, Tatsuhiko; Murayama, Masafumi] Kochi Univ, Ctr Adv Marine Core Res, 200 Monobe Otsu, Nanko Ku, Kochi 7838502, Japan; [Leng, Melanie J. J.] British Geol Survey, Nottingham NG12 5GG, England; [Leng, Melanie J. J.] Univ Nottingham, Ctr Environm Geochem, Sch Biosci, Nottingham LE12 5RD, England; [Adloff, Markus] Univ Bristol, Sch Geog Sci, Univ Rd, Bristol BS8 1SS, England; [Adloff, Markus] Univ Bern, Oeschger Ctr, Hochschulstr 6, CH-3012 Bern, Switzerland; [Norris, Richard] Univ Calif San Diego, Scripps Inst Oceanog, La Jolla, CA 92093 USA; [Murayama, Masafumi] Kochi Univ, Fac Agr &amp; Marine Sci, B200 Monobe, Nanko Ku, Kochi 7838502, Japan</t>
  </si>
  <si>
    <t>University of Birmingham; Universidade de Sao Paulo; Universiti Malaysia Kelantan; National Museum of Nature and Science; Kochi University; UK Research &amp; Innovation (UKRI); Natural Environment Research Council (NERC); NERC British Geological Survey; University of Nottingham; University of Bristol; University of Bern; University of California System; University of California San Diego; Scripps Institution of Oceanography; Kochi University</t>
  </si>
  <si>
    <t>Mota, MAD (corresponding author), Univ Birmingham, Sch Geog Earth &amp; Environm Sci, Birmingham B15 2TT, England.;Mota, MAD (corresponding author), Univ Sao Paulo, Inst Geosci, Rua Lago 562, BR-05508080 Sao Paulo, SP, Brazil.</t>
  </si>
  <si>
    <t>marcelomota@usp.br</t>
  </si>
  <si>
    <t>Sulaiman, Nursufiah/HQZ-0960-2023; De Lira Mota, Marcelo/AAX-1671-2021; Dunkley Jones, Tom/A-8441-2008; Edgar, Kirsty/AAR-9052-2021</t>
  </si>
  <si>
    <t>Sulaiman, Nursufiah/0000-0003-0419-8176; De Lira Mota, Marcelo/0000-0001-6436-0951; Dunkley Jones, Tom/0000-0002-9518-8143; Warren, Bridget/0000-0002-3931-7596; Greene, Sarah/0000-0002-3025-9043; Edgar, Kirsty/0000-0001-7587-9951</t>
  </si>
  <si>
    <t>National Council for Scientific and Technological Development (CNPq/Brazil) [206218/2014-1]; Natural Environment Research Council (NERC/UK) [NE/P013112/1]; NERC/UK [NE/P01903X/1]</t>
  </si>
  <si>
    <t>National Council for Scientific and Technological Development (CNPq/Brazil)(Conselho Nacional de Desenvolvimento Cientifico e Tecnologico (CNPQ)); Natural Environment Research Council (NERC/UK)(UK Research &amp; Innovation (UKRI)Natural Environment Research Council (NERC)); NERC/UK(UK Research &amp; Innovation (UKRI)Natural Environment Research Council (NERC))</t>
  </si>
  <si>
    <t>We sincerely~thank D.~Dockery and the Mississippi Department of Environmental Quality for their help, hospitality and provision of access to the Mossy Grove core;~C. D'Apolito Junior for helpful suggestions on this work; R. Burgess for the initial pilot study revealing excellent palynomorph preservation; staff from Petrostrat Ltd (G. Smith, M. Polling, N. Campion, and P. Cornick) and the British Geological Survey (J. Lacey and C. Kendrick) for laboratory help; and Alexandra Hangsterfer for XRF core scanner operation. While working on this manuscript, M.A.D.L.M. was supported by National Council for Scientific and Technological Development (CNPq/Brazil) Grant 206218/2014-1, T.D.J. and K.M.E. were supported by Natural Environment Research Council (NERC/UK) Grant NE/P013112/1, and S.E.G. and M.A. were supported by NERC/UK Grant NE/P01903X/1.</t>
  </si>
  <si>
    <t>10.1038/s41467-023-39806-6</t>
  </si>
  <si>
    <t>P1UD3</t>
  </si>
  <si>
    <t>WOS:001048553800036</t>
  </si>
  <si>
    <t>Carvalho, NF; Waters, LG; Arantes, RCM; Couto, DM; Cavalcanti, GH; Gueth, AZ; Falcao, APC; Nagata, PD; Hercos, CM; Sasaki, DK; Dottori, M; Cordes, EE; Sumida, PYG</t>
  </si>
  <si>
    <t>Carvalho, Nayara F.; Waters, Linda G.; Arantes, Renata C. M.; Couto, Daniel M.; Cavalcanti, Guarani H.; Gueth, Arthur Z.; Falcao, Ana Paula C.; Nagata, Paula D.; Hercos, Cizia M.; Sasaki, Dalton K.; Dottori, Marcelo; Cordes, Erik E.; Sumida, Paulo Y. G.</t>
  </si>
  <si>
    <t>Underwater surveys reveal deep-sea corals in newly explored regions of the southwest Atlantic</t>
  </si>
  <si>
    <t>ARTIFICIAL NEURAL-NETWORKS; SPECIES RICHNESS; ASSEMBLAGES; SLOPE; AREA</t>
  </si>
  <si>
    <t>Deep-sea coral distribution and composition are unknown in much of the global ocean, but repurposing ocean industry surveys can fill that gap. In Santos Basin, southeast Brazil, areas (241-963 m depth) were surveyed during seven Petrobras cruises, mapping bottom topography with multibeam sonar, then collecting video with remotely operated vehicles. Here, we defined deep-sea coral species distribution and richness, using these surveys, correlating them to physical oceanographic properties. Solenosmilia variabilis was the most prevalent colonial species in coral mounds. Overall, 67% of species were Octocorallia. Coral assemblage structure, abundance, and richness varied among sites both within and among depths, with higher density and richness in the northernmost Santos basin. Depth was the strongest predictor for scleractinian coral distribution, with depth ranges varying by species. Assemblage differences corresponded to changes in water mass. Desmophyllum pertusum was more abundant in South Atlantic Central Water and S. variabilis in Antarctic Intermediate Water influenced areas. Water masses and depth are key determinants of deep-sea coral structure, abundance and taxonomic richness in the northern Santos Basin in the southwest Atlantic, suggest high resolution bathymetry and video surveys of the seafloor between 241 and 963 m depth off the coast of Brazil.</t>
  </si>
  <si>
    <t>[Carvalho, Nayara F.; Waters, Linda G.; Couto, Daniel M.; Gueth, Arthur Z.; Nagata, Paula D.; Sasaki, Dalton K.; Dottori, Marcelo; Sumida, Paulo Y. G.] Univ Sao Paulo, Inst Oceanog, Sao Paulo, SP, Brazil; [Arantes, Renata C. M.] Univ Fed Santa Catarina, Programa Posgrad Oceanog, Florianopolis, SC, Brazil; [Cavalcanti, Guarani H.; Hercos, Cizia M.] Ctr Pesquisa Desenvolvimento &amp; Inovacao Leopoldo A, Rio De Janeiro, RJ, Brazil; [Falcao, Ana Paula C.] Gerencia Geodesia &amp; Oceanog Petrobras, Rio De Janeiro, RJ, Brazil; [Cordes, Erik E.] Temple Univ, Dept Biol, Philadelphia, PA USA</t>
  </si>
  <si>
    <t>Universidade de Sao Paulo; Universidade Federal de Santa Catarina (UFSC); Pennsylvania Commonwealth System of Higher Education (PCSHE); Temple University</t>
  </si>
  <si>
    <t>Carvalho, NF; Sumida, PYG (corresponding author), Univ Sao Paulo, Inst Oceanog, Sao Paulo, SP, Brazil.</t>
  </si>
  <si>
    <t>nayarafc@usp.br; psumida@usp.br</t>
  </si>
  <si>
    <t>Dottori, Marcelo/G-8798-2011; Guth, Arthur/F-2559-2011</t>
  </si>
  <si>
    <t>Ferreira Carvalho, Nayara/0000-0002-9748-2258; SASAKI, DALTON KEI/0000-0002-8006-0200; Guth, Arthur/0000-0001-8388-4187</t>
  </si>
  <si>
    <t>Universidade de Sao Paulo [2018/13141-5]; Fundacao de Amparo a Pesquisa do Estado de Sao Paulo (FAPESP) [141788/2018-6]</t>
  </si>
  <si>
    <t>Universidade de Sao Paulo; Fundacao de Amparo a Pesquisa do Estado de Sao Paulo (FAPESP)(Fundacao de Amparo a Pesquisa do Estado de Sao Paulo (FAPESP))</t>
  </si>
  <si>
    <t>We would like to express our gratitude to Petrobras for their financial support and for the complementary data for this study through the PCR-BS Project (Santos Basin Environmental Characterization). We would also like to make a special acknowledgement for the support from the Universidade de Sao Paulo. N.F.C. was supported by grant #2018/13141-5 from the Fundacao de Amparo a Pesquisa do Estado de Sao Paulo (FAPESP) and was financed in part by grant #141788/2018-6 from the Conselho Nacional de Desenvolvimento Cientifico e Tecnologico (CNPq). We would also like to extend our thanks to cnidarian taxonomists Dr. Marcelo Kitahara, Dr. Andrea Quattrini, Dr.&amp; nbsp;Jeremy Horowitz, and Dr.&amp; nbsp;Steve Auscavitch for their assistance with deep-sea coral taxonomic resolution IDs.</t>
  </si>
  <si>
    <t>10.1038/s43247-023-00924-0</t>
  </si>
  <si>
    <t>O7AK8</t>
  </si>
  <si>
    <t>WOS:001045290100002</t>
  </si>
  <si>
    <t>Pérez-Ortega, S; Verdu, M; Garrido-Benavent, I; Rabasa, S; Green, TGA; Sancho, LG; de los Ríos, A</t>
  </si>
  <si>
    <t>Perez-Ortega, Sergio; Verdu, Miguel; Garrido-Benavent, Isaac; Rabasa, Sonia; Green, T. G. Allan; Sancho, Leopoldo G.; de los Rios, Asuncion</t>
  </si>
  <si>
    <t>Invariant properties of mycobiont-photobiont networks in Antarctic lichens</t>
  </si>
  <si>
    <t>GLOBAL ECOLOGY AND BIOGEOGRAPHY</t>
  </si>
  <si>
    <t>intimate ecological interaction; lichen-forming fungi; symbiosis; Transantarctic Mountains</t>
  </si>
  <si>
    <t>SAMPLING COMPLETENESS; MYCORRHIZAL NETWORKS; FUNGAL SPECIFICITY; SPECIES ABUNDANCE; ALGA TREBOUXIA; CLIMATE-CHANGE; SELECTIVITY; DIVERSITY; NESTEDNESS; SPECIALIZATION</t>
  </si>
  <si>
    <t>Aim: Lichens are often regarded as paradigms of mutualistic relationships. However, it is still poorly known how lichen-forming fungi and their photosynthetic partners interact at a community scale. We explored the structure of fungus-alga networks of interactions in lichen communities along a latitudinal transect in continental Antarctica. We expect these interactions to be highly specialized and, consequently, networks with low nestedness degree and high modularity. Location: Transantarctic Mountains from 76 degrees S to 85 degrees S (continental Antarctica). Time Period: Present. Major Taxa Studied: Seventy-seven species of lichen-forming fungi and their photobionts. Methods: DNA barcoding of photobionts using nrITS data was conducted in 756 lichen specimens from five regions along the Transantarctic Mountains. We built interaction networks for each of the five studied regions and a metaweb for the whole area. We explored the specialization of both partners using the number of partners a species interacts with and the specialization parameter d'. Network architecture parameters such as nestedness, modularity and network specialization parameter H-2' were studied in all networks and contrasted through null models. Finally, we measured interaction turnover along the latitudinal transect. Results: We recovered a total of 842 interactions. Differences in specialization between partners were not statistically significant. Fungus-alga interaction networks showed high specialization and modularity, as well as low connectance and nestedness. Despite the large turnover in interactions occurring among regions, network parameters were not correlated with latitude. Main Conclusions: The interaction networks established between fungi and algae in saxicolous lichen communities in continental Antarctica showed invariant properties along the latitudinal transect. Rewiring is an important driver of interaction turnover along the transect studied. Future work should answer whether the patterns observed in our study are prevalent in other regions with milder climates and in lichen communities on different substrates.</t>
  </si>
  <si>
    <t>[Perez-Ortega, Sergio] Real Jardin Bot CSIC, Madrid, Spain; [Verdu, Miguel] Ctr Invest Desertificac CS UVEG GV, Valencia, Spain; [Garrido-Benavent, Isaac] Univ Valencia, Inst Cavanilles Biodiversitat Biol Evolut ICBIBE i, Dept Bot &amp; Geol, Valencia, Spain; [Garrido-Benavent, Isaac] CSIC, Natl Museum Nat Sci MNCN, Dept Biogeochem &amp; Microbial Ecol, Madrid, Spain; [Rabasa, Sonia] Univ Complutense Madrid, Dept Biodivers Ecol &amp; Evolut, Bot, Madrid, Spain; [Green, T. G. Allan] Univ Waikato, Sch Sci, Hamilton, New Zealand; [Green, T. G. Allan; Sancho, Leopoldo G.] Univ Complutense Madrid, Fac Pharm, Dept Pharmacol Pharmacognosy &amp; Bot, Madrid, Spain; [Perez-Ortega, Sergio] Real Jardin Bot CSIC, Plaza Murillo 1, E-28760 Madrid, Spain</t>
  </si>
  <si>
    <t>Consejo Superior de Investigaciones Cientificas (CSIC); CSIC - Real Jardin Botanico de Madrid; University of Valencia; Consejo Superior de Investigaciones Cientificas (CSIC); Complutense University of Madrid; University of Waikato; Complutense University of Madrid; Consejo Superior de Investigaciones Cientificas (CSIC); CSIC - Real Jardin Botanico de Madrid</t>
  </si>
  <si>
    <t>Pérez-Ortega, S (corresponding author), Real Jardin Bot CSIC, Plaza Murillo 1, E-28760 Madrid, Spain.</t>
  </si>
  <si>
    <t>sperezortega@rjb.csic.es</t>
  </si>
  <si>
    <t>Pérez-Ortega, Sergio/G-1257-2016; de los Rios, Asuncion/L-3694-2014; SANCHO, LEOPOLDO/G-9120-2015; Verdu, Miguel/C-4461-2008</t>
  </si>
  <si>
    <t>de los Rios, Asuncion/0000-0002-0266-3516; SANCHO, LEOPOLDO/0000-0002-4751-7475; Verdu, Miguel/0000-0002-9778-7692</t>
  </si>
  <si>
    <t>Spanish Ministry of Science, Innovation and Universities [RYC-2014-16784]; Spanish Ministry of Economy and Competitiveness [PID2019-105469RB-C21, PID2019-105469RB-C22, CTM2009-12838-C04-01, FPUAP2012-3556, PID2019-111527GB-I00]</t>
  </si>
  <si>
    <t>Spanish Ministry of Science, Innovation and Universities(Spanish Government); Spanish Ministry of Economy and Competitiveness(Spanish Government)</t>
  </si>
  <si>
    <t>Spanish Ministry of Science, Innovation and Universities, Grant/Award Number: RYC-2014-16784; Spanish Ministry of Economy and Competitiveness, Grant/Award Number: PID2019-105469RB-C21, PID2019-105469RB-C22, CTM2009-12838-C04-01, FPUAP2012-3556 and PID2019-111527GB-I00</t>
  </si>
  <si>
    <t>1466-822X</t>
  </si>
  <si>
    <t>1466-8238</t>
  </si>
  <si>
    <t>GLOBAL ECOL BIOGEOGR</t>
  </si>
  <si>
    <t>Glob. Ecol. Biogeogr.</t>
  </si>
  <si>
    <t>10.1111/geb.13744</t>
  </si>
  <si>
    <t>Ecology; Geography, Physical</t>
  </si>
  <si>
    <t>U4YZ7</t>
  </si>
  <si>
    <t>WOS:001044279000001</t>
  </si>
  <si>
    <t>Lohrer, AM; Mangan, S; Marriott, P; Budd, R; Bremner, D; Grant, B; Tait, LW</t>
  </si>
  <si>
    <t>Lohrer, Andrew M.; Mangan, Stephanie; Marriott, Peter; Budd, Rod; Bremner, David; Grant, Brett; Tait, Leigh W.</t>
  </si>
  <si>
    <t>Diverse marine benthic communities and reduced anthropogenic contaminants near Scott Base (Hut Point Peninsula, Ross Island, Antarctica)</t>
  </si>
  <si>
    <t>Heavy metals; Community composition; Sediment; Sea ice; Pollution; Coast</t>
  </si>
  <si>
    <t>HEAVY-METAL POLLUTION; MCMURDO SOUND; DAVIS STATION; SEA-ICE; SEDIMENT; PATTERNS; SPONGES; IMPACTS; SCALE; ECOSYSTEMS</t>
  </si>
  <si>
    <t>Antarctic marine ecosystems are largely thought to be among the planet's least impacted, yet habitats adjacent to research stations can be heavily polluted. Despite long-term monitoring and remediation being high priorities for international environmental protection, the ecological responses to contaminants and stressors remains poorly characterised, limiting our ability to manage and reduce human impacts. This study compares epifaunal community composition at two sites close to Scott Base with a reference site further away. We couple these data with environmental characteristics, including current data, sediment properties, and contaminant concentrations within the sediment and in the tissues of two epifaunal species, both from this survey and those previously reported. Previously high concentrations of polychlorinated biphenyls and polyaromatic hydrocarbons are now undetectable and concentrations of heavy metals were mostly similar or reduced compared to previous data from 2002. High within-site variance suggests localised contamination footprints from being situated within a deposition zone and/or from the erosion of anthropogenic debris. Despite the persistence of some metals (arsenic, copper and lead) at one site, our study revealed high biodiversity at all three sites (22-28 taxa per 0.25 m(2)). Benthic community structure was influenced by a combination of factors, including sea ice characteristics, sediment type and habitat complexity. Overall, our study clearly highlights the influence of human activities on the benthos in adjacent marine habitats. The established monitoring protocols coupling diver and remote sampling will enable regular monitoring, filling a critical need for time-series data in order to detect long-term trends and interactions with climate drivers.</t>
  </si>
  <si>
    <t>[Lohrer, Andrew M.; Mangan, Stephanie; Marriott, Peter; Budd, Rod; Bremner, David; Grant, Brett; Tait, Leigh W.] Natl Inst Water &amp; Atmospher Res, Hamilton, New Zealand; [Tait, Leigh W.] Univ Canterbury, Sch Biol Sci, Christchurch, New Zealand</t>
  </si>
  <si>
    <t>National Institute of Water &amp; Atmospheric Research (NIWA) - New Zealand; University of Canterbury</t>
  </si>
  <si>
    <t>Mangan, S (corresponding author), Natl Inst Water &amp; Atmospher Res, Hamilton, New Zealand.</t>
  </si>
  <si>
    <t>stephanie.mangan@niwa.co.nz</t>
  </si>
  <si>
    <t>Mangan, Stephanie/0000-0003-0482-9724; Tait, Leigh/0000-0001-9153-139X</t>
  </si>
  <si>
    <t>Antarctica New Zealand; New Zealand Government's Strategic Science Investment Fund (SSIF)</t>
  </si>
  <si>
    <t>This work was funded by Antarctica New Zealand. Manuscript preparation was supported by the New Zealand Government's Strategic Science Investment Fund (SSIF) to the National Institute for Water &amp; Atmospheric Research (NIWA). Thank you to Vonda Cummings for reviewing a draft of the manuscript, and two anonymous reviewers.</t>
  </si>
  <si>
    <t>10.1007/s00300-023-03181-1</t>
  </si>
  <si>
    <t>AA7Q1</t>
  </si>
  <si>
    <t>WOS:001044299400001</t>
  </si>
  <si>
    <t>Thomas, M; Cate, B; Garnett, J; Smith, IJ; Vancoppenolle, M; Halsall, C</t>
  </si>
  <si>
    <t>Thomas, Max; Cate, Briana; Garnett, Jack; Smith, Inga J.; Vancoppenolle, Martin; Halsall, Crispin</t>
  </si>
  <si>
    <t>The effect of partial dissolution on sea-ice chemical transport: a combined model-observational study using poly- and perfluoroalkylated substances (PFASs)</t>
  </si>
  <si>
    <t>GRAVITY DRAINAGE; GROWTH; PARAMETERIZATION; SALINITY; ISOTOPE; RATES</t>
  </si>
  <si>
    <t>We investigate the effect of partial dissolution on the transport of chemicals in sea ice. Physically plausible mechanisms are added to a brine convection model that decouples chemicals from convecting brine. The model is evaluated against a recent observational dataset where a suite of qualitatively similar chemicals (poly- and perfluoroalkylated substances, PFASs) with quantitatively different physico-chemical properties were frozen into growing sea ice. With no decoupling the model performs poorly - underestimating the measured concentrations of high-chain-length PFASs. A decoupling scheme where PFASs are decoupled from salinity as a constant fraction of their brine concentration and a scheme where decoupling is proportional to the brine salinity give better performance and bring the model into reasonable agreement with observations. A scheme where the decoupling is proportional to the internal sea-ice surface area performs poorly. All decoupling schemes capture a general enrichment of longer-chained PFASs and can produce concentrations in the uppermost sea-ice layers above that of the underlying water concentration, as observed. Our results show that decoupling from convecting brine can enrich chemical concentrations in growing sea ice and can lead to bulk chemical concentrations greater than that of the liquid from which the sea ice is growing. Brine convection modelling is useful for predicting the dynamics of chemicals with more complex behaviour than sea salt, highlighting the potential of these modelling tools for a range of biogeochemical research areas.</t>
  </si>
  <si>
    <t>[Thomas, Max; Cate, Briana; Smith, Inga J.] Univ Otago, Dept Phys, Otepoti Dunedin, New Zealand; [Garnett, Jack; Halsall, Crispin] Univ Lancaster, Lancaster Environm Ctr, Lancaster, England; [Vancoppenolle, Martin] Sorbonne Univ, Inst Pierre Simon Laplace IPSL, Lab Oceanog &amp; Climat LOCEAN, CNRS,IRD,MNHN, Paris, France</t>
  </si>
  <si>
    <t>Lancaster University; Museum National d'Histoire Naturelle (MNHN); Centre National de la Recherche Scientifique (CNRS); Institut de Recherche pour le Developpement (IRD); Sorbonne Universite</t>
  </si>
  <si>
    <t>Thomas, M (corresponding author), Univ Otago, Dept Phys, Otepoti Dunedin, New Zealand.</t>
  </si>
  <si>
    <t>max.thomas@otago.ac.nz</t>
  </si>
  <si>
    <t>Vancoppenolle, Martin/AAA-7711-2022; Halsall, Crispin/D-8135-2014</t>
  </si>
  <si>
    <t>Vancoppenolle, Martin/0000-0002-7573-8582; Halsall, Crispin/0000-0001-8007-9756; Thomas, Max/0000-0002-2327-3664</t>
  </si>
  <si>
    <t>Deep South National Science Challenge (Ministry of Business, Innovation and Employment) [C01X1412]; Antarctic Science Platform's Project 4 - Sea Ice and Carbon Cycle Feedbacks (University of Otago from Victoria University of Wellington's ASP P4 contract) [19424]; Antarctic Science Platform's Project 4 - Sea Ice and Carbon Cycle Feedbacks (Antarctica New Zealand through their Ministry of Business, Innovation and Employment Strategic Science Investment Fund - Programmes Investment Contract) [ANTA1801]; University of Otago Department of Physics 2021 Summer Research Scholarship scheme</t>
  </si>
  <si>
    <t>Deep South National Science Challenge (Ministry of Business, Innovation and Employment); Antarctic Science Platform's Project 4 - Sea Ice and Carbon Cycle Feedbacks (University of Otago from Victoria University of Wellington's ASP P4 contract); Antarctic Science Platform's Project 4 - Sea Ice and Carbon Cycle Feedbacks (Antarctica New Zealand through their Ministry of Business, Innovation and Employment Strategic Science Investment Fund - Programmes Investment Contract); University of Otago Department of Physics 2021 Summer Research Scholarship scheme</t>
  </si>
  <si>
    <t>Max Thomas's time on this research was partly supported by the Deep South National Science Challenge (Ministry of Business, Innovation and Employment contract number C01X1412) and the Antarctic Science Platform's Project 4 - Sea Ice and Carbon Cycle Feedbacks (University of Otago subcontract 19424 from Victoria University of Wellington's ASP P4 contract with Antarctica New Zealand through their Ministry of Business, Innovation and Employment Strategic Science Investment Fund - Programmes Investment Contract, contract number ANTA1801). The University of Otago Department of Physics 2021 Summer Research Scholarship scheme provided financial support for Briana Cate's involvement in this research.</t>
  </si>
  <si>
    <t>10.5194/tc-17-3193-2023</t>
  </si>
  <si>
    <t>O5QU9</t>
  </si>
  <si>
    <t>WOS:001044362500001</t>
  </si>
  <si>
    <t>Ellis-Soto, D; Oliver, RY; Brum-Bastos, V; Demsar, U; Jesmer, B; Long, JA; Cagnacci, F; Ossi, F; Queiroz, N; Hindell, M; Kays, R; Loretto, MC; Mueller, T; Patchett, R; Sims, DW; Tucker, MA; Ropert-Coudert, Y; Rutz, C; Jetz, W</t>
  </si>
  <si>
    <t>Ellis-Soto, Diego; Oliver, Ruth Y.; Brum-Bastos, Vanessa; Demsar, Urska; Jesmer, Brett; Long, Jed A.; Cagnacci, Francesca; Ossi, Federico; Queiroz, Nuno; Hindell, Mark; Kays, Roland; Loretto, Matthias-Claudio; Mueller, Thomas; Patchett, Robert; Sims, David W.; Tucker, Marlee A.; Ropert-Coudert, Yan; Rutz, Christian; Jetz, Walter</t>
  </si>
  <si>
    <t>A vision for incorporating human mobility in the study of human-wildlife interactions</t>
  </si>
  <si>
    <t>CONSERVATION; FOOTPRINT; RESPONSES; TRACKING; FUTURE</t>
  </si>
  <si>
    <t>Wildlife are affected by human movement and static human infrastructure. In this Perspective, the authors propose a 'dynamic human footprint' that incorporates metrics accounting for time-varying human activities. As human activities increasingly shape land- and seascapes, understanding human-wildlife interactions is imperative for preserving biodiversity. Habitats are impacted not only by static modifications, such as roads, buildings and other infrastructure, but also by the dynamic movement of people and their vehicles occurring over shorter time scales. Although there is increasing realization that both components of human activity substantially affect wildlife, capturing more dynamic processes in ecological studies has proved challenging. Here we propose a conceptual framework for developing a 'dynamic human footprint' that explicitly incorporates human mobility, providing a key link between anthropogenic stressors and ecological impacts across spatiotemporal scales. Specifically, the dynamic human footprint integrates a range of metrics to fully acknowledge the time-varying nature of human activities and to enable scale-appropriate assessments of their impacts on wildlife behaviour, demography and distributions. We review existing terrestrial and marine human-mobility data products and provide a roadmap for how these could be integrated and extended to enable more comprehensive analyses of human impacts on biodiversity in the Anthropocene.</t>
  </si>
  <si>
    <t>[Ellis-Soto, Diego; Oliver, Ruth Y.; Jesmer, Brett; Jetz, Walter] Yale Univ, Dept Ecol &amp; Evolutionary Biol, New Haven, CT 06520 USA; [Ellis-Soto, Diego; Oliver, Ruth Y.; Jesmer, Brett; Jetz, Walter] Yale Univ, Ctr Biodivers &amp; Global Change, New Haven, CT 06520 USA; [Oliver, Ruth Y.] Santa Barbara, Bren Sch Environm Sci &amp; Management, Santa Barbara, CA 93106 USA; [Brum-Bastos, Vanessa; Demsar, Urska] Univ St Andrews, Sch Geog &amp; Sustainable Dev, St Andrews, Scotland; [Brum-Bastos, Vanessa] Wroclaw Univ Environm Sci, Inst Geodesy &amp; Geoinformat, Wroclaw, Poland; [Brum-Bastos, Vanessa] Univ Canterbury, Sch Earth &amp; Environm, Christchurch, New Zealand; [Jesmer, Brett] Virginia Tech, Dept Fish &amp; Wildlife Conservat, Blacksburg, VA USA; [Long, Jed A.] Western Univ, Ctr Anim Move, Dept Geog &amp; Environm, London, ON, Canada; [Cagnacci, Francesca; Ossi, Federico] Fdn Edmund Mach, Res &amp; Innovat Ctr, Anim Ecol Unit, San Michele All Adige, Italy; [Cagnacci, Francesca] Natl Biodivers Future Ctr SCARL, Palermo, Italy; [Queiroz, Nuno] Univ Porto, Ctr Invest Biodiversidade &amp; Recursos Genet, BIOPOLIS Program Genom, InBIO Lab Associado,CIBIO, Vairao, Portugal; [Queiroz, Nuno; Sims, David W.] Marine Biol Assoc UK, Plymouth, England; [Hindell, Mark] Univ Tasmania, Inst Marine &amp; Antarctic Studies, Hobart, Tas, Australia; [Hindell, Mark] Univ Tasmania, Antarctic Climate &amp; Ecosyst Cooperat Res Ctr, Hobart, Tas, Australia; [Kays, Roland] North Carolina Museum Nat Sci, Raleigh, NC USA; [Kays, Roland] North Carolina State Univ, Dept Forestry &amp; Environm Resources, Raleigh, NC USA; [Loretto, Matthias-Claudio] Tech Univ Munich, TUM Sch Life Sci, Ecosyst Dynam &amp; Forest Management Grp, Freising Weihenstephan, Germany; [Loretto, Matthias-Claudio] Berchtesgaden Natl Pk, Berchtesgaden, Germany; [Loretto, Matthias-Claudio] Max Planck Inst Anim Behav, Dept Migrat, Radolfzell am Bodensee, Germany; [Mueller, Thomas] Senckenberg Biodivers &amp; Climate Res Ctr SB F, Frankfurt, Germany; [Mueller, Thomas] Goethe Univ, Dept Biol Sci, Frankfurt, Germany; [Patchett, Robert; Rutz, Christian] Univ St Andrews, Ctr Biol Divers, Sch Biol, St Andrews, Scotland; [Sims, David W.] Univ Southampton, Natl Oceanog Ctr Southampton, Ocean &amp; Earth Sci, Southampton, England; [Sims, David W.] Univ Southampton, Ctr Biol Sci, Southampton, England; [Tucker, Marlee A.] Radboud Univ Nijmegen, Radboud Inst Biol &amp; Environm Sci, Dept Environm Sci, Nijmegen, Netherlands; [Ropert-Coudert, Yan] La Rochelle Univ, Ctr Etud Biol Chize, CNRS, Villiers En Bois, France</t>
  </si>
  <si>
    <t>Yale University; Yale University; University of St Andrews; Institute of Geodesy &amp; Cartography; Wroclaw University of Environmental &amp; Life Sciences; University of Canterbury; Virginia Polytechnic Institute &amp; State University; Western University (University of Western Ontario); Fondazione Edmund Mach; Universidade do Porto; Marine Biological Association United Kingdom; University of Tasmania; Antarctic Climate &amp; Ecosystems Cooperative Research Centre (ACE CRC); University of Tasmania; North Carolina State University; Technical University of Munich; Max Planck Society; Goethe University Frankfurt; University of St Andrews; University of Southampton; NERC National Oceanography Centre; University of Southampton; Radboud University Nijmegen; Centre National de la Recherche Scientifique (CNRS)</t>
  </si>
  <si>
    <t>Ellis-Soto, D; Oliver, RY (corresponding author), Yale Univ, Dept Ecol &amp; Evolutionary Biol, New Haven, CT 06520 USA.;Ellis-Soto, D; Oliver, RY (corresponding author), Yale Univ, Ctr Biodivers &amp; Global Change, New Haven, CT 06520 USA.;Oliver, RY (corresponding author), Santa Barbara, Bren Sch Environm Sci &amp; Management, Santa Barbara, CA 93106 USA.</t>
  </si>
  <si>
    <t>diego.ellissoto@yale.edu; rutholiver@ucsb.edu</t>
  </si>
  <si>
    <t>Jetz, Walter/ABF-1517-2020; Cagnacci, Francesca/L-7377-2013; Queiroz, Nuno/G-3850-2010; Mueller, Thomas/A-1740-2014</t>
  </si>
  <si>
    <t>Cagnacci, Francesca/0000-0002-4954-9980; Ellis Soto, Diego/0000-0003-4766-021X; Ossi, Federico/0000-0001-9004-9649; Rutz, Christian/0000-0001-5187-7417; Queiroz, Nuno/0000-0002-3860-7356; Kays, Roland/0000-0002-2947-6665; Hindell, Mark/0000-0002-7823-7185; Patchett, Robert/0000-0003-4105-3136; Long, Jed/0000-0003-3961-3085; da Silva Brum Bastos, Vanessa/0000-0002-5865-0204; Demsar, Urska/0000-0001-7791-2807; Mueller, Thomas/0000-0001-9305-7716</t>
  </si>
  <si>
    <t>Gordon and Betty Moore Foundation [GBMF9881]; National Geographic Society [NGS-82515R-20]; NASA FINESST [80NSSC22K1535]; Yale Institute for Biospheric Studies; NASA [80NSSC21K1182]; Max Planck-Yale Center for Biodiversity Movement and Global Change; NASA Internet of Animals project through Caltech Jet Propulsion Laboratory; IRD Fellowship at Fondation IMeRA, Institute for Advanced Studies at Aix-Marseille Universite; [1675801]</t>
  </si>
  <si>
    <t>Gordon and Betty Moore Foundation(Gordon and Betty Moore Foundation); National Geographic Society(National Geographic Society); NASA FINESST; Yale Institute for Biospheric Studies; NASA(National Aeronautics &amp; Space Administration (NASA)); Max Planck-Yale Center for Biodiversity Movement and Global Change; NASA Internet of Animals project through Caltech Jet Propulsion Laboratory; IRD Fellowship at Fondation IMeRA, Institute for Advanced Studies at Aix-Marseille Universite;</t>
  </si>
  <si>
    <t>This article is a contribution of the COVID-19 Bio-Logging Initiative, which is funded in part by the Gordon and Betty Moore Foundation (GBMF9881) and the National Geographic Society (NGS-82515R-20) (both grants to C.R.) and endorsed by the United Nations Decade of Ocean Science for Sustainable Development. We thank the members of the initiative's steering committee as well as N. C. Harris for helpful discussion and feedback. D.E.-S. acknowledges support from NASA FINESST (80NSSC22K1535) and the Yale Institute for Biospheric Studies. R.K. acknowledges support from NASA (80NSSC21K1182). This research was supported by the Max Planck-Yale Center for Biodiversity Movement and Global Change and also by the NASA Internet of Animals project through Caltech Jet Propulsion Laboratory contract 1675801 (support to W.J.). F.C. contributed to this work partly under the IRD Fellowship 2021-2022 at Fondation IMeRA, Institute for Advanced Studies at Aix-Marseille Universite.</t>
  </si>
  <si>
    <t>10.1038/s41559-023-02125-6</t>
  </si>
  <si>
    <t>FP1J2</t>
  </si>
  <si>
    <t>WOS:001044089900002</t>
  </si>
  <si>
    <t>Yu, LJ; Zhong, SY; Sun, B</t>
  </si>
  <si>
    <t>Yu, Lejiang; Zhong, Shiyuan; Sun, Bo</t>
  </si>
  <si>
    <t>Antarctic sea ice variability linked to three dipole modes of subtropical sea surface temperature in the Southern Hemisphere</t>
  </si>
  <si>
    <t>Antarctica; sea ice variability; subtropical sea surface temperature variability; South Atlantic subtropical dipole; South Pacific subtropical dipole; subtropical Indian Ocean dipole</t>
  </si>
  <si>
    <t>INDIAN-OCEAN SST; ATLANTIC-OCEAN; CIRCULATION; EVENTS; PACIFIC; AMERICA; PRECIPITATION; GENERATION; PATTERNS; ENSO</t>
  </si>
  <si>
    <t>Based on statistical analyses of gridded data over the past four decades (1979-2020), we examined the teleconnection between the variability of the Antarctic sea ice and the leading modes of subtropical sea surface temperature (SST) variability known as the Indian Ocean subtropical dipole (IOSD), the South Atlantic subtropical dipole (SASD) and the South Pacific subtropical dipole (SPSD). We show that the pattern and strength of the teleconnection differ with the SST modes. For each mode, while the regional distributions of significant Antarctic sea ice anomalies are broadly similar throughout the year, the areal extent and the magnitudes of the anomalies display a strong seasonality. Larger areas and magnitudes of significant sea ice anomalies occur in austral winter for the SASD, autumn and spring for the SPSD and non-summer seasons for the IOSD. We demonstrate that the spatial and seasonal variations of the sea ice anomalies associated with each of the three subtropical SST variability modes are largely consistent with the patterns of the anomalous temperature advection and sea ice transport by the anomalous atmospheric circulations induced by planetary wavetrains that are triggered by anomalous convective activities over different regions of subtropical oceans. These relationships between subtropical SST modes and Antarctic sea ice may serve as a valuable reference for predicting seasonal to interannual scale variations of Antarctic sea ice concentrations across each austral season.</t>
  </si>
  <si>
    <t>[Yu, Lejiang; Sun, Bo] Polar Res Inst China, MNR Key Lab Polar Sci, Shanghai, Peoples R China; [Zhong, Shiyuan] Michigan State Univ, Dept Geog Environm &amp; Spatial Sci, E Lansing, MI USA</t>
  </si>
  <si>
    <t>Polar Research Institute of China; Michigan State University</t>
  </si>
  <si>
    <t>Yu, LJ (corresponding author), Polar Res Inst China, MNR Key Lab Polar Sci, Shanghai, Peoples R China.</t>
  </si>
  <si>
    <t>yulejiang@sina.com.cn</t>
  </si>
  <si>
    <t>Li, Xiaoli/JVZ-4089-2024; sun, bo/JFA-9978-2023</t>
  </si>
  <si>
    <t>Yu, Lejiang/0000-0003-0535-1937</t>
  </si>
  <si>
    <t>National Key Ramp;D Program of China [2022YFE0106300, 2018YFA0605701]; Fundamental Research Funds for the Norges Forskningsrad [328886]</t>
  </si>
  <si>
    <t>National Key Ramp;D Program of China; Fundamental Research Funds for the Norges Forskningsrad(Research Council of Norway)</t>
  </si>
  <si>
    <t>National Key Research and Development Program of China, Grant/Award Numbers: 2022YFE0106300, 2018YFA0605701; Fundamental Research Funds for the Norges Forskningsrad, Grant/Award Number: 328886</t>
  </si>
  <si>
    <t>10.1002/joc.8195</t>
  </si>
  <si>
    <t>HK1S4</t>
  </si>
  <si>
    <t>WOS:001044151100001</t>
  </si>
  <si>
    <t>Franke, S; Bons, PD; Streng, K; Mundel, F; Binder, T; Weikusat, I; Bauer, CC; Paden, JD; Dörr, N; Helm, V; Steinhage, D; Eisen, O; Jansen, D</t>
  </si>
  <si>
    <t>Franke, Steven; Bons, Paul D. D.; Streng, Kyra; Mundel, Felicitas; Binder, Tobias; Weikusat, Ilka; Bauer, Catherine C. C.; Paden, John D. D.; Doerr, Nils; Helm, Veit; Steinhage, Daniel; Eisen, Olaf; Jansen, Daniela</t>
  </si>
  <si>
    <t>Three-dimensional topology dataset of folded radar stratigraphy in northern Greenland</t>
  </si>
  <si>
    <t>SCIENTIFIC DATA</t>
  </si>
  <si>
    <t>ANTARCTIC ICE-SHEET; PETERMANN GLACIER; 1ST CHRONOLOGY; HOLOCENE ICE; STREAM; FLOW; PERMITTIVITY; SHELVES; BENEATH; SUSTAIN</t>
  </si>
  <si>
    <t>We present a dataset of reconstructed three-dimensional (3D) englacial stratigraphic horizons in northern Greenland. The data cover four different regions representing key ice-dynamic settings in Greenland: (i) the onset of Petermann Glacier, (ii) a region upstream of the 79 &amp; DEG; North Glacier (Nioghalvfjerdsbr &amp; UAELIG;), near the northern Greenland ice divide, (iii) the onset of the Northeast Greenland Ice Stream (NEGIS) and (iv) a 700 km wide region extending across the central ice divide over the entire northern part of central Greenland. In this paper, we promote the advantages of a 3D perspective of deformed englacial stratigraphy and explain how 3D horizons provide an improved basis for interpreting and reconstructing the ice-dynamic history. The 3D horizons are provided in various formats to allow a wide range of applications and reproducibility of results.</t>
  </si>
  <si>
    <t>[Franke, Steven; Bons, Paul D. D.; Streng, Kyra; Mundel, Felicitas; Weikusat, Ilka; Bauer, Catherine C. C.] Tubingen Univ, Dept Geosci, Tubingen, Germany; [Franke, Steven; Binder, Tobias; Weikusat, Ilka; Doerr, Nils; Helm, Veit; Steinhage, Daniel; Eisen, Olaf; Jansen, Daniela] Helmholtz Ctr Polar &amp; Marine Res, Alfred Wegener Inst, Bremerhaven, Germany; [Bons, Paul D. D.] China Univ Geosci, Sch Earth Sci &amp; Resources, Beijing, Peoples R China; [Paden, John D. D.] Univ Kansas, Ctr Remote Sensing &amp; Integrated Syst CReSIS, Lawrence, KS USA; [Doerr, Nils] Karlsruhe Inst Technol, Karlsruhe, Germany; [Eisen, Olaf] Univ Bremen, Dept Geosci, Bremen, Germany</t>
  </si>
  <si>
    <t>Eberhard Karls University of Tubingen; Helmholtz Association; Alfred Wegener Institute, Helmholtz Centre for Polar &amp; Marine Research; China University of Geosciences; University of Kansas; Helmholtz Association; Karlsruhe Institute of Technology; University of Bremen</t>
  </si>
  <si>
    <t>Franke, S; Bons, PD (corresponding author), Tubingen Univ, Dept Geosci, Tubingen, Germany.;Franke, S (corresponding author), Helmholtz Ctr Polar &amp; Marine Res, Alfred Wegener Inst, Bremerhaven, Germany.;Bons, PD (corresponding author), China Univ Geosci, Sch Earth Sci &amp; Resources, Beijing, Peoples R China.</t>
  </si>
  <si>
    <t>steven.franke@uni-tuebingen.de; paul.bons@uni-tuebingen.de</t>
  </si>
  <si>
    <t>Weikusat, Ilka/E-8826-2015</t>
  </si>
  <si>
    <t>Streng, Kyra/0000-0002-3704-5670; Dorr, Nils/0000-0002-7594-7886; Franke, Steven/0000-0001-8462-4379</t>
  </si>
  <si>
    <t>University of Kansas; NASA Operation IceBridge grant [NNX16AH54G]; NSF [ACI-1443054, OPP-1739003, IIS-1838230]; Lilly Endowment Incorporated; United States (US National Science Foundation, Office of Polar Programs), Germany (Alfred Wegener Institute, Helmholtz Centre for Polar and Marine Research), Japan (National Institute of Polar Research and Arctic Challenge for Sustainability), Norway (Univ; Indiana METACyt Initiative; Denmark (A. P. Moller Foundation, University of Copenhagen); United States (US National Science Foundation, Office of Polar Programs); Germany (Alfred Wegener Institute, Helmholtz Centre for Polar and Marine Research); Japan (National Institute of Polar Research and Arctic Challenge for Sustainability); Norway (University of Bergen and Trond Mohn Foundation); Switzerland (Swiss National Science Foundation); France (French Polar Institute Paul-Emile Victor, Institute for Geosciences and Environmental Research); Canada (University of Manitoba); China (Chinese Academy of Sciences and Beijing Normal University); AWI Strategy fund; Walter Benjamin Programme of the Deutsche Forschungsgemeinschaft (DFG, German Research Foundation) [506043073]; Helmholtz Young Investigator Group [HGF YIG VH-NG-802]; DFG (German Research Foundation) [BA643/1-1]</t>
  </si>
  <si>
    <t>University of Kansas; NASA Operation IceBridge grant; NSF(National Science Foundation (NSF)); Lilly Endowment Incorporated; United States (US National Science Foundation, Office of Polar Programs), Germany (Alfred Wegener Institute, Helmholtz Centre for Polar and Marine Research), Japan (National Institute of Polar Research and Arctic Challenge for Sustainability), Norway (Univ; Indiana METACyt Initiative; Denmark (A. P. Moller Foundation, University of Copenhagen); United States (US National Science Foundation, Office of Polar Programs)(National Science Foundation (NSF)); Germany (Alfred Wegener Institute, Helmholtz Centre for Polar and Marine Research); Japan (National Institute of Polar Research and Arctic Challenge for Sustainability); Norway (University of Bergen and Trond Mohn Foundation); Switzerland (Swiss National Science Foundation)(Swiss National Science Foundation (SNSF)); France (French Polar Institute Paul-Emile Victor, Institute for Geosciences and Environmental Research); Canada (University of Manitoba); China (Chinese Academy of Sciences and Beijing Normal University); AWI Strategy fund; Walter Benjamin Programme of the Deutsche Forschungsgemeinschaft (DFG, German Research Foundation)(German Research Foundation (DFG)); Helmholtz Young Investigator Group; DFG (German Research Foundation)(German Research Foundation (DFG))</t>
  </si>
  <si>
    <t>We thank the crew of the research aircraft Polar6 and system engineers M. Gehrmann and L. Kandora. We acknowledge the use of the CReSIS toolbox and using RES data from CReSIS generated with support from the University of Kansas, NASA Operation IceBridge grant NNX16AH54G, NSF grants ACI-1443054, OPP-1739003 and IIS-1838230, Lilly Endowment Incorporated and Indiana METACyt Initiative. Furthermore, we acknowledge the Academic Software Initiative for using Move for the generation of parts of the data published here. We thank the EGRIP project for logistical support during the EGRIP-NOR-2018 RES campaign. EGRIP is directed and organized by the Centre for Ice and Climate at the Niels Bohr Institute, University of Copenhagen. It is supported by funding agencies and institutions in Denmark (A. P. Moller Foundation, University of Copenhagen), the United States (US National Science Foundation, Office of Polar Programs), Germany (Alfred Wegener Institute, Helmholtz Centre for Polar and Marine Research), Japan (National Institute of Polar Research and Arctic Challenge for Sustainability), Norway (University of Bergen and Trond Mohn Foundation), Switzerland (Swiss National Science Foundation), France (French Polar Institute Paul-Emile Victor, Institute for Geosciences and Environmental Research), Canada (University of Manitoba) and China (Chinese Academy of Sciences and Beijing Normal University). Steven Franke was funded by the AWI Strategy fund and the Walter Benjamin Programme of the Deutsche Forschungsgemeinschaft (DFG, German Research Foundation) - project number: 506043073. Daniela Jansen was funded by the AWI Strategy Fund and the Helmholtz Young Investigator Group HGF YIG VH-NG-802. Catherine C. Bauer was funded by the DFG (German Research Foundation), Grant number BA643/1-1.</t>
  </si>
  <si>
    <t>2052-4463</t>
  </si>
  <si>
    <t>SCI DATA</t>
  </si>
  <si>
    <t>Sci. Data</t>
  </si>
  <si>
    <t>AUG 7</t>
  </si>
  <si>
    <t>10.1038/s41597-023-02339-0</t>
  </si>
  <si>
    <t>O4SS0</t>
  </si>
  <si>
    <t>WOS:001043734100002</t>
  </si>
  <si>
    <t>Canepa, M; Berding, A; Rossi, R; Reason, M; Knuckey, R</t>
  </si>
  <si>
    <t>Canepa, Maximiliano; Berding, Anjanette; Rossi, Ryan; Reason, Matthew; Knuckey, Richard</t>
  </si>
  <si>
    <t>Swim bladder inflation failure and associated spinal deformities in giant grouper Epinephelus lanceolatus</t>
  </si>
  <si>
    <t>AQUACULTURE</t>
  </si>
  <si>
    <t>Queensland groper; Saddleback-like syndrome; Gas bladder; Spinal deformity</t>
  </si>
  <si>
    <t>EUROPEAN FISH LARVAE; RED-SEA BREAM; SKELETAL ANOMALIES; 7-BAND GROUPER; MORPHOLOGICAL DEVELOPMENT; SWIMBLADDER INFLATION; VERTEBRAL COLUMN; MALFORMATION; TEMPERATURE; JUVENILES</t>
  </si>
  <si>
    <t>Giant grouper (Epinephelus lanceolatus, GG) is a valuable aquaculture species in Southeast Asia. Its farming is challenging, and the occurrence of spinal deformities is one of the bottlenecks found in aquaculture production. This study investigated the development of the swim bladder (SB) in GG and a possible causative relationship between failing to inflate the SB and spinal deviations in juvenile fish. The study of the ontogeny of the SB in GG revealed that the organ is connected through the pneumatic duct to the digestive tube from day 4 to day 7 post hatching (DPH). Repeated observations of larvae over this period showed that GG SB inflation period commences on day 5 DPH and lasts until the end of day 7 DPH. However, a proportion of day 7 DPH larvae failed to inflate their SB showing unorganised acidophilic tissue in the lumen of the organ. Assessment of skeletal anomalies in post metamorphic fish (42 DPH) revealed a relationship between the lack of an inflated SB and anomalies in the caudal region; more specifically, the urostyle (p &lt; 0.05). Morphological assessment of juvenile fish showed a direct relationship between the lack of an inflated SB and lordotic/kyphotic anomalies. This was confirmed by X-ray of fish with and without an inflated SB following separation by hypersaline flotation. These findings show that SB inflation failure is the major contributing factor to spinal anomalies in GG. Also, this study described the timing of the SB inflation period in GG and its development.</t>
  </si>
  <si>
    <t>[Canepa, Maximiliano; Berding, Anjanette; Rossi, Ryan; Reason, Matthew; Knuckey, Richard] Co ONE, Grouper Breeding Facil, 9-15 Aumuller St, Cairns, Qld 4870, Australia; [Canepa, Maximiliano] Univ Tasmania, Inst Marine &amp; Antarctic Studies IMAS, Hobart, Tas 7001, Australia</t>
  </si>
  <si>
    <t>University of Tasmania</t>
  </si>
  <si>
    <t>Canepa, M (corresponding author), Univ Tasmania, Inst Marine &amp; Antarctic Studies IMAS, Hobart, Tas 7001, Australia.</t>
  </si>
  <si>
    <t>max.canepa@utas.edu.au</t>
  </si>
  <si>
    <t>Canepa, Maxi/0000-0001-8266-764X</t>
  </si>
  <si>
    <t>0044-8486</t>
  </si>
  <si>
    <t>1873-5622</t>
  </si>
  <si>
    <t>Aquaculture</t>
  </si>
  <si>
    <t>10.1016/j.aquaculture.2023.739963</t>
  </si>
  <si>
    <t>Q1FZ7</t>
  </si>
  <si>
    <t>WOS:001055057500001</t>
  </si>
  <si>
    <t>Mohan, S; Ruchith, RD; Rahul, S; Shanas, PR</t>
  </si>
  <si>
    <t>Mohan, Soumya; Ruchith, R. D.; Rahul, S.; Shanas, P. R.</t>
  </si>
  <si>
    <t>Latent heat flux variability over the tropical Indian Ocean</t>
  </si>
  <si>
    <t>humidity; Indian Ocean dipole; La Nina; latent heat flux; SST</t>
  </si>
  <si>
    <t>AIR-SEA INTERACTION; EL-NINO; BULK PARAMETERIZATION; SURFACE TEMPERATURE; MECHANISMS; DYNAMICS; BUDGET; BASIN; CYCLE; ENSO</t>
  </si>
  <si>
    <t>The seasonal evolution and interannual variability of latent heat flux (LHF) over the tropical Indian Ocean (TIO) region is examined for the period 1980-2019. The seasonal distribution of LHF is dominated by the winter pattern of each hemisphere in the TIO. Climatologically high LHF is mostly confined to the Arabian Sea and Bay of Bengal regions in the north Indian Ocean and the zonal belt between 10 degrees S and 25 degrees S in the south Indian Ocean. Warm and cold phases of El-Nino Southern Oscillation, Indian Ocean Dipole (IOD), and their co-occurrence events leave distinct LHF signatures over the TIO. The LHF anomalies during these events are more profound than pure events with enhanced latent heat loss when the La Nina and negative IOD events coincide. The LHF anomalies associated with the wind-evaporation-SST feedback is prominent when positive IOD co-occur with the El-Nino event. Both the vertical humidity gradient and wind speed changes play substantial roles in driving LHF anomalies during the co-occurring events of NIOD and La Nina.</t>
  </si>
  <si>
    <t>[Mohan, Soumya; Ruchith, R. D.; Shanas, P. R.] CSIR Natl Inst Oceanog, Phys Oceanog Div, Panaji 403004, Goa, India; [Mohan, Soumya] Acad Sci &amp; Innovat Res AcSIR, Gaziabad, India; [Rahul, S.] British Antarctic Survey, Cambridge, England</t>
  </si>
  <si>
    <t>Council of Scientific &amp; Industrial Research (CSIR) - India; CSIR - National Institute of Oceanography (NIO); Academy of Scientific &amp; Innovative Research (AcSIR); UK Research &amp; Innovation (UKRI); Natural Environment Research Council (NERC); NERC British Antarctic Survey</t>
  </si>
  <si>
    <t>Mohan, S (corresponding author), CSIR Natl Inst Oceanog, Phys Oceanog Div, Panaji 403004, Goa, India.</t>
  </si>
  <si>
    <t>soumyamohan866@gmail.com</t>
  </si>
  <si>
    <t>PR, Shanas/0000-0002-7586-0641</t>
  </si>
  <si>
    <t>Institute grant of CSIR-National Institute of Oceanography, Goa, India</t>
  </si>
  <si>
    <t>10.1002/joc.8202</t>
  </si>
  <si>
    <t>WOS:001043533900001</t>
  </si>
  <si>
    <t>Moreira, E; Novillo, M; De Saravia, SG; Barrera-Oro, E</t>
  </si>
  <si>
    <t>Moreira, Eugenia; Novillo, Manuel; Gomez De Saravia, Sergio; Barrera-Oro, Esteban</t>
  </si>
  <si>
    <t>Inter-annual dynamics in the trophic ecology of juveniles of five notothenioid fish species from the South Shetland Islands (Southern Ocean)</t>
  </si>
  <si>
    <t>Antarctic ecosystem; Fish community; Diet composition; Feeding habits; Potter cove</t>
  </si>
  <si>
    <t>POTTER COVE; FOOD-WEB; DIETARY OVERLAP; FEEDING-HABITS; CORIICEPS; WATERS</t>
  </si>
  <si>
    <t>The trophic ecology of several cryonotothenioid species has been well studied, but scarcely on the juvenile fraction of their populations. Particularly, till date the inter-annual variation of the diet composition and feeding habits of these young notothenioid stages has not been explored. Herein, we analysed the trophic ecology of 755 specimens of the species Notothenia rossii, Notothenia coriiceps, Nototheniops nudifrons, Trematomus newnesi and Harpagifer antarcticus, collected in the inshore waters of Potter Cove, South Shetlands Islands, during four consecutive sampling periods from 2008 to 2012. The stomach-content analysis using the IRI % and the Amundsen et al. (1996) methods provided data on feeding habits and trophic niche breadth. Our results indicate that the species are demersal and benthophagous, have a generalized type of feeding strategy and prey chiefly on demersal-benthic amphipods (mainly genus Gondogeneia and Oradarea), and on other epibenthic invertebrates associated with macroalgal beds. Significant differences were observed in the diet of all species between sampling periods, and ontogenetically, only in N. rossii and T. newnesi. According to the estimated trophic levels, the juvenile cryonotothenioids were identified as secondary consumers. Ambush feeding was the predominant feeding behaviour in all species, and in N. rossii and N. coriiceps, also grazing. Likewise, these two fish species exhibited a wider diet diversity than the other notothenioids. Using literature information on the trophic ecology of the late juvenile-adult stages of the same species at Potter Cove, we identified differences and likenesses with our results on the early juvenile-juvenile fraction of the fish community. This study highlights the key role of nearshore areas in the cryonotothenioids life cycle.</t>
  </si>
  <si>
    <t>[Moreira, Eugenia] Inst Antart Argentino, Av 25 Mayo 1143, San Martin, Buenos Aires, Argentina; [Moreira, Eugenia] Consejo Nacl Invest Cient &amp; Tecn, Fac Agron, Lab Biol Func &amp; Biotecnol BIOLAB, UNCPBA,CICPBA,INBIOTEC, Azul, Buenos Aires, Argentina; [Moreira, Eugenia; Novillo, Manuel; Gomez De Saravia, Sergio; Barrera-Oro, Esteban] Consejo Nacl Invest Cient &amp; Tecn CONICET, RA-C1425FQB Godoy Cruz, Buenos Aires, Argentina; [Novillo, Manuel] Consejo Nacl Invest Cient &amp; Tecn, Inst Divers &amp; Ecol Anim IDEA, Av Velez Sarsfield 299, Cordoba, Argentina; [Gomez De Saravia, Sergio; Barrera-Oro, Esteban] Consejo Nacl Invest Cient &amp; Tecn, Div Ictiol, Museo Argentino Ciencias Nat Bernardino Rivadavia, Angel Gallardo 470, Cordoba, Buenos Aires, Argentina</t>
  </si>
  <si>
    <t>Instituto Antartico Argentino; Consejo Nacional de Investigaciones Cientificas y Tecnicas (CONICET); Consejo Nacional de Investigaciones Cientificas y Tecnicas (CONICET); Consejo Nacional de Investigaciones Cientificas y Tecnicas (CONICET); Museo Argentino de Ciencias Naturales Bernardino Rivadavia (MACN); Consejo Nacional de Investigaciones Cientificas y Tecnicas (CONICET)</t>
  </si>
  <si>
    <t>Moreira, E (corresponding author), Inst Antart Argentino, Av 25 Mayo 1143, San Martin, Buenos Aires, Argentina.;Moreira, E (corresponding author), Consejo Nacl Invest Cient &amp; Tecn, Fac Agron, Lab Biol Func &amp; Biotecnol BIOLAB, UNCPBA,CICPBA,INBIOTEC, Azul, Buenos Aires, Argentina.;Moreira, E; Novillo, M (corresponding author), Consejo Nacl Invest Cient &amp; Tecn CONICET, RA-C1425FQB Godoy Cruz, Buenos Aires, Argentina.;Novillo, M (corresponding author), Consejo Nacl Invest Cient &amp; Tecn, Inst Divers &amp; Ecol Anim IDEA, Av Velez Sarsfield 299, Cordoba, Argentina.</t>
  </si>
  <si>
    <t>eugeniamoreira@yahoo.com.ar; jmanuelnovillo@gmail.com</t>
  </si>
  <si>
    <t>MOREIRA, EUGENIA/0000-0002-3704-1696</t>
  </si>
  <si>
    <t>10.1007/s00300-023-03179-9</t>
  </si>
  <si>
    <t>O9IS0</t>
  </si>
  <si>
    <t>WOS:001041895600001</t>
  </si>
  <si>
    <t>Bighetti, GP; Souza, RC; Carvalho, HRA; Silva, CC; Torres, JPM</t>
  </si>
  <si>
    <t>Bighetti, G. P.; Souza, R. C.; Carvalho, H. R. A.; Silva, C. C.; Torres, J. P. M.</t>
  </si>
  <si>
    <t>Feather's Composition of South Polar Skua (Stercorarius maccormicki) Using WDXRF</t>
  </si>
  <si>
    <t>BIOLOGICAL TRACE ELEMENT RESEARCH</t>
  </si>
  <si>
    <t>Antarctic; X-ray fluorescence; Seabird; Trace elements</t>
  </si>
  <si>
    <t>NONDESTRUCTIVE BIOMONITORING TOOL; KING GEORGE ISLAND; TRACE-ELEMENTS; BIRD FEATHERS; ADMIRALTY BAY; MERCURY; COASTAL; CONTAMINATION; EVOLUTION; SEABIRDS</t>
  </si>
  <si>
    <t>This study investigated the feathers' composition of South polar skua (Stercorarius maccormicki) using WDXRF, evaluating the concentration of essential and non-essential elements in the feathers, and dividing it into rachis and barb parts. We collected South polar skuas feathers from Hennequin Point, King George Island, South Shetland, Antarctic Peninsula in January of 2013. Our results show that 18 elements were observed in the composition of the feathers, with a different concentration between the rachis and barbs, qualitatively and quantitatively. Only 3 elements observed were classified as non-essentials but still mostly elements do not have a function described in the literature to the feathers. According to our knowledge, this is the first study that uses this technique to evaluate the concentration of different elements in the feathers. The findings of this study highlight the use of alternative techniques to biomonitoring elements in the ecosystem and bring baseline information for future studies.</t>
  </si>
  <si>
    <t>[Bighetti, G. P.; Torres, J. P. M.] Univ Fed Rio Janeiro, Inst Biofis Carlos Chagas Filho, Rio De Janeiro, RJ, Brazil; [Souza, R. C.; Carvalho, H. R. A.; Silva, C. C.] Univ Estado Amazonas, Grp Crowfoot Metodos Raios X, Manaus, AM, Brazil</t>
  </si>
  <si>
    <t>Universidade do Estado do Amazonas</t>
  </si>
  <si>
    <t>Bighetti, GP (corresponding author), Univ Fed Rio Janeiro, Inst Biofis Carlos Chagas Filho, Rio De Janeiro, RJ, Brazil.</t>
  </si>
  <si>
    <t>gabriel.prohaska@biof.ufrj.br</t>
  </si>
  <si>
    <t>torres, joao/AAI-8390-2021</t>
  </si>
  <si>
    <t>torres, joao/0000-0002-2510-1612</t>
  </si>
  <si>
    <t>0163-4984</t>
  </si>
  <si>
    <t>1559-0720</t>
  </si>
  <si>
    <t>BIOL TRACE ELEM RES</t>
  </si>
  <si>
    <t>Biol. Trace Elem. Res.</t>
  </si>
  <si>
    <t>MAY</t>
  </si>
  <si>
    <t>10.1007/s12011-023-03799-6</t>
  </si>
  <si>
    <t>Biochemistry &amp; Molecular Biology; Endocrinology &amp; Metabolism</t>
  </si>
  <si>
    <t>MW1R2</t>
  </si>
  <si>
    <t>WOS:001042783100001</t>
  </si>
  <si>
    <t>Manfroi, J; Trevisan, C; Dutra, TL; Jasper, A; Carvalho, MD; Aquino, FE; Leppe, M</t>
  </si>
  <si>
    <t>Manfroi, Joseline; Trevisan, Cristine; Dutra, Tania Lindner; Jasper, Andre; Carvalho, Marcelo De Araujo; Aquino, Francisco Eliseu; Leppe, Marcelo</t>
  </si>
  <si>
    <t>Antarctic on fire: Paleo-wildfire events associated with volcanic deposits in the Antarctic Peninsula during the Late Cretaceous (vol 11, 1048754, 2023)</t>
  </si>
  <si>
    <t>Correction</t>
  </si>
  <si>
    <t>Campanian; coniferous wood; King George Island; macroscopic charcoal; pyroclastic flows</t>
  </si>
  <si>
    <t>[Manfroi, Joseline; Trevisan, Cristine; Leppe, Marcelo] Chilean Antarctic Inst INACH, Antarctic &amp; Patagonia Paleobiol Lab, Punta Arenas, Chile; [Manfroi, Joseline; Aquino, Francisco Eliseu] Univ Fed Rio Grande Sul UFRGS, Climat &amp; Polar Ctr, Grad Program Geog, Porto Alegre, Brazil; [Manfroi, Joseline] Univ Sao Paulo, Dept Biol, Paleontol Lab Ribeirao Preto, Sao Paulo, Brazil; [Dutra, Tania Lindner] Univ Vale Do Rio Dos Sinos, Grad Program Geol PPGEO, Sao Leopoldo, Brazil; [Jasper, Andre] Univ Vale Do Taquari Univates, Programa Posgrad Ambiente &amp; Desenvolvimento, PPGAD, Lajeado, Brazil; [Carvalho, Marcelo De Araujo] Univ Fed Rio De Janeiro UFRJ, Dept Geol &amp; Paleontol, Natl Museum, Rio De Janeiro, Brazil</t>
  </si>
  <si>
    <t>Universidade Federal do Rio Grande do Sul; Universidade de Sao Paulo; Universidade do Vale do Rio dos Sinos (Unisinos); Universidade Federal do Rio de Janeiro</t>
  </si>
  <si>
    <t>Manfroi, J (corresponding author), Chilean Antarctic Inst INACH, Antarctic &amp; Patagonia Paleobiol Lab, Punta Arenas, Chile.;Manfroi, J (corresponding author), Univ Fed Rio Grande Sul UFRGS, Climat &amp; Polar Ctr, Grad Program Geog, Porto Alegre, Brazil.;Manfroi, J (corresponding author), Univ Sao Paulo, Dept Biol, Paleontol Lab Ribeirao Preto, Sao Paulo, Brazil.</t>
  </si>
  <si>
    <t>jmanfroi@inach.cl</t>
  </si>
  <si>
    <t>Leppe, Marcelo/L-5447-2014</t>
  </si>
  <si>
    <t>Leppe, Marcelo/0000-0002-1545-8167</t>
  </si>
  <si>
    <t>AUG 4</t>
  </si>
  <si>
    <t>10.3389/feart.2023.1215816</t>
  </si>
  <si>
    <t>P4UW2</t>
  </si>
  <si>
    <t>WOS:001050636400001</t>
  </si>
  <si>
    <t>Fowler, AM; Dowling, NA; Lyle, JM; Alós, J; Anderson, LE; Cooke, SJ; Danylchuk, AJ; Ferter, K; Folpp, H; Hutt, C; Hyder, K; Lew, DK; Lowry, MB; Lynch, TP; Meadows, N; Mugerza, E; Nedreaas, K; Garrone-Neto, D; Ochwada-Doyle, FA; Potts, W; Records, D; Steinback, S; Strehlow, HV; Tracey, SR; Travis, MD; Tsuboi, J; Volstad, JH; Chick, RC</t>
  </si>
  <si>
    <t>Fowler, Ashley M.; Dowling, Natalie A.; Lyle, Jeremy M.; Alos, Josep; Anderson, Leif E.; Cooke, Steven J.; Danylchuk, Andy J.; Ferter, Keno; Folpp, Heath; Hutt, Clifford; Hyder, Kieran; Lew, Daniel K.; Lowry, Michael B.; Lynch, Tim P.; Meadows, Nicholas; Mugerza, Estanis; Nedreaas, Kjell; Garrone-Neto, Domingos; Ochwada-Doyle, Faith A.; Potts, Warren; Records, David; Steinback, Scott; Strehlow, Harry V.; Tracey, Sean R.; Travis, Michael D.; Tsuboi, Jun-ichi; Volstad, Jon Helge; Chick, Rowan C.</t>
  </si>
  <si>
    <t>Toward sustainable harvest strategies for marine fisheries that include recreational fishing</t>
  </si>
  <si>
    <t>FISH AND FISHERIES</t>
  </si>
  <si>
    <t>fisheries management; fishing objectives; harvest strategy components; multi-sector fisheries; recreational experience; sectoral equitability</t>
  </si>
  <si>
    <t>MANAGEMENT; IMPLEMENTATION; RATES; CONSERVATION; WESTERN; GUIDES</t>
  </si>
  <si>
    <t>Recreational fishing (RF) is a large yet undervalued component of fisheries globally. While progress has been made in monitoring, assessing, and managing the sector in isolation, integration of RF into the management of multi-sector fisheries has been limited, particularly relative to the commercial sector. This marginalises recreational fishers and reduces the likelihood of achieving the sector's objectives and, more broadly, achieving fisheries sustainability. We examined the nature and extent of RF inclusion in harvest strategies (HSs) for marine fisheries across 15 regions in 11 nations to define the gap in inclusion that has developed between sectors. We focused on high-income nations with a high level of RF governance and used a questionnaire to elicit expert knowledge on HSs due to the paucity of published documents. In total, 339 HSs were considered. We found that RF inclusion in HSs was more similar to the small-scale sector (i.e., artisanal, cultural, or subsistence) than the commercial sector, with explicit operational objectives, data collection, performance indicators, reference points, and management controls lacking in many regions. Where specified, RF objectives focused on sustainability, economic value and catch allocation rather than directly relating to the recreational fishing experience. Conflicts with other sectors included competition with the commercial sector for limited resources, highlighting the importance of equitable resource allocation policies alongside HSs. We propose that RF be explicitly incorporated into HSs to ensure fisheries are ecologically, economically, and socially sustainable, and we recommend that fisheries organisations urgently review HSs for marine fisheries with a recreational component to close the harvest strategy gap among sectors.</t>
  </si>
  <si>
    <t>[Fowler, Ashley M.; Meadows, Nicholas] Sydney Inst Marine Sci, New South Wales Dept Primary Ind, Mosman, NSW, Australia; [Dowling, Natalie A.] Commonwealth Sci &amp; Ind Res Org CSIRO Oceans &amp; Atmo, Hobart, Tas, Australia; [Lyle, Jeremy M.; Tracey, Sean R.] Univ Tasmania, Inst Marine &amp; Antarctic Studies, Hobart, Tas, Australia; [Alos, Josep] IMEDEA CS UIB, Inst Mediterraneo Estudios Avanzados, Madrid, Spain; [Anderson, Leif E.] Natl Ocean &amp; Atmospher Adm NOAA, Northwest Fisheries Sci Ctr, Seattle, WA USA; [Cooke, Steven J.] Carleton Univ, Inst Environm &amp; Interdisciplinary Sci, Ottawa, ON, Canada; [Cooke, Steven J.] Carleton Univ, Dept Biol, Ottawa, ON, Canada; [Danylchuk, Andy J.] Univ Massachusetts Amherst, Dept Environm Conservat, Amherst, MA USA; [Ferter, Keno] Inst Marine Res, Bergen, Norway; [Folpp, Heath] New South Wales Dept Primary Ind, Coffs Harbour, NSW, Australia; [Hutt, Clifford] Natl Ocean &amp; Atmospher Adm NOAA, NOAA Fisheries Off Sustainable Fisheries, Silver Spring, MD USA; [Hyder, Kieran] Ctr Environm Fisheries &amp; Aquaculture Sci Cefas, Lowestoft, England; [Hyder, Kieran] Univ East Anglia, Sch Environm Sci, Norwich, England; [Lew, Daniel K.] Natl Ocean &amp; Atmospher Adm NOAA, Alaska Fisheries Sci Ctr, Seattle, WA USA; [Lowry, Michael B.] New South Wales Dept Primary Ind, Port Stephens Fisheries Inst, Taylors Beach, NSW, Australia; [Mugerza, Estanis] Basque Res &amp; Technol Alliance BRTA, AZTI, Sustainable Fisheries Management, Sukarrieta, Spain; [Garrone-Neto, Domingos] UNESP Univ Estadual Paulista, Fac Ciencias Agr Vale Ribeira, Lab Ictiol &amp; Conservacao Peixes Neotropicais, Registro, Brazil; [Potts, Warren] Rhodes Univ, Dept Ichthyol &amp; Fisheries Sci, Makhanda, South Africa; [Potts, Warren] South African Inst Aquat Biodivers SAIAB, Makhanda, South Africa; [Records, David; Travis, Michael D.] Natl Ocean &amp; Atmospher Adm NOAA, Southeast Reg Off, St Petersburg, FL USA; [Steinback, Scott] Natl Ocean &amp; Atmospher Adm NOAA, Northeast Fisheries Sci Ctr, Woods Hole, MA USA; [Strehlow, Harry V.] Thunen Inst Balt Sea Fisheries, Rostock, Germany; [Tsuboi, Jun-ichi] Japan Fisheries Res &amp; Educ Agcy, Res Ctr Freshwater Fisheries, Nikko, Japan; [Fowler, Ashley M.] Sydney Inst Marine Sci, New South Wales Dept Primary Ind, 19 Chowder Bay Rd, Mosman, NSW 2088, Australia</t>
  </si>
  <si>
    <t>Sydney Institute of Marine Science; NSW Department of Primary Industries; Commonwealth Scientific &amp; Industrial Research Organisation (CSIRO); University of Tasmania; Consejo Superior de Investigaciones Cientificas (CSIC); ATTITUS Educacao; National Oceanic Atmospheric Admin (NOAA) - USA; Carleton University; Carleton University; University of Massachusetts System; University of Massachusetts Amherst; Institute of Marine Research - Norway; NSW Department of Primary Industries; National Oceanic Atmospheric Admin (NOAA) - USA; Centre for Environment Fisheries &amp; Aquaculture Science; University of East Anglia; National Oceanic Atmospheric Admin (NOAA) - USA; NSW Department of Primary Industries; AZTI; Universidade Estadual Paulista; Rhodes University; National Research Foundation - South Africa; South African Institute for Aquatic Biodiversity; National Oceanic Atmospheric Admin (NOAA) - USA; National Oceanic Atmospheric Admin (NOAA) - USA; Johann Heinrich von Thunen Institute; Japan Fisheries Research &amp; Education Agency (FRA); Sydney Institute of Marine Science; NSW Department of Primary Industries</t>
  </si>
  <si>
    <t>Fowler, AM (corresponding author), Sydney Inst Marine Sci, New South Wales Dept Primary Ind, 19 Chowder Bay Rd, Mosman, NSW 2088, Australia.</t>
  </si>
  <si>
    <t>ashley.fowler@dpi.nsw.gov.au</t>
  </si>
  <si>
    <t>Mugerza, Estanis/JHT-5141-2023; Tracey, Sean/J-7446-2014; Lyle, Jeremy/J-7170-2014; Fowler, Ashley/N-8623-2016; Volstad, Jon Helge/B-7451-2014</t>
  </si>
  <si>
    <t>Mugerza, Estanis/0000-0003-4175-8750; Danylchuk, Andy/0000-0002-8363-0782; Hyder, Kieran/0000-0003-1428-5679; Ferter, Keno/0000-0002-7201-2786; Tracey, Sean/0000-0002-6735-5899; Strehlow, Harry/0000-0001-8765-3845; Lyle, Jeremy/0000-0001-9670-5854; Fowler, Ashley/0000-0003-3075-7066; Volstad, Jon Helge/0000-0001-8738-8543</t>
  </si>
  <si>
    <t>Federal Ministry of Education and Research, Germany [01LC1826B]; Fisheries Research and Development Corporation [FRDC 2019-021]; New South Wales Recreational Fishing Saltwater Trust [RFSWT DPIS050]; United Kingdom Research and Innovation (UKRI) Global Challenges Research Fund (GCRF) [NE/S008950/1]</t>
  </si>
  <si>
    <t>Federal Ministry of Education and Research, Germany(Federal Ministry of Education &amp; Research (BMBF)); Fisheries Research and Development Corporation; New South Wales Recreational Fishing Saltwater Trust; United Kingdom Research and Innovation (UKRI) Global Challenges Research Fund (GCRF)(UK Research &amp; Innovation (UKRI))</t>
  </si>
  <si>
    <t>Federal Ministry of Education and Research, Germany, Grant/Award Number: 01LC1826B; Fisheries Research and Development Corporation, Grant/Award Number: FRDC 2019-021; New South Wales Recreational Fishing Saltwater Trust, Grant/Award Number: RFSWT DPIS050; United Kingdom Research and Innovation (UKRI) Global Challenges Research Fund (GCRF), Grant/Award Number: NE/S008950/1</t>
  </si>
  <si>
    <t>1467-2960</t>
  </si>
  <si>
    <t>1467-2979</t>
  </si>
  <si>
    <t>FISH FISH</t>
  </si>
  <si>
    <t>Fish. Fish.</t>
  </si>
  <si>
    <t>10.1111/faf.12781</t>
  </si>
  <si>
    <t>Fisheries</t>
  </si>
  <si>
    <t>U5HS5</t>
  </si>
  <si>
    <t>WOS:001042855200001</t>
  </si>
  <si>
    <t>Pellizzari, F; De Mello, JPD; Santos-Silva, MC; Osaki, VS; Brandini, FP; Convey, P; Rosa, LH</t>
  </si>
  <si>
    <t>Pellizzari, Franciane; De Mello, Joao Pedro Dos Santos; Santos-Silva, Michelle C.; Osaki, Vanessa Sayuri; Brandini, Frederico Pereira; Convey, Peter; Henrique Rosa, Luiz</t>
  </si>
  <si>
    <t>New records and updated distributional patterns of macroalgae from the South Shetland Islands and northern Weddell Sea, Antarctica</t>
  </si>
  <si>
    <t>biogeography; eastern Antarctic Peninsula; global change; macroecology; seaweed; Southern Ocean</t>
  </si>
  <si>
    <t>BRANSFIELD STRAIT; PENINSULA; DIVERSITY; EVOLUTION; SEAWEEDS; WATERS; ALGAE</t>
  </si>
  <si>
    <t>This study provides new species records (NRs) of macroalgal assemblages present in rocky habitats from the South Shetland Islands (SSI) and north-eastern Antarctic Peninsula (EAP), Weddell Sea. Surveys were conducted during the summers of 2013/2014 to 2017/2018 at Elephant, Deception, Half Moon and Vega islands. Data from the present study and those available in the literature from the western Antarctic Peninsula (WAP) were combined to provide an updated checklist, giving insights into macroecology and potential changes in thermohaline circulation patterns. A total of 48 macroalgal taxa were identified from our sampling, with eight representing NRs to the EAP sector of the Weddell Sea and five representing NRs to the SSI. Statistical differences among the assemblages from the SSI, WAP and EAP were identified. NRs, including opportunistic species and new information about the biogeographical distributions of species reported here, give insights into ecoregional connectivity and environmental changes. This study updates macroalgal diversity records in regions that are currently experiencing the impacts of climate change. Future and ongoing monitoring for conservation purposes is required to detect non-native species, new dispersal pathways and patterns related to thermohaline anomalies in Antarctic waters.</t>
  </si>
  <si>
    <t>[Pellizzari, Franciane; De Mello, Joao Pedro Dos Santos] Parana State Univ UNESPAR Campus Paranagua, Biol Sci Dept, Phycol &amp; Marine Water Qual Lab, Comendador Correa Jr 117, BR-82203280 Paranagua, PR, Brazil; [Santos-Silva, Michelle C.; Osaki, Vanessa Sayuri] Univ Sao Paulo, Inst Biosci, Marine Algae Lab, Sao Paulo, Brazil; [Brandini, Frederico Pereira] Univ Sao Paulo, Oceanog Inst, Sao Paulo, Brazil; [Convey, Peter] British Antarctic Survey, Cambridge, England; [Convey, Peter] Univ Johannesburg, Dept Zool, Johannesburg, South Africa; [Convey, Peter] Biodivers Antarctic &amp; Subantarctic Ecosyst, Santiago, Chile; [Convey, Peter] Cape Horn Int Ctr, Puerto Williams, Chile; [Henrique Rosa, Luiz] Minas Gerais Fed Univ, Microbiol Dept, Belo Horizonte, Brazil</t>
  </si>
  <si>
    <t>Universidade de Sao Paulo; Universidade de Sao Paulo; UK Research &amp; Innovation (UKRI); Natural Environment Research Council (NERC); NERC British Antarctic Survey; University of Johannesburg</t>
  </si>
  <si>
    <t>Pellizzari, F (corresponding author), Parana State Univ UNESPAR Campus Paranagua, Biol Sci Dept, Phycol &amp; Marine Water Qual Lab, Comendador Correa Jr 117, BR-82203280 Paranagua, PR, Brazil.</t>
  </si>
  <si>
    <t>franciane.pellizzari@unespar.edu.br</t>
  </si>
  <si>
    <t>Pellizzari, Franciane M./JLL-6907-2023</t>
  </si>
  <si>
    <t>Santos Silva, Michelle/0000-0002-7534-2131; Pellizzari, Franciane/0000-0003-1877-2570; dos Santos de Mello, Joao Pedro/0000-0001-6166-3287; Brandini, Frederico/0000-0002-3177-4274</t>
  </si>
  <si>
    <t>ConselhoNacional de Desenvolvimento Cientifico e Tecnologico(CNPq); Fundacao Araucaria; Natural Environment Research Council (NERC)</t>
  </si>
  <si>
    <t>ConselhoNacional de Desenvolvimento Cientifico e Tecnologico(CNPq)(Conselho Nacional de Desenvolvimento Cientifico e Tecnologico (CNPQ)); Fundacao Araucaria(Fundacao Araucaria de Apoio ao Desenvolvimento Cientifico e Tecnologico do Estado do Parana FA); Natural Environment Research Council (NERC)(UK Research &amp; Innovation (UKRI)Natural Environment Research Council (NERC))</t>
  </si>
  <si>
    <t>This work was supported by funding from ConselhoNacional de Desenvolvimento Cientifico e Tecnologico(CNPq), and Fundacao Araucaria. PC is supported by Natural Environment Research Council (NERC) core funding to the British Antarctic Survey (BAS)'Biodiversity, Evolution and Adaptation' Team.</t>
  </si>
  <si>
    <t>2023 AUG 4</t>
  </si>
  <si>
    <t>PII S095410202300010X</t>
  </si>
  <si>
    <t>10.1017/S095410202300010X</t>
  </si>
  <si>
    <t>O2TR8</t>
  </si>
  <si>
    <t>WOS:001042401100001</t>
  </si>
  <si>
    <t>Kotta, J; Raudsepp, U; Szava-Kovats, R; Aps, R; Armoskaite, A; Barda, I; Bergström, P; Futter, M; Gröndahl, F; Hargrave, M; Jakubowska, M; Jänes, H; Kaasik, A; Kraufvelin, P; Kovaltchouk, N; Krost, P; Kulikowski, T; Koivupuu, A; Kotta, I; Lees, L; Loite, S; Maljutenko, I; Nylund, G; Paalme, T; Pavia, H; Purina, I; Rahikainen, M; Sandow, V; Visch, W; Yang, B; Barboza, FR</t>
  </si>
  <si>
    <t>Kotta, J.; Raudsepp, U.; Szava-Kovats, R.; Aps, R.; Armoskaite, A.; Barda, I.; Bergstrom, P.; Futter, M.; Grondahl, F.; Hargrave, M.; Jakubowska, M.; Janes, H.; Kaasik, A.; Kraufvelin, P.; Kovaltchouk, N.; Krost, P.; Kulikowski, T.; Koivupuu, A.; Kotta, I.; Lees, L.; Loite, S.; Maljutenko, I.; Nylund, G.; Paalme, T.; Pavia, H.; Purina, I.; Rahikainen, M.; Sandow, V.; Visch, W.; Yang, B.; Barboza, F. R.</t>
  </si>
  <si>
    <t>Assessing the potential for sea-based macroalgae cultivation and its application for nutrient removal in the Baltic Sea (vol 839, 156230, 2022)</t>
  </si>
  <si>
    <t>[Kotta, J.] Univ Tartu, Estonian Marine Inst, Maealuse 14, EE-12618 Tallinn, Estonia; Tallinn Univ Technol, Estonian Maritime Acad, Kopli 101, EE-11712 Tallinn, Estonia; Tallinn Univ Technol, Marine Syst Inst, Ehitajate tee 5, EE-12616 Tallinn, Estonia; Latvian Inst Aquat Ecol, Voleru iela 2, LV-1007 Riga, Latvia; Univ Gothenburg, Dept Marine Sci, Tjarno Marine Lab, Laboratorievagen 10, Stromstad, SE-45296 Tjarno, Sweden; Swedish Univ Agr Sci, Dept Aquat Sci &amp; Assessment, Box 7050, SE-75007 Uppsala, Sweden; KTH Stockholm, Royal Inst Technol, Teknikringen 10B, SE-10044 Stockholm, Sweden; Univ Gothenburg, Sven Loven Ctr Marine Sci, Kristineberg 566, SE-45178 Fiskebackskil, Sweden; Natl Marine Fisheries Res Inst, ul Kollataja 1, PL-81332 Gdynia, Poland; Swedish Univ Agr Sci, Kustlaboratoriet, Skolgatan 6, SE-74242 Oregrund, Sweden; Coastal Res &amp; Management, Tiessenkai 12, D-24159 Kiel, Germany; Univ Turku, Dept Life Technol, Food Chem &amp; Food Dev, Tykistokatu 6, FI-20014 Turku, Finland; Univ Tasmania, Inst Marine &amp; Antarctic Studies, 20 Castray Esplanade,Battery Point, Hobart, TAS 7004, Australia; Aland Univ Appl Sci, PB 1010, AX-221111 Mariehamn, Aland, Finland</t>
  </si>
  <si>
    <t>University of Tartu; Estonian Marine Institute; Tallinn University of Technology; Tallinn University of Technology; University of Gothenburg; Swedish University of Agricultural Sciences; Royal Institute of Technology; University of Gothenburg; National Marine Fisheries Research Institute; Swedish University of Agricultural Sciences; University of Turku; University of Tasmania</t>
  </si>
  <si>
    <t>Kotta, J (corresponding author), Univ Tartu, Estonian Marine Inst, Maealuse 14, EE-12618 Tallinn, Estonia.</t>
  </si>
  <si>
    <t>jonne@sea.ee</t>
  </si>
  <si>
    <t>; Kaasik, Ants/H-2462-2012</t>
  </si>
  <si>
    <t>Armoskaite, Aurelija/0000-0001-8040-5742; Kaasik, Ants/0000-0002-4904-0877; Visch, Wouter/0000-0003-4291-6239; Maljutenko, Ilja/0000-0001-7655-3363</t>
  </si>
  <si>
    <t>10.1016/j.scitotenv.2023.165870</t>
  </si>
  <si>
    <t>Q4ZD4</t>
  </si>
  <si>
    <t>WOS:001057609500001</t>
  </si>
  <si>
    <t>Tagliabue, A; Buck, KN; Sofen, LE; Twining, BS; Aumont, O; Boyd, PW; Caprara, S; Homoky, WB; Johnson, R; König, D; Ohnemus, DC; Sohst, B; Sedwick, P</t>
  </si>
  <si>
    <t>Tagliabue, Alessandro; Buck, Kristen N. N.; Sofen, Laura E. E.; Twining, Benjamin S. S.; Aumont, Olivier; Boyd, Philip W. W.; Caprara, Salvatore; Homoky, William B. B.; Johnson, Rod; Konig, Daniela; Ohnemus, Daniel C. C.; Sohst, Bettina; Sedwick, Peter</t>
  </si>
  <si>
    <t>Authigenic mineral phases as a driver of the upper-ocean iron cycle</t>
  </si>
  <si>
    <t>DISSOLVED IRON; NORTH-ATLANTIC; ORGANIC COMPLEXATION; COLLOIDAL IRON; TRACE-METALS; REMINERALIZATION; PARTICLES; SEAWATER; CARBON; MODEL</t>
  </si>
  <si>
    <t>Iron is important in regulating the ocean carbon cycle(1). Although several dissolved and particulate species participate in oceanic iron cycling, current understanding emphasizes the importance of complexation by organic ligands in stabilizing oceanic dissolved iron concentrations(2-6). However, it is difficult to reconcile this view of ligands as a primary control on dissolved iron cycling with the observed size partitioning of dissolved iron species, inefficient dissolved iron regeneration at depth or the potential importance of authigenic iron phases in particulate iron observational datasets(7-12). Here we present a new dissolved iron, ligand and particulate iron seasonal dataset from the Bermuda Atlantic Time-series Study (BATS) region. We find that upper-ocean dissolved iron dynamics were decoupled from those of ligands, which necessitates a process by which dissolved iron escapes ligand stabilization to generate a reservoir of authigenic iron particles that settle to depth. When this 'colloidal shunt' mechanism was implemented in a global-scale biogeochemical model, it reproduced both seasonal iron-cycle dynamics observations and independent global datasets when previous models failed(13-15). Overall, we argue that the turnover of authigenic particulate iron phases must be considered alongside biological activity and ligands in controlling ocean-dissolved iron distributions and the coupling between dissolved and particulate iron pools.</t>
  </si>
  <si>
    <t>[Tagliabue, Alessandro; Konig, Daniela] Univ Liverpool, Sch Environm Sci, Liverpool, England; [Buck, Kristen N. N.; Caprara, Salvatore] Univ S Florida, Coll Marine Sci, St Petersburg, FL USA; [Buck, Kristen N. N.] Oregon State Univ, Coll Earth Ocean &amp; Atmospher Sci, Corvallis, OR USA; [Sofen, Laura E. E.; Twining, Benjamin S. S.] Bigelow Lab Ocean Sci, East Boothbay, ME USA; [Aumont, Olivier] Sorbonne Univ, LOCEAN, IRD CNRS, MNHN,IPSL, Paris, France; [Boyd, Philip W. W.] Univ Tasmania, Inst Marine &amp; Antarctic Studies, Hobart, Tas, Australia; [Homoky, William B. B.] Univ Leeds, Sch Earth &amp; Environm, Leeds, England; [Johnson, Rod] Bermuda Inst Ocean Sci, St Georges, Bermuda; [Ohnemus, Daniel C. C.] Univ Georgia, Skidaway Inst Oceanog, Dept Marine Sci, Savannah, GA USA; [Sohst, Bettina; Sedwick, Peter] Old Dominion Univ, Dept Ocean &amp; Earth Sci, Norfolk, VA USA; Univ Hawaii Manoa, Sch Ocean &amp; Earth Sci &amp; Technol, Dept Oceanog, Honolulu, HI USA</t>
  </si>
  <si>
    <t>University of Liverpool; State University System of Florida; University of South Florida; Oregon State University; Bigelow Laboratory for Ocean Sciences; Institut de Recherche pour le Developpement (IRD); Sorbonne Universite; Museum National d'Histoire Naturelle (MNHN); University of Tasmania; University of Leeds; Bermuda Institute of Ocean Sciences; University System of Georgia; University of Georgia; Skidaway Institute of Oceanography; Old Dominion University; University of Hawaii System; University of Hawaii Manoa</t>
  </si>
  <si>
    <t>Tagliabue, A (corresponding author), Univ Liverpool, Sch Environm Sci, Liverpool, England.</t>
  </si>
  <si>
    <t>a.tagliabue@liverpool.ac.uk</t>
  </si>
  <si>
    <t>Homoky, Will/JCE-2062-2023; Buck, Kristen/O-3988-2014; Boyd, Philip/J-7624-2014</t>
  </si>
  <si>
    <t>Buck, Kristen/0000-0002-3871-870X; Konig, Daniela/0000-0003-0643-1920; Homoky, William/0000-0002-9562-8591; Sedwick, Peter/0000-0003-0663-8323; Tagliabue, Alessandro/0000-0002-3572-3634; Boyd, Philip/0000-0001-7850-1911; Sofen, Laura/0000-0003-0311-4743</t>
  </si>
  <si>
    <t>NERC [NE/S013547/1]; NSF [OCE-1829844, OCE-1829833, OCE-1829819, OCE-1829777]; DOE Office of Science by Argonne National Laboratory [DE-AC02-06CH11357]</t>
  </si>
  <si>
    <t>NERC(UK Research &amp; Innovation (UKRI)Natural Environment Research Council (NERC)); NSF(National Science Foundation (NSF)); DOE Office of Science by Argonne National Laboratory(United States Department of Energy (DOE))</t>
  </si>
  <si>
    <t>We thank the captains and crews of RV Atlantic Explorer and RV Endeavor and the BATS programme team for their invaluable assistance during the four project cruises. O. Antipova provided assistance in synchrotron data collection and analysis and S. Burns provided assistance with sampling at sea. The model simulations were undertaken on Barkla, part of the High Performance Computing facilities at the University of Liverpool, UK. A.T. and D.K. were supported by NERC award NE/S013547/1; P.S. and B.S. were supported by NSF award OCE-1829833; B.S.T., D.C.O. and L.E.S. were supported by NSF award OCE-1829819; K.N.B. and S.C. were supported by NSF award OCE-1829777; R.J. was supported by NSF award OCE-1829844. This research used resources of the Advanced Photon Source, a U.S. Department of Energy (DOE) Office of Science user facility operated for the DOE Office of Science by Argonne National Laboratory under contract no. DE-AC02-06CH11357.</t>
  </si>
  <si>
    <t>AUG 3</t>
  </si>
  <si>
    <t>10.1038/s41586-023-06210-5</t>
  </si>
  <si>
    <t>O2JI9</t>
  </si>
  <si>
    <t>WOS:001042130400015</t>
  </si>
  <si>
    <t>Ochwada-Doyle, FA; Miles, N; Hughes, JM; Murphy, JJ; Stark, KE; Lowry, MB; West, LD; Taylor, MD</t>
  </si>
  <si>
    <t>Ochwada-Doyle, Faith A.; Miles, Nathan; Hughes, Julian M.; Murphy, Jeffrey J.; Stark, Kate E.; Lowry, Michael B.; West, Laurie D.; Taylor, Matthew D.</t>
  </si>
  <si>
    <t>Interannual variation in a freshwater recreational fishery under the influence of drought, bushfires, floods and a global pandemic</t>
  </si>
  <si>
    <t>angling; cascading hazards; climate change; general linear mixed effects models; inland fisheries; Murray-Darling Basin; natural disasters; telephone-diary surveys</t>
  </si>
  <si>
    <t>CLIMATE-CHANGE; IMPACTS; CONSERVATION; POPULATIONS; RESPONSES; DYNAMICS; SYSTEMS; GROWTH</t>
  </si>
  <si>
    <t>Context As social-ecological systems, recreational fisheries often vary temporally in response to environmental changes affecting ecological processes and human behaviour. Monitoring such variability in this ecosystem service can guide adaptive management measures for sustainability.Aims This novel research for Australian, sought to quantify interannual changes in the freshwater recreational fisheries of five key (i.e. commonly caught) finfish species (Murray cod, Maccullochella peelii; golden perch, Macquaria ambigua; Australian bass, Percalates novemaculeata; brown trout, Salmo trutta; and rainbow trout, Oncorhynchus mykiss) in relation to a series of extreme climate-related events and the COVID-19 pandemic.Methods Annual estimates during 2013-14, 2017-18 and 2019-20 of freshwater fishing effort and catch across New South Wales, Australia, were derived from off-site surveys and compared in relation to a severe drought period, the 'Black Summer' bushfires, widespread flooding and the COVID-19 pandemic, all of which affected fish productivity or human mobility.Key results There were significant declines in fishing effort between 2013-14, the year preceding the extreme environmental events and the pandemic, and 2017-18 and 2019-20. Catch across the five species was also significantly lower in 2019-20. Catch of species such as golden perch and rainbow trout declined from 2013-14 to 2019-20.Conclusions and implications This study can inform adaptive measures against societal and climate-related changes in weather by enabling scientists and managers to identify problematic trends.</t>
  </si>
  <si>
    <t>[Ochwada-Doyle, Faith A.; Hughes, Julian M.] Sydney Inst Marine Sci, New South Wales Dept Primary Ind, Chowder Bay Rd, Mosman, NSW 2088, Australia; [Ochwada-Doyle, Faith A.; Taylor, Matthew D.] Univ New South Wales, Kensington, NSW, Australia; [Miles, Nathan] New South Wales Dept Primary Ind, Narrandera, NSW 2700, Australia; [Murphy, Jeffrey J.] New South Wales Dept Primary Ind, Wollongong, NSW, Australia; [Stark, Kate E.] Univ Tasmania, Inst Marine &amp; Antarctic Studies, Hobart, Tas, Australia; [Lowry, Michael B.; Taylor, Matthew D.] New South Wales Dept Primary Ind, Port Stephens, NSW, Australia; [West, Laurie D.] Kewagama Res, Doonan, Qld, Australia</t>
  </si>
  <si>
    <t>Sydney Institute of Marine Science; NSW Department of Primary Industries; University of New South Wales Sydney; NSW Department of Primary Industries; NSW Department of Primary Industries; University of Tasmania; NSW Department of Primary Industries</t>
  </si>
  <si>
    <t>Ochwada-Doyle, FA (corresponding author), Sydney Inst Marine Sci, New South Wales Dept Primary Ind, Chowder Bay Rd, Mosman, NSW 2088, Australia.</t>
  </si>
  <si>
    <t>faith.doyle@dpi.nsw.gov.au</t>
  </si>
  <si>
    <t>Hughes, Julian/D-2695-2017</t>
  </si>
  <si>
    <t>2023 AUG 3</t>
  </si>
  <si>
    <t>10.1071/MF22142</t>
  </si>
  <si>
    <t>O2HB0</t>
  </si>
  <si>
    <t>WOS:001042069400001</t>
  </si>
  <si>
    <t>Demirbas, A; Karsli, B; Dadi, S; Arabaci, N; Koca, FD; Halici, MG; Ocsoy, I</t>
  </si>
  <si>
    <t>Demirbas, Ayse; Karsli, Baris; Dadi, Seyma; Arabaci, Nihan; Koca, Fatih Dogan; Halici, M. Gokhan; Ocsoy, Ismail</t>
  </si>
  <si>
    <t>Formation of Umbilicaria decussata (Antarctic and Turkey) Extracts Based Nanoflowers with Their Peroxidase Mimic, Dye Degradation and Antimicrobial Properties</t>
  </si>
  <si>
    <t>CHEMISTRY &amp; BIODIVERSITY</t>
  </si>
  <si>
    <t>antimicrobial property; dye degradation; Fenton reaction; peroxidase mimic activity; Umbilicaria decussate</t>
  </si>
  <si>
    <t>HYBRID; IMMOBILIZATION; ENZYMES</t>
  </si>
  <si>
    <t>This work describes a unique and environmentally friendly approach for creating three-dimensional (3D) organic-inorganic flower shaped hybrid nanostructures called nanoflower (NF) by using Umbilicaria decussate (U. decussate) extract and copper ions (Cu2+). U. decussate species were collected from certain place in Antarctic and Turkey and extraction of each species were completed in methanol and water. The U. decussate extracts were used as organic components and Cu2+ acted as inorganic components for formation of U. decussate extracts based hybrid NFs. We rationally used these NFs as novel nanobiocatalyst and antimicrobial agents. These NFs exhibited peroxidase mimic, dye degradation and antimicrobial properties. The NFs were characterized with various techniques. For instance, the morphologies of the NFs were monitored by scanning electron microscope (SEM), presence of elements in the NFs were presented using Energy Dispersive X-Ray Analysis (EDX). Fourier-transform infrared spectroscopy (FT-IR) was used to elucidate corresponding bending and stretching of bonds in the NFs. The NFs acted as effective Fenton agents in the presence of hydrogen peroxide, and we demonstrated their peroxidase-like activity against guaiacol, dye degradation property towards malachite green and antimicrobial activity for Aeromonas hydrophila, Aeromonas sobria, Escherichia coli, Salmonella enterica and Staphylococcus aureus.</t>
  </si>
  <si>
    <t>[Demirbas, Ayse; Karsli, Baris] Recep Tayyip Erdogan Univ, Fac Fisheries, Dept Seafood Proc &amp; Technol, Rize, Turkiye; [Dadi, Seyma; Ocsoy, Ismail] Erciyes Univ, Fac Pharm, Dept Analyt Chem, TR-38039 Kayseri, Turkiye; [Arabaci, Nihan] Cukurova Univ, Fac Arts &amp; Sci, Dept Biol, Adana, Turkiye; [Koca, Fatih Dogan] Erciyes Univ, Fac Vet Med, Dept Aquat Anim &amp; Dis, TR-38039 Kayseri, Turkiye; [Halici, M. Gokhan] Erciyes Univ, Fac Sci, Dept Biol, TR-38039 Kayseri, Turkiye</t>
  </si>
  <si>
    <t>Recep Tayyip Erdogan University; Erciyes University; Cukurova University; Erciyes University; Erciyes University</t>
  </si>
  <si>
    <t>Ocsoy, I (corresponding author), Erciyes Univ, Fac Pharm, Dept Analyt Chem, TR-38039 Kayseri, Turkiye.;Halici, MG (corresponding author), Erciyes Univ, Fac Sci, Dept Biol, TR-38039 Kayseri, Turkiye.</t>
  </si>
  <si>
    <t>mghalici@erciyes.edu.tr; ismailocsoy@eriyes.edu.tr</t>
  </si>
  <si>
    <t>KOCA, Fatih Doğan/AAB-2646-2022; ARABACI, NİHAN/IQU-4109-2023</t>
  </si>
  <si>
    <t>KOCA, Fatih Doğan/0000-0001-9774-3019; KARSLI, Baris/0000-0002-3944-6988; Demirbas, Ayse/0000-0002-7629-3263</t>
  </si>
  <si>
    <t>Scientific and Technological Research Council of Turkey (TUBITAK) [118Z587]</t>
  </si>
  <si>
    <t>Scientific and Technological Research Council of Turkey (TUBITAK)(Turkiye Bilimsel ve Teknolojik Arastirma Kurumu (TUBITAK))</t>
  </si>
  <si>
    <t>The authors are thankful to Erciyes University Nanotechnology Research Center and Technology Research and Implementation Center for assistance with characterization of nanoflowers. This study was supported financially by the Scientific and Technological Research Council of Turkey (TUBITAK; project number: 118Z587).</t>
  </si>
  <si>
    <t>WILEY-V C H VERLAG GMBH</t>
  </si>
  <si>
    <t>WEINHEIM</t>
  </si>
  <si>
    <t>POSTFACH 101161, 69451 WEINHEIM, GERMANY</t>
  </si>
  <si>
    <t>1612-1872</t>
  </si>
  <si>
    <t>1612-1880</t>
  </si>
  <si>
    <t>CHEM BIODIVERS</t>
  </si>
  <si>
    <t>Chem. Biodivers.</t>
  </si>
  <si>
    <t>AUG</t>
  </si>
  <si>
    <t>10.1002/cbdv.202300090</t>
  </si>
  <si>
    <t>W7MT7</t>
  </si>
  <si>
    <t>WOS:001041914300001</t>
  </si>
  <si>
    <t>Nose, T; Rabault, J; Waseda, T; Kodaira, T; Fujiwara, Y; Katsuno, T; Kanna, N; Tateyama, K; Voermans, J; Alekseeva, T</t>
  </si>
  <si>
    <t>Nose, Takehiko; Rabault, Jean; Waseda, Takuji; Kodaira, Tsubasa; Fujiwara, Yasushi; Katsuno, Tomotaka; Kanna, Naoya; Tateyama, Kazutaka; Voermans, Joey; Alekseeva, Tatiana</t>
  </si>
  <si>
    <t>A comparison of an operational wave-ice model product and drifting wave buoy observation in the central Arctic Ocean: investigating the effect of sea-ice forcing in thin ice cover</t>
  </si>
  <si>
    <t>OpenMetBuoy; ARC MFC wave-ice model; neXtSIM sea-ice model; wave-ice interaction; MIZ wave predictability; ice thickness</t>
  </si>
  <si>
    <t>NEXTSIM; SYSTEM</t>
  </si>
  <si>
    <t>A prototype OpenMetBuoy (OMB) was deployed alongside a commercial buoy in the central Arctic Ocean, north of the Laptev Sea, where there are historically no wave observations available. The inter-buoy comparison showed that the OMB measured wave heights and periods accurately, so the buoy data were used to study the predictability of a wave-ice model. The first event we studied was when both buoys observed a sudden decrease in significant wave heights Hm0, which was caused by the change of wind directions from along the ice edge to off-ice wind. The Arctic Ocean Wave Analysis and Forecast wave-ice model product (ARC MFC) underestimated the Hm0 on the account of the fetch being constrained by the inaccurate model representation of an ice tongue. The second case was an on-ice wave event as new ice formed. In this instance, the ARC MFC wave-ice model product largely underestimated the downwind buoy Hm0. Model sea-ice conditions were examined by comparing the ARC MFC sea-ice forcing with the neXtSIM sea-ice model product, and our analysis revealed the ARC MFC did not resolve thin ice thickness distribution for ice types like young and grey ice, typically less than 30 cm. The ARC MFC model's wave dissipation rate has a sea-ice thickness dependence and overestimated wave dissipation in thin ice cover; sea-ice forcing that can resolve the thin thickness distribution is needed to improve the predictability. This study provides an observational insight into better predictions of waves in marginal ice zones when new ice forms.</t>
  </si>
  <si>
    <t>[Nose, Takehiko; Waseda, Takuji; Kodaira, Tsubasa; Fujiwara, Yasushi; Katsuno, Tomotaka] Univ Tokyo, Grad Sch Frontier Sci, Dept Ocean Technol Policy &amp; Environm, Kashiwa, Chiba, Japan; [Rabault, Jean] Norwegian Meteorol Inst, IT Dept, Oslo, Norway; [Fujiwara, Yasushi] Kobe Univ, Grad Sch Maritime Sci, Kobe, Japan; [Kanna, Naoya] Univ Tokyo, Atmosphere &amp; Ocean Res Inst, Kashiwa, Chiba, Japan; [Tateyama, Kazutaka] Kitami Inst Technol, Kitami, Hokkaido, Japan; [Voermans, Joey] Univ Melbourne, Melbourne, Australia; [Alekseeva, Tatiana] Arctic &amp; Antarctic Res Inst, St Petersburg, Russia; [Alekseeva, Tatiana] Space Res Inst, Moscow, Russia; [Nose, Takehiko] Univ Tokyo, Grad Sch Frontier Sci, Dept Ocean Technol Policy &amp; Environm, 5-1-5 Kashiwanoha, Kashiwa, Chiba, Japan</t>
  </si>
  <si>
    <t>University of Tokyo; Norwegian Meteorological Institute; Kobe University; University of Tokyo; Kitami Institute of Technology; University of Melbourne; Melbourne Bioinformatics; Arctic &amp; Antarctic Research Institute; Russian Academy of Sciences; Space Research Institute of the Russian Academy of Sciences; University of Tokyo</t>
  </si>
  <si>
    <t>Nose, T (corresponding author), Univ Tokyo, Grad Sch Frontier Sci, Dept Ocean Technol Policy &amp; Environm, 5-1-5 Kashiwanoha, Kashiwa, Chiba, Japan.</t>
  </si>
  <si>
    <t>tak.nose@edu.k.u-tokyo.ac.jp</t>
  </si>
  <si>
    <t>Waseda, Takuji/F-1445-2019; Alekseeva, Tatiana/K-5879-2015</t>
  </si>
  <si>
    <t>Fujiwara, Yasushi/0000-0003-2797-2072; Alekseeva, Tatiana/0000-0002-1575-8784</t>
  </si>
  <si>
    <t>Arctic Challenge for Sustainability II (ArCS II) Project [19H00801]; JSPS KAKENHI [19H05512, 21K14357, 22H00241]; ArCS II Japan-Russia-Canada International Exchange Program; [JPMXD1420318865]</t>
  </si>
  <si>
    <t>Arctic Challenge for Sustainability II (ArCS II) Project; JSPS KAKENHI(Ministry of Education, Culture, Sports, Science and Technology, Japan (MEXT)Japan Society for the Promotion of ScienceGrants-in-Aid for Scientific Research (KAKENHI)); ArCS II Japan-Russia-Canada International Exchange Program;</t>
  </si>
  <si>
    <t>Drs N. Kanna and K. Tateyama were supported by the ArCS II Japan-Russia-Canada International Exchange Program to participate in the 2021 NABOS expedition. This work was a part of the Arctic Challenge for Sustainability II (ArCS II) Project (program grant no. JPMXD1420318865) . A part of this study was also conducted under JSPS KAKENHI grant nos. JP 19H00801, 19H05512, 21K14357 and 22H00241.</t>
  </si>
  <si>
    <t>AUG 2</t>
  </si>
  <si>
    <t>10.33265/polar.v42.8874</t>
  </si>
  <si>
    <t>Q6SG6</t>
  </si>
  <si>
    <t>WOS:001058796900001</t>
  </si>
  <si>
    <t>Zhang, Y; Xu, JS; Li, GX; Lu, ZY; Jiang, ZX; Zhang, WC; Liu, Y</t>
  </si>
  <si>
    <t>Zhang, Yang; Xu, Jishang; Li, Guangxue; Lu, Zhengyao; Jiang, Zhaoxia; Zhang, Wenchao; Liu, Yong</t>
  </si>
  <si>
    <t>ENSO-like evolution of the tropical Pacific climate mean state and its potential causes since 300ka</t>
  </si>
  <si>
    <t>Late pleistocene; El nino-southern oscillation; Western pacific warm pool; Mg/Ca ratio; Southern ocean; Walker circulation</t>
  </si>
  <si>
    <t>WESTERN EQUATORIAL PACIFIC; INTERTROPICAL CONVERGENCE ZONE; ANTARCTIC INTERMEDIATE WATER; DEEP SOUTHERN-OCEAN; EAST-ASIAN MONSOON; WARM POOL; INDO-PACIFIC; PLANKTONIC-FORAMINIFERA; OXYGEN ISOTOPES; ATMOSPHERIC CO2</t>
  </si>
  <si>
    <t>The tropical Pacific Ocean plays a significant role in climate change, and the El Nino-Southern Oscillation (ENSO) is considered to be closely related to extreme climate phenomenon worldwide. However, the evolution of the ENSO-like patterns in the tropical Pacific during the Pleistocene glacial cycles remains controversial. In this study, we present geochemical indices and a transient model simulation to explore the ENSO-like evolution during the glacial-interglacial cycles and its driving mechanisms. Our results indicate that during the interglacial periods, the Western Pacific Warm Pool (WPWP) is characterized by the modern El Nino-like conditions with relatively decreased precipitation and weakened East Asian Summer Monsoon (EASM). By contrast, the mean state of WPWP during glacial periods is more similar to the modern La Nina-like conditions, with increased precipitation and the intensified of EASM. Spectral analyses showed that the WPWP hydrodynamics were controlled by the earth's orbital parameters through their impacts on ocean circulations. Combined with published data, we find that expansion of water masses formed in the Southern Ocean would change the deep-water redox conditions, subsurface water upwelling and surface productivity in the WPWP, and ultimately influence the ENSO-like conditions through CO2-related Walker Circulation on glacial-interglacial cycles.</t>
  </si>
  <si>
    <t>[Zhang, Yang; Xu, Jishang; Li, Guangxue; Jiang, Zhaoxia; Zhang, Wenchao; Liu, Yong] Ocean Univ China, Frontiers Sci Ctr Deep Ocean Multispheres &amp; Earth, Key Lab Submarine Geosci &amp; Prospecting Tech MOE, Qingdao 266100, Peoples R China; [Zhang, Yang; Xu, Jishang; Li, Guangxue; Jiang, Zhaoxia; Zhang, Wenchao; Liu, Yong] Ocean Univ China, Coll Marine Geosci, Qingdao 266100, Peoples R China; [Lu, Zhengyao] Lund Univ, Dept Phys Geog &amp; Ecosyst Sci, Lund, Sweden; [Xu, Jishang] 238 Songling Rd, Qingdao, Peoples R China</t>
  </si>
  <si>
    <t>Ocean University of China; Ocean University of China; Lund University</t>
  </si>
  <si>
    <t>Xu, JS (corresponding author), 238 Songling Rd, Qingdao, Peoples R China.</t>
  </si>
  <si>
    <t>jishangxu@ouc.edu.cn</t>
  </si>
  <si>
    <t>Li, Guangxue/R-5670-2018; Chen, Yukun/KGK-4521-2024; Wang, Yifan/KDO-8319-2024; yi, cheng/KHC-5004-2024; Wang, Yuhan/KGL-5855-2024; wang, yue/KDO-9209-2024</t>
  </si>
  <si>
    <t>Xu, Jishang/0000-0001-6711-5556</t>
  </si>
  <si>
    <t>Global Change and Air -Sea Interaction Project; Global Change and Air -Sea Interaction Project - Ministry of Natural Resources of China [GASI-02-PAC-CJ15]; National Natural Science Foundation of China [91858203, 42103027, 41976198]; Taishan Scholar grant</t>
  </si>
  <si>
    <t>Global Change and Air -Sea Interaction Project; Global Change and Air -Sea Interaction Project - Ministry of Natural Resources of China; National Natural Science Foundation of China(National Natural Science Foundation of China (NSFC)); Taishan Scholar grant</t>
  </si>
  <si>
    <t>This study is supported by the Global Change and Air -Sea Interaction Project granted by the Ministry of Natural Resources of China (Grant No. GASI-02-PAC-CJ15), the National Natural Science Foundation of China (91858203, 42103027, 41976198), and the Taishan Scholar grant to Guangxue Li. We are grateful to the crew and scientists on the voyage of GASI-02-PAC-CJ15 cruise, who collect the samples of this study. Special thanks to Professor Rui Bao, Haowen Dang and Shuai Zhang for their constructive suggestions. We also thank associate Professor Haoyin Wang and Jin Zhang for helping the foraminifera pick up and clay minerals measurements.</t>
  </si>
  <si>
    <t>10.1016/j.quascirev.2023.108241</t>
  </si>
  <si>
    <t>P7OW9</t>
  </si>
  <si>
    <t>WOS:001052541000001</t>
  </si>
  <si>
    <t>Beck, KK; Nierste, J; Schmidt-Grieb, GM; Lüdtke, E; Naab, C; Held, C; Nehrke, G; Steinhoefel, G; Laudien, J; Richter, C; Wall, M</t>
  </si>
  <si>
    <t>Beck, Kristina K.; Nierste, Jan; Schmidt-Grieb, Gertraud M.; Luedtke, Esther; Naab, Christoph; Held, Christoph; Nehrke, Gernot; Steinhoefel, Grit; Laudien, Juergen; Richter, Claudio; Wall, Marlene</t>
  </si>
  <si>
    <t>Ontogenetic differences in the response of the cold-water coral Caryophyllia huinayensis to ocean acidification, warming and food availability</t>
  </si>
  <si>
    <t>Life stage; Calcification; Somatic growth; Respiration; pH; Aragonite saturation</t>
  </si>
  <si>
    <t>LOPHELIA-PERTUSA; PHYSIOLOGICAL-RESPONSES; DESMOPHYLLUM-DIANTHUS; FLOW VELOCITY; REEF CORAL; CALCIFICATION; GROWTH; DEEP; SEA; TEMPERATURE</t>
  </si>
  <si>
    <t>Cold-water corals (CWCs) are considered vulnerable to environmental changes. However, previous studies have focused on adult CWCs and mainly investigated the short-term effects of single stressors. So far, the effects of environmental changes on different CWC life stages are unknown, both for single and multiple stressors and over long time periods. Therefore, we conducted a six-month aquarium experiment with three life stages of Caryophyllia huinayensis to study their physiological response (survival, somatic growth, calcification and respiration) to the interactive effects of aragonite saturation (0.8 and 2.5), temperature (11 and 15 degrees C) and food availability (8 and 87 &amp; mu;g C L-1). The response clearly differed between life stages and measured traits. Elevated temperature and reduced feeding had the greatest effects, pushing the corals to their physiological limits. Highest mortality was observed in adult corals, while calcification rates decreased the most in juveniles. We observed a three-month delay in response, presumably because energy reserves declined, suggesting that short-term experiments overestimate coral resilience. Elevated summer temperatures and reduced food supply are likely to have the greatest impact on live CWCs in the future, leading to reduced coral growth and population shifts due to delayed juvenile maturation and high adult mortality.</t>
  </si>
  <si>
    <t>[Beck, Kristina K.; Nierste, Jan; Schmidt-Grieb, Gertraud M.; Luedtke, Esther; Naab, Christoph; Held, Christoph; Nehrke, Gernot; Steinhoefel, Grit; Laudien, Juergen; Richter, Claudio; Wall, Marlene] Helmholtz Ctr Polar &amp; Marine Res, Alfred Wegener Inst, Bremerhaven, Germany; [Beck, Kristina K.; Richter, Claudio] Univ Bremen, Bremen, Germany; [Nierste, Jan] Univ Rostock, Rostock, Germany; [Naab, Christoph] Univ Augsburg, Augsburg, Germany; [Wall, Marlene] GEOMAR Helmholtz Ctr Ocean Res, Kiel, Germany; [Beck, Kristina K.] Univ Edinburgh, Edinburgh, Scotland</t>
  </si>
  <si>
    <t>Helmholtz Association; Alfred Wegener Institute, Helmholtz Centre for Polar &amp; Marine Research; University of Bremen; University of Rostock; University of Augsburg; Helmholtz Association; GEOMAR Helmholtz Center for Ocean Research Kiel; University of Edinburgh</t>
  </si>
  <si>
    <t>Beck, KK (corresponding author), Univ Edinburgh, Edinburgh, Scotland.</t>
  </si>
  <si>
    <t>kristina.beck@ed.ac.uk</t>
  </si>
  <si>
    <t>Beck, Kristina/0000-0003-3153-1341</t>
  </si>
  <si>
    <t>AWI through the programme Changing Earth - Sustaining our Future; strategy fund project DACCOR (Deciphering the Antarctic cold-water coral record)</t>
  </si>
  <si>
    <t>We thank Ulrike Holtz, Henning Schroder and Leyla Krebs for help with the preparation of the experiment, Moritz Holtappels for help with the respiration measurements and Ingrid Dohrmann, Ingrid Stimac and Denise Bethke for the nutrient measurements. We thank the scientific SCUBA divers Christopher Brunner, Svantje Gottschlich, Thomas Heran and Erik Wurz for coral sampling. Export permits for C. huinayensis according to the Convention on International Trade in Endangered Species of Wild Fauna and Flora (CITES) were admitted by the Chilean Servicio Nacional de Pesca y Acuicultura (Sernapesca; Permiso CITES No 14CL000003WS, 14CL000014WS, 15CL000004WS) and import permits by the German Federal Agency for Nature Conservation (BfN; E00154/14, E00095/15, E00725/15) . This work was funded by AWI through the programme Changing Earth - Sustaining our Future (Topics 4.2 and 6.1) and the strategy fund project DACCOR (Deciphering the Antarctic cold-water coral record) .</t>
  </si>
  <si>
    <t>NOV 20</t>
  </si>
  <si>
    <t>10.1016/j.scitotenv.2023.165565</t>
  </si>
  <si>
    <t>P7MQ2</t>
  </si>
  <si>
    <t>Green Accepted, hybrid, Green Published</t>
  </si>
  <si>
    <t>WOS:001052482100001</t>
  </si>
  <si>
    <t>Woodroffe, SA; Wake, LM; Kjeldsen, KK; Barlow, NLM; Long, AJ; Kjær, KH</t>
  </si>
  <si>
    <t>Woodroffe, Sarah A.; Wake, Leanne M.; Kjeldsen, Kristian K.; Barlow, Natasha L. M.; Long, Antony J.; Kjaer, Kurt H.</t>
  </si>
  <si>
    <t>Missing sea level rise in southeastern Greenland during and since the Little Ice Age</t>
  </si>
  <si>
    <t>SALT MARSHES; SOUTHERN GREENLAND; NORTH-CAROLINA; MASS-BALANCE; GLACIER; MERCURY; MODEL; SHEET; 20TH-CENTURY; DEGLACIATION</t>
  </si>
  <si>
    <t>The Greenland Ice Sheet has been losing mass at an accelerating rate over the past 2 decades. Understanding ice mass and glacier changes during the preceding several hundred years prior to geodetic measurements is more difficult because evidence of past ice extent in many places was later overridden. Salt marshes provide the only continuous records of relative sea level (RSL) from close to the Greenland Ice Sheet that span the period of time during and since the Little Ice Age (LIA) and can be used to reconstruct ice mass gain and loss over recent centuries. Salt marsh sediments collected at the mouth of Dronning Marie Dal, close to the Greenland Ice Sheet margin in southeastern Greenland, record RSL changes over the past ca. 300 years through changing sediment and diatom stratigraphy. These RSL changes record a combination of processes that are dominated by local and regional changes in Greenland Ice Sheet mass balance during this critical period that spans the maximum of the LIA and 20th-century warming. In the early part of the record (1725-1762 CE) the rate of RSL rise is higher than reconstructed from the closest isolation basin at Timmiarmiut, but between 1762 and 1880 CE the RSL rate is within the error range of the rate of RSL change recorded in the isolation basin. RSL begins to slowly fall around 1880 CE, with a total amount of RSL fall of 0.09 +/- 0.1 m in the last 140 years. Modelled RSL, which takes into account contributions from post-LIA Greenland Ice Sheet glacio-isostatic adjustment (GIA), ongoing deglacial GIA, the global non-ice sheet glacial melt fingerprint, contributions from thermosteric effects, the Antarctic mass loss sea level fingerprint and terrestrial water storage, overpredicts the amount of RSL fall since the end of the LIA by at least 0.5 m. The GIA signal caused by post-LIA Greenland Ice Sheet mass loss is by far the largest contributor to this modelled RSL, and error in its calculation has a large impact on RSL predictions at Dronning Marie Dal. We cannot reconcile the modelled RSL and the salt marsh observations, even when moving the termination of the LIA to 1700 CE and reducing the post-LIA Greenland mass loss signal by 30 %, and a budget residual of + similar to 3 mm yr(-1) since the end of the LIA remains unexplained. This new RSL record backs up other studies that suggest that there are significant regional differences in the timing and magnitude of the response of the Greenland Ice Sheet to the climate shift from the LIA into the 20th century.</t>
  </si>
  <si>
    <t>[Woodroffe, Sarah A.; Long, Antony J.] Univ Durham, Dept Geog, South Rd, Durham DH1 3LE, England; [Wake, Leanne M.] Northumbria Univ, Dept Geog &amp; Environm Sci, Ellison Pl, Newcastle Upon Tyne NE1 8ST, England; [Kjeldsen, Kristian K.] Geol Survey Denmark &amp; Greenland GEUS, DK-1350 Copenhagen K, Denmark; [Barlow, Natasha L. M.] Univ Leeds, Sch Earth &amp; Environm, Leeds LS2 9JT, England; [Kjaer, Kurt H.] Univ Copenhagen, Globe Inst, GeoGenet, DK-1350 Copenhagen K, Denmark</t>
  </si>
  <si>
    <t>Durham University; Northumbria University; Geological Survey Of Denmark &amp; Greenland; University of Leeds; University of Copenhagen</t>
  </si>
  <si>
    <t>Woodroffe, SA (corresponding author), Univ Durham, Dept Geog, South Rd, Durham DH1 3LE, England.</t>
  </si>
  <si>
    <t>s.a.woodroffe@durham.ac.uk</t>
  </si>
  <si>
    <t>Kjeldsen, Kristian Kjellerup/A-9592-2013; Barlow, Natasha/I-1855-2013; Kjaer, Kurt/A-4199-2013</t>
  </si>
  <si>
    <t>Kjeldsen, Kristian Kjellerup/0000-0002-8557-5131; Barlow, Natasha/0000-0002-2713-2543; Woodroffe, Sarah/0000-0002-4003-3435; Kjaer, Kurt/0000-0002-8871-5179</t>
  </si>
  <si>
    <t>X_Centuries project - Danish Council for Independent Research (FNU) [DFF-0602-02526B]</t>
  </si>
  <si>
    <t>X_Centuries project - Danish Council for Independent Research (FNU)</t>
  </si>
  <si>
    <t>This work was part of the X_Centuries project funded by the Danish Council for Independent Research (FNU) (grant no. DFF-0602-02526B).</t>
  </si>
  <si>
    <t>10.5194/cp-19-1585-2023</t>
  </si>
  <si>
    <t>O1HZ0</t>
  </si>
  <si>
    <t>WOS:001041411600001</t>
  </si>
  <si>
    <t>Troshichev, OA</t>
  </si>
  <si>
    <t>Troshichev, O. A.</t>
  </si>
  <si>
    <t>PC Index as a Ground-Based Indicator of the Solar Wind Energy Incoming into the Magnetosphere: (2) Relation of PC Index to Magnetic Disturbances</t>
  </si>
  <si>
    <t>SURVEYS IN GEOPHYSICS</t>
  </si>
  <si>
    <t>Solar wind; Magnetosphere interaction; Magnetosphere field-aligned currents; Magnetic activity in polar caps; PC index; Magnetic storms and substorms</t>
  </si>
  <si>
    <t>FIELD-ALIGNED CURRENTS; POLAR-CAP; ELECTRIC-FIELDS; CURRENT-SYSTEMS; GROWTH-PHASE; MAGNETOTAIL; PARAMETERS; PARTICLES; INPUT; CUSP</t>
  </si>
  <si>
    <t>The paper summarizes the issues related to relationships between the PC index and magnetic disturbances: threshold level of the PC index required for the disturbances beginning, delay time in response of magnetic substorms and storms to the PC index growth, relation of PC index to magnetospheric field-aligned currents in course of substorm, different types of magnetic substorms (isolated, expanded, delayed, sawtooth) and magnetic storms (classic, pulsed and composite) and their relation to different regularities in the PC index alterations, linear dependence of the substorm and storm intensities on value of the preceding of PC index, special features of magnetic activity in the winter and summer polar caps, variations of PC index and magnetic disturbances in course of the 23/24 solar activity cycles. New aspects that have arisen due to the PC index application are concerned with the threshold-dependent mode of the substorm development and regular repeateness of sawtooth substorms occurring under conditions of steady powerful E-KL field. The experimental results examined in the paper are indicative that the PC index serves as an indicator of the solar wind energy which comes in the magnetosphere and then realizes in the form of magnetosphere disturbances. This paper follows the review of Troshichev (Front Astron Space Sci 9:1069470, 2022), where the relationships between the solar wind electric field E-KL and PC index have been examined.</t>
  </si>
  <si>
    <t>[Troshichev, O. A.] Arctic &amp; Antarctic Res Inst, St Petersburg, Russia</t>
  </si>
  <si>
    <t>Troshichev, OA (corresponding author), Arctic &amp; Antarctic Res Inst, St Petersburg, Russia.</t>
  </si>
  <si>
    <t>olegtro@aari.ru</t>
  </si>
  <si>
    <t>Troshichev, Oleg/P-3848-2015</t>
  </si>
  <si>
    <t>Troshichev, Oleg/0000-0002-7887-9831</t>
  </si>
  <si>
    <t>0169-3298</t>
  </si>
  <si>
    <t>1573-0956</t>
  </si>
  <si>
    <t>SURV GEOPHYS</t>
  </si>
  <si>
    <t>Surv. Geophys.</t>
  </si>
  <si>
    <t>FEB</t>
  </si>
  <si>
    <t>10.1007/s10712-023-09799-4</t>
  </si>
  <si>
    <t>FV0P5</t>
  </si>
  <si>
    <t>WOS:001041443600001</t>
  </si>
  <si>
    <t>Wang, C; Zhu, WJ; Ding, HT; Liu, NH; Cao, HY; Suo, CL; Liu, ZK; Zhang, Y; Sun, ML; Fu, HH; Li, CY; Chen, XL; Zhang, YZ; Wang, P</t>
  </si>
  <si>
    <t>Wang, Chen; Zhu, Wen-jing; Ding, Hai-tao; Liu, Ning-hua; Cao, Hai-yan; Suo, Chuan-lei; Liu, Ze-kun; Zhang, Yi; Sun, Mei-ling; Fu, Hui-hui; Li, Chun -yang; Chen, Xiu-lan; Zhang, Yu-Zhong; Wang, Peng</t>
  </si>
  <si>
    <t>Structural and molecular basis for urea recognition by Prochlorococcus</t>
  </si>
  <si>
    <t>TRANSPORT; CHANNEL</t>
  </si>
  <si>
    <t>Nitrogen (N) is an essential element for microbial growth and metabolism. The growth and reproduction of microorganisms in more than 75% of areas of the ocean are limited by N. Prochlorococcus is numerically the most abundant photosynthetic organism on the planet. Urea is an important and efficient N source for Prochlorococcus. However, how Prochlorococcus recognizes and absorbs urea still remains unclear. Prochlorococcus marinus MIT 9313, a typical Cyanobacteria , contains an ABC -type transporter, UrtABCDE, which may account for the transport of urea. Here, we heterologously expressed and purified UrtA, the substrate -binding protein of UrtABCDE, detected its binding affinity toward urea, and further determined the crystal structure of the UrtA/urea complex. Molecular dynamics simulations indicated that UrtA can alternate between open and closed states for urea binding. Based on structural and biochemical analyses, the molecular mechanism for urea recognition and binding was proposed. When a urea molecule is bound, UrtA undergoes a state change from open to closed surrounding the urea molecule, and the urea molecule is further stabilized by the hydrogen bonds supported by the conserved residues around it. Moreover, bioinformatics analysis showed that ABC -type urea transporters are widespread in bacteria and probably share similar urea recognition and binding mechanisms as UrtA from P. marinus MIT 9313. Our study provides a better understanding of urea absorption and utilization in marine bacteria.</t>
  </si>
  <si>
    <t>[Wang, Chen; Zhu, Wen-jing; Cao, Hai-yan; Suo, Chuan-lei; Zhang, Yi; Sun, Mei-ling; Fu, Hui-hui; Li, Chun -yang; Zhang, Yu-Zhong; Wang, Peng] Ocean Univ China, Frontiers Sci Ctr Deep Ocean Multispheres &amp; Earth, MOE Key Lab Evolut &amp; Marine Biodivers, Qingdao, Peoples R China; [Wang, Chen; Zhu, Wen-jing; Cao, Hai-yan; Suo, Chuan-lei; Zhang, Yi; Sun, Mei-ling; Fu, Hui-hui; Li, Chun -yang; Zhang, Yu-Zhong; Wang, Peng] Ocean Univ China, Coll Marine Life Sci, Qingdao, Peoples R China; [Wang, Chen; Zhu, Wen-jing; Liu, Ning-hua; Liu, Ze-kun; Chen, Xiu-lan] Shandong Univ, State Key Lab Microbial Technol, Qingdao, Peoples R China; [Wang, Chen; Zhu, Wen-jing; Cao, Hai-yan; Li, Chun -yang; Chen, Xiu-lan; Zhang, Yu-Zhong; Wang, Peng] Pilot Natl Lab Marine Sci &amp; Technol, Lab Marine Biol &amp; Biotechnol, Qingdao, Peoples R China; [Ding, Hai-tao] Polar Res Inst China, Antarctic Great Wall Ecol Natl Observat &amp; Res Stn, Shanghai, Peoples R China; [Chen, Xiu-lan; Zhang, Yu-Zhong] Shandong Univ, Marine Biotechnol Res Ctr, State Key Lab Microbial Technol, Qingdao, Peoples R China</t>
  </si>
  <si>
    <t>Ocean University of China; Ocean University of China; Shandong University; Laoshan Laboratory; Polar Research Institute of China; Shandong University</t>
  </si>
  <si>
    <t>Wang, P (corresponding author), Ocean Univ China, Frontiers Sci Ctr Deep Ocean Multispheres &amp; Earth, MOE Key Lab Evolut &amp; Marine Biodivers, Qingdao, Peoples R China.;Wang, P (corresponding author), Ocean Univ China, Coll Marine Life Sci, Qingdao, Peoples R China.;Wang, P (corresponding author), Pilot Natl Lab Marine Sci &amp; Technol, Lab Marine Biol &amp; Biotechnol, Qingdao, Peoples R China.</t>
  </si>
  <si>
    <t>wangpeng3331@ouc.edu.cn</t>
  </si>
  <si>
    <t>Li, Chun-Yang/JBS-2194-2023; Liu, Ze-Kun/HTL-3292-2023; Zhu, Wenjing/HDL-9239-2022</t>
  </si>
  <si>
    <t>Li, Chun-Yang/0000-0002-1151-4897; Wang, Chen/0000-0002-5255-8650</t>
  </si>
  <si>
    <t>National Key Research and Development Program of China [2022YFC2807500]; National Science Foundation of China [32170127, U2006205, 42276102, 92251303, 31961133016]; Fundamental Research Funds for the Central Universities [202141006, 202172002, 202041011]; Program of Shandong for Taishan Scholars [tspd20181203]</t>
  </si>
  <si>
    <t>National Key Research and Development Program of China; National Science Foundation of China(National Natural Science Foundation of China (NSFC)); Fundamental Research Funds for the Central Universities(Fundamental Research Funds for the Central Universities); Program of Shandong for Taishan Scholars</t>
  </si>
  <si>
    <t>This work was supported by the National Key Research and Development Program of China (2022YFC2807500) , the National Science Foundation of China (grants 32170127, U2006205, 42276102, 92251303, 31961133016) , the Fundamental Research Funds for the Central Universities (202141006, 202172002, 202041011) , the Program of Shandong for Taishan Scholars (tspd20181203) .</t>
  </si>
  <si>
    <t>10.1016/j.jbc.2023.104958</t>
  </si>
  <si>
    <t>HU4E1</t>
  </si>
  <si>
    <t>WOS:001161998500001</t>
  </si>
  <si>
    <t>Loose, B; Stammerjohn, S; Sedwick, P; Ackley, S</t>
  </si>
  <si>
    <t>Loose, Brice; Stammerjohn, Sharon; Sedwick, Peter; Ackley, Stephen</t>
  </si>
  <si>
    <t>Sea Ice Formation, Glacial Melt and the Solubility Pump Boundary Conditions in the Ross Sea</t>
  </si>
  <si>
    <t>solubility pump; polynya; dense shelf water; noble gases; air/sea exchange</t>
  </si>
  <si>
    <t>Seasonal formation of Dense Shelf Water (DSW) in the Ross Sea is a direct precursor to Antarctic Bottom Water, which fills the deep ocean with atmospheric gases in what composes the southern limb of the solubility pump. Measurements of seawater noble gas concentrations during katabatic wind events in two Ross Sea polynyas reveal the physical processes that determine the boundary value properties for DSW. This decomposition reveals 5-6 g kg(-1) of glacial meltwater in DSW and sea-ice production rates of up to 14 m yr(-1) within the Terra Nova Bay polynya. Despite winds upwards of 35 m s(-1 )during the observations, air bubble injection had a minimal contribution to gas exchange, accounting for less than 0.01 mu mols kg(-1 )of argon in seawater. This suggests the slurry of frazil ice and seawater at the polynya surface inhibits air-sea exchange. Most noteworthy is the revelation that sea-ice formation and glacial melt contribute significantly to the ventilation of DSW, restoring 10% of the gas deficit for krypton, 24% for argon, and 131% for neon, while diffusive gas exchange contributes the remainder. These measurements reveal a cryogenic component to the solubility pump and demonstrate that while sea ice blocks air-sea exchange, sea ice formation and glacial melt partially offset this effect via addition of gases. While polynyas are a small surface area, they represent an important ventilation site within the southern-overturning cell, suggesting that ice processes both enhance and hinder the solubility pump.</t>
  </si>
  <si>
    <t>[Loose, Brice] Univ Rhode Isl, Grad Sch Oceanog, Narragansett, RI 02882 USA; [Stammerjohn, Sharon] Univ Colorado, Inst Arctic &amp; Alpine Res, Boulder, CO USA; [Sedwick, Peter] Old Dominion Univ, Dept Ocean &amp; Earth Sci, Norfolk, VA USA; [Ackley, Stephen] Univ Texas San Antonio, Ctr Adv Measurements Extreme Environm, San Antonio, TX USA</t>
  </si>
  <si>
    <t>University of Rhode Island; University of Colorado System; University of Colorado Boulder; Old Dominion University; University of Texas System; University of Texas at San Antonio (UTSA)</t>
  </si>
  <si>
    <t>Loose, B (corresponding author), Univ Rhode Isl, Grad Sch Oceanog, Narragansett, RI 02882 USA.</t>
  </si>
  <si>
    <t>bloose@uri.edu</t>
  </si>
  <si>
    <t>STAMMERJOHN, SHARON/0000-0002-1697-8244; Ackley, Stephen/0000-0003-4399-9232</t>
  </si>
  <si>
    <t>This work was supported by the National Science Foundation Awards ANT-1341630 (B. Loose), ANT-1341717 (S.F.Ackley), ANT-1341606 (S. Stammerjohn), ANT-1543483 (P. Sedwick). The authors are grateful for the thoughtful suggestions of Frank Pavia and three ano [ANT-1341630, ANT-1341717, ANT-1341606, ANT-1543483]; National Science Foundation</t>
  </si>
  <si>
    <t>This work was supported by the National Science Foundation Awards ANT-1341630 (B. Loose), ANT-1341717 (S.F.Ackley), ANT-1341606 (S. Stammerjohn), ANT-1543483 (P. Sedwick). The authors are grateful for the thoughtful suggestions of Frank Pavia and three ano; National Science Foundation(National Science Foundation (NSF))</t>
  </si>
  <si>
    <t>This work was supported by the National Science Foundation Awards ANT-1341630 (B. Loose), ANT-1341717 (S.F.Ackley), ANT-1341606 (S. Stammerjohn), ANT-1543483 (P. Sedwick). The authors are grateful for the thoughtful suggestions of Frank Pavia and three anonymous reviewers, which lead us to include a discussion and quantification of the diffusive gas exchange, among other significant improvements to the manuscript. The authors would like to thank the staff of the Antarctic Support Contractor for their efforts to gather high quality data in the challenging environment of the Ross Sea in late Fall.</t>
  </si>
  <si>
    <t>e2022JC019322</t>
  </si>
  <si>
    <t>10.1029/2022JC019322</t>
  </si>
  <si>
    <t>AC5E6</t>
  </si>
  <si>
    <t>WOS:001116267300002</t>
  </si>
  <si>
    <t>Bakunov, NA; Bolshiyanov, DY; Aksenov, AO; Makarov, AS</t>
  </si>
  <si>
    <t>Bakunov, N. A.; Bolshiyanov, D. Yu.; Aksenov, A. O.; Makarov, A. S.</t>
  </si>
  <si>
    <t>On Global 137Cs Diffusion in Bottom Sediments of Northern Seas</t>
  </si>
  <si>
    <t>RADIOCHEMISTRY</t>
  </si>
  <si>
    <t>Cs-137; northern seas; bottom sediments; migration; diffusion coefficient; radioactive waste</t>
  </si>
  <si>
    <t>In bottom sediments (BSs) of the Laptev and Kara Seas, Cs-137 migrated for similar to 30 years with diffusion coefficients (D) nx(10(-9)-10(-8)) cm(2)/s. In the sediment profile between the soil layers, the Cs-137 concentration gradient was preserved. The trend of decreasing concentration from the upper to the lower layers of the core was not violated along the entire path of radionuclide migration. Cs-137 migrated into the BS slowly. About 20% of Cs-137 remained in the upper (0-1 cm) soil layer. In the Tsivolki Bay of the Novaya Zemlya Archipelago Cs-137 migrated at an extremely low temperature of (-1.0 -1.2)degrees C of the bottom waters and soils. The Cs-137 concentration in the upper (0-1 cm) layer of the Laptev Sea and Tsivolki Bay sediments was characterized by close values, 7-18 Bq/kg and 14-24 Bq/kg, corresponding to the global level of soil contamination. The Tsivolki Bay is ice-covered for 10 months. Cs-137 profile in BS cores was formed due to radionuclide diffusion in conditions of a short warm period of terrigenic sedimentation. Cs-137 concentration in the bay sediments and the type of the concentration profile in the cores demonstrated an absence of radionuclide release from buried radioactive objects in the bay. Cs-137 diffusion coefficients determination computed with experimental data will be necessary in models of radionuclide migration in water bodies and scientifically supported measures to minimize damage from the impact of the radiation factor.</t>
  </si>
  <si>
    <t>[Bakunov, N. A.; Bolshiyanov, D. Yu.; Aksenov, A. O.; Makarov, A. S.] Arctic &amp; Antarctic Res Inst, St Petersburg 199397, Russia</t>
  </si>
  <si>
    <t>Aksenov, AO (corresponding author), Arctic &amp; Antarctic Res Inst, St Petersburg 199397, Russia.</t>
  </si>
  <si>
    <t>aksenov2801@gmail.com</t>
  </si>
  <si>
    <t>Аксенов, Алексей/T-5712-2017</t>
  </si>
  <si>
    <t>Аксенов, Алексей/0000-0002-4950-4571</t>
  </si>
  <si>
    <t>PLEIADES PUBLISHING INC</t>
  </si>
  <si>
    <t>PLEIADES HOUSE, 7 W 54 ST, NEW YORK, NY, UNITED STATES</t>
  </si>
  <si>
    <t>1066-3622</t>
  </si>
  <si>
    <t>1608-3288</t>
  </si>
  <si>
    <t>RADIOCHEMISTRY+</t>
  </si>
  <si>
    <t>Radiochemistry</t>
  </si>
  <si>
    <t>10.1134/S1066362223040100</t>
  </si>
  <si>
    <t>Chemistry, Analytical; Chemistry, Inorganic &amp; Nuclear</t>
  </si>
  <si>
    <t>Chemistry</t>
  </si>
  <si>
    <t>W2TJ7</t>
  </si>
  <si>
    <t>WOS:001090202800010</t>
  </si>
  <si>
    <t>Nisbet, EG; Manning, MR; Dlugokencky, EJ; Michel, SE; Lan, X; Röckmann, T; van der Gon, HACD; Schmitt, J; Palmer, PI; Dyonisius, MN; Oh, Y; Fisher, RE; Lowry, D; France, JL; White, JWC; Brailsford, G; Bromley, T</t>
  </si>
  <si>
    <t>Nisbet, Euan G.; Manning, Martin R.; Dlugokencky, Ed J.; Michel, Sylvia Englund; Lan, Xin; Rockmann, Thomas; van der Gon, Hugo A. C. Denier; Schmitt, Jochen; Palmer, Paul I.; Dyonisius, Michael N.; Oh, Youmi; Fisher, Rebecca E.; Lowry, David; France, James L.; White, James W. C.; Brailsford, Gordon; Bromley, Tony</t>
  </si>
  <si>
    <t>Atmospheric Methane: Comparison Between Methane's Record in 2006-2022 and During Glacial Terminations</t>
  </si>
  <si>
    <t>atmospheric methane growth driven by biogenic sources; sudden global climate change; glacial; interglacial comparison</t>
  </si>
  <si>
    <t>ABRUPT CLIMATE-CHANGE; ISOTOPIC COMPOSITION; GROWTH-RATE; CO2 FERTILIZATION; GLOBAL INVENTORY; NITROUS-OXIDE; FOSSIL-FUEL; ICE; EMISSIONS; CH4</t>
  </si>
  <si>
    <t>Atmospheric methane's rapid growth from late 2006 is unprecedented in the observational record. Assessment of atmospheric methane data attributes a large fraction of this atmospheric growth to increased natural emissions over the tropics, which appear to be responding to changes in anthropogenic climate forcing. Isotopically lighter measurements of delta(13)C(CH4 )are consistent with the recent atmospheric methane growth being mainly driven by an increase in emissions from microbial sources, particularly wetlands. The global methane budget is currently in disequilibrium and new inputs are as yet poorly quantified. Although microbial emissions from agriculture and waste sources have increased between 2006 and 2022 by perhaps 35 Tg/yr, with wide uncertainty, approximately another 35-45 Tg/yr of the recent net growth in methane emissions may have been driven by natural biogenic processes, especially wetland feedbacks to climate change. A model comparison shows that recent changes may be comparable or greater in scale and speed than methane's growth and isotopic shift during past glacial/interglacial termination events. It remains possible that methane's current growth is within the range of Holocene variability, but it is also possible that methane's recent growth and isotopic shift may indicate a large-scale reorganization of the natural climate and biosphere is under way.</t>
  </si>
  <si>
    <t>[Nisbet, Euan G.; France, James L.] Royal Holloway Univ London, Dept Earth Sci, Egham, England; [Manning, Martin R.] Victoria Univ Wellington, Sch Geog Environm &amp; Earth Sci, Waikanae, New Zealand; [Dlugokencky, Ed J.; Lan, Xin; Oh, Youmi] NOAA Global Monitoring Lab, Boulder, CO USA; [Michel, Sylvia Englund] Univ Colorado Boulder, Inst Arctic &amp; Alpine Res, Boulder, CO USA; [Lan, Xin; Oh, Youmi] Univ Colorado Boulder, Cooperat Inst Res Environm Sci, Boulder, CO USA; [Rockmann, Thomas] Univ Utrecht, Inst Marine &amp; Atmospher Res Utrecht IMAU, Utrecht, Netherlands; [van der Gon, Hugo A. C. Denier] TNO, Dept Climate Air &amp; Sustainabil, Utrecht, Netherlands; [Schmitt, Jochen] Univ Bern, Climate &amp; Environm Phys, Bern, Switzerland; [Schmitt, Jochen] Univ Bern, Oeschger Ctr Climate Change Res, Bern, Switzerland; [Palmer, Paul I.] Univ Edinburgh, Sch GeoSci, Edinburgh, Scotland; [Dyonisius, Michael N.] Niels Bohr Inst, Phys Ice Climate &amp; Earth, Copenhagen, Denmark; [White, James W. C.] Environm Def Fund, London, England; [White, James W. C.] Univ N Carolina, Coll Arts &amp; Sci, Chapel Hill, NC USA; [Brailsford, Gordon; Bromley, Tony] Natl Inst Water &amp; Atmospher Res Ltd NIWA, Wellington, New Zealand</t>
  </si>
  <si>
    <t>University of London; Royal Holloway University London; University of Colorado System; University of Colorado Boulder; University of Colorado System; University of Colorado Boulder; Utrecht University; Netherlands Organization Applied Science Research; University of Bern; University of Bern; University of Edinburgh; University of Copenhagen; Niels Bohr Institute; Environmental Defense Fund; University of North Carolina; University of North Carolina Chapel Hill; National Institute of Water &amp; Atmospheric Research (NIWA) - New Zealand</t>
  </si>
  <si>
    <t>Nisbet, EG (corresponding author), Royal Holloway Univ London, Dept Earth Sci, Egham, England.</t>
  </si>
  <si>
    <t>e.nisbet@rhul.ac.uk</t>
  </si>
  <si>
    <t>Schmitt, Jochen/B-7893-2009; Palmer, Paul I/F-7008-2010; Lowry, David/JCE-0619-2023; LAN, XIN/AAX-4357-2020; Rockmann, Thomas/F-4479-2015</t>
  </si>
  <si>
    <t>Schmitt, Jochen/0000-0003-4695-3029; Palmer, Paul I/0000-0002-1487-0969; LAN, XIN/0000-0001-6327-6950; Rockmann, Thomas/0000-0002-6688-8968; Fisher, Rebecca/0000-0002-9262-5467; LOWRY, DAVID/0000-0002-8535-0346; Denier van der Gon, Hugo/0000-0001-9552-3688</t>
  </si>
  <si>
    <t>UK Natural Environment Research Council [NE/S00159X/1]; NOAA [NE/N016238/1]; NERC [NA22OAR4320151]; UK National Centre for Earth Observation - Natural Environment Research Council [NE/V000780/1]; European Union; ATMO ACCESS; [NE/R016518/1]; NERC [NE/R016518/1] Funding Source: UKRI</t>
  </si>
  <si>
    <t>UK Natural Environment Research Council(UK Research &amp; Innovation (UKRI)Natural Environment Research Council (NERC)); NOAA(National Oceanic Atmospheric Admin (NOAA) - USA); NERC(UK Research &amp; Innovation (UKRI)Natural Environment Research Council (NERC)); UK National Centre for Earth Observation - Natural Environment Research Council; European Union(European Union (EU)); ATMO ACCESS; ; NERC(UK Research &amp; Innovation (UKRI)Natural Environment Research Council (NERC))</t>
  </si>
  <si>
    <t>EGN, DL, REF, JLF, and the Royal Holloway laboratory thank the UK Met Office for three decades of support on Ascension Island. We thank NILU-Norway, IUP Heidelberg, and Environment Canada for sampling at Zeppelin, Svalbard and Alert, Canada, the South African Weather Service for sampling at Cape Point, and the British Antarctic Survey . D.Lowe and K.Lassey of NIWA New Zealand and I.Levin of IUP Heidelberg helped generously in our early start-up, as did P.Crutzen, R. Cicerone and A. Roddy. EGN thanks the UK Natural Environment Research Council for grants NE/S00159X/1 ZWAMPS Quantifying Methane Emissions in remote tropical settings: a new 3D approach and NE/N016238/1 MOYA: The Global Methane Budget, and colleagues involved with the UNEP International Methane Emissions Observatory for discussions and insight. XL thanks NOAA Cooperative agreement NA22OAR4320151. REF thanks NERC for Grant NE/V000780/1 Methane D/H Discovering reasons for global atmospheric methane growth using deuterium isotopes. PIP acknowledges support from the UK National Centre for Earth Observation funded by the Natural Environment Research Council (NE/R016518/1). TR's laboratory was supported in part by the European Union's Marie Curie project MEMO2 (Methane goes Mobile-Measurements and Modeling) and ATMO ACCESS.</t>
  </si>
  <si>
    <t>e2023GB007875</t>
  </si>
  <si>
    <t>10.1029/2023GB007875</t>
  </si>
  <si>
    <t>W1AL8</t>
  </si>
  <si>
    <t>WOS:001089023200001</t>
  </si>
  <si>
    <t>Dubinin, EP; Ryzhova, DA; Chupakhina, AI; Grokholsky, AL; Bulychev, AA</t>
  </si>
  <si>
    <t>Dubinin, E. P.; Ryzhova, D. A.; Chupakhina, A. I.; Grokholsky, A. L.; Bulychev, A. A.</t>
  </si>
  <si>
    <t>The Structure of the Lithosphere and Formation Conditions of Submarine Rises in the Sub-Antarctic Sector of South Atlantic Based on Density and Physical Modeling</t>
  </si>
  <si>
    <t>GEOTECTONICS</t>
  </si>
  <si>
    <t>lithosphere; crust; spreading; Atlantic; mid-oceanic ridge; Mid-Atlantic Ridge; paleoridge; submarine rises; igneous provinces; density and physical modeling</t>
  </si>
  <si>
    <t>MOZAMBIQUE RIDGE; AGULHAS PLATEAU; INDIAN-OCEAN; EVOLUTION; GONDWANA; MANTLE; SEA; RECONSTRUCTIONS; AFRICA; DISSECTION</t>
  </si>
  <si>
    <t>The complex structure of the region has been formed as a result of kinematic reorganization of plate boundaries, accompanied by the extinction of old spreading centers, the formation of new ones, and plume magmatic activity in the South Atlantic southeastern part. These processes resulted in the formation of a system of ridges, rises, and plateaus with different morphologies and geochemical characteristics. The results of density modeling of the structure of the crust and tectonosphere along the profiles, which extend from the Falkland Plateau to the Mozambique Ridge and cross a series of rises and ridges divided by deep-water basins, showed that the rises have different crustal structures indicative of their different origins. The formation conditions of various submarine rises have been studied on the basis of physical modeling. The new experimental model of the formation of the lithosphere and submarine plateaus of the region is provided, in which the important role belongs to the breakup of the Agulhas large igneous province on the Agulhas Plateau and Northeast Georgia Rise, the accretion of the oceanic crust on the Agulhas spreading ridge, and a further jump of the Agulhas spreading ridge axis leading to the termination of spreading at this ridge and the formation of a southern segment of the Mid-Atlantic Ridge and conjugated Meteor and Islas Orcadas Rises. Spreading axis jumps, which are accompanied by periodic activity of hotspots, played an important role in the formation of the submarine rises of various genetic types that, in turn, determined the different structures of their crust.</t>
  </si>
  <si>
    <t>[Dubinin, E. P.; Ryzhova, D. A.; Chupakhina, A. I.; Grokholsky, A. L.] Lomonosov Moscow State Univ, Earth Sci Museum, Moscow 119991, Russia; [Dubinin, E. P.; Ryzhova, D. A.; Bulychev, A. A.] Moscow MV Lomonosov State Univ, Dept Geol, Moscow 119991, Russia</t>
  </si>
  <si>
    <t>Lomonosov Moscow State University; Lomonosov Moscow State University</t>
  </si>
  <si>
    <t>Ryzhova, DA (corresponding author), Lomonosov Moscow State Univ, Earth Sci Museum, Moscow 119991, Russia.;Ryzhova, DA (corresponding author), Moscow MV Lomonosov State Univ, Dept Geol, Moscow 119991, Russia.</t>
  </si>
  <si>
    <t>dasha_0292r@mail.ru</t>
  </si>
  <si>
    <t>We are grateful to the reviewers Dr A.A Peyve (GIN RAS, Moscow, Russia) and G.L. Leichenkov (VNIIOceangeolo-gia, Saint-Petersburg, Russia) for their constructive comments and to editor M.N. Shoupletsova (GIN RAS, Moscow, Russia) for thorough editing.</t>
  </si>
  <si>
    <t>0016-8521</t>
  </si>
  <si>
    <t>1556-1976</t>
  </si>
  <si>
    <t>GEOTECTONICS+</t>
  </si>
  <si>
    <t>Geotectonics</t>
  </si>
  <si>
    <t>10.1134/S0016852123040052</t>
  </si>
  <si>
    <t>U7XS3</t>
  </si>
  <si>
    <t>WOS:001086902900002</t>
  </si>
  <si>
    <t>Taylor, VE; Wilson, PA; Bohaty, SM; Meckler, AN</t>
  </si>
  <si>
    <t>Taylor, V. E.; Wilson, P. A.; Bohaty, S. M.; Meckler, A. N.</t>
  </si>
  <si>
    <t>Transient Deep Ocean Cooling in the Eastern Equatorial Pacific Ocean at the Eocene-Oligocene Transition</t>
  </si>
  <si>
    <t>Eocene-Oligocene Transition; clumped isotope thermometry; deep-sea temperature</t>
  </si>
  <si>
    <t>ANTARCTIC ICE-SHEET; CLUMPED-ISOTOPE MEASUREMENTS; GEOLOGICAL WATER CYCLE; SURFACE-TEMPERATURE; MASS-SPECTROMETRY; STABLE-ISOTOPE; SEDIMENTOLOGICAL EVIDENCE; CALCITE COMPENSATION; CARBONATE MINERALS; C-13-O-18 BONDS</t>
  </si>
  <si>
    <t>At the Eocene-Oligocene Transition (EOT), approximately 34 million years ago, Earth abruptly transitioned to a climate state sufficiently cool for Antarctica to sustain large ice sheets for the first time in tens to hundreds of millions of years. Oxygen isotope records from deep-sea benthic foraminifera (delta O-18(b)) provide the foundation of our understanding of this pivot point in Cenozoic climate history. A deeper insight, however, is hindered by the paucity of independent deep-sea temperature reconstructions and the ongoing challenge of deconvolving the temperature and continental ice volume signals embedded in delta O-18(b) records. Here we present records of deep-sea temperature change from the eastern equatorial Pacific for the EOT using clumped isotope thermometry, which permits explicit temperature reconstructions independent of seawater chemistry and continental ice volume. Our records suggest that the deep Pacific Ocean cooled markedly at the EOT by 4.7 +/- 0.9 degrees C. This decrease in temperature represents the first direct and robust evidence of deep-sea cooling associated with the inception of major Cenozoic glaciation. However, our data also indicate that this major cooling of the deep Pacific Ocean at the EOT was short-lived (similar to 200 kyrs), with temperatures rebounding to values close to pre-EOT levels by 33.6 Ma. Our calculated record of seawater delta O-18 suggests that this rebound in ocean temperature occurred despite the continued presence of a large-scale Antarctic ice sheet. This finding suggests a degree of decoupling between deep ocean temperatures in the eastern equatorial Pacific Ocean and the behavior of the newly established Antarctic ice sheet.</t>
  </si>
  <si>
    <t>[Taylor, V. E.; Meckler, A. N.] Univ Bergen, Dept Earth Sci, Bjerknes Ctr Climate Res, Bergen, Norway; [Taylor, V. E.; Wilson, P. A.; Bohaty, S. M.] Univ Southampton, Sch Ocean &amp; Earth Sci, Natl Oceanog Ctr, Southampton, Hants, England; [Bohaty, S. M.] Heidelberg Univ, Inst Earth Sci, Heidelberg, Germany</t>
  </si>
  <si>
    <t>University of Bergen; Bjerknes Centre for Climate Research; University of Southampton; NERC National Oceanography Centre; Ruprecht Karls University Heidelberg</t>
  </si>
  <si>
    <t>Taylor, VE (corresponding author), Univ Bergen, Dept Earth Sci, Bjerknes Ctr Climate Res, Bergen, Norway.;Taylor, VE (corresponding author), Univ Southampton, Sch Ocean &amp; Earth Sci, Natl Oceanog Ctr, Southampton, Hants, England.</t>
  </si>
  <si>
    <t>victoria.taylor@uib.no</t>
  </si>
  <si>
    <t>Taylor, Victoria/0000-0002-6909-1575; Meckler, Anna Nele/0000-0002-7225-8276</t>
  </si>
  <si>
    <t>European Research Council (ERC) under the European Union [638467]; Norwegian Research Council [314371]; Natural Environment Research Council (NERC) [NE/K014137/1, NE/K008390/1, NE/K006800/1]; Royal Society Wolfson Merit Award; NERC SPITIFRE Doctoral Training Program Studentship [NE/L002531/1]</t>
  </si>
  <si>
    <t>European Research Council (ERC) under the European Union(European Research Council (ERC)); Norwegian Research Council(Research Council of Norway); Natural Environment Research Council (NERC)(UK Research &amp; Innovation (UKRI)Natural Environment Research Council (NERC)); Royal Society Wolfson Merit Award(Royal Society); NERC SPITIFRE Doctoral Training Program Studentship</t>
  </si>
  <si>
    <t>This work was funded by the European Research Council (ERC) under the European Union's Horizon 2020 research and innovation programme (grant agreement no. 638467; awarded to ANM) and the Norwegian Research Council (project number 314371; awarded to ANM). This work was also supported by Natural Environment Research Council (NERC) Grants NE/K014137/1 and NE/K008390/1 to PAW, NE/K006800/1 to SMB and PAW, a Royal Society Wolfson Merit Award to PAW, and a NERC SPITIFRE Doctoral Training Program Studentship (NE/L002531/1) awarded to VET and supervised by PAW and SMB. The authors thank Lubna Al-Saadi, Nil Irvali, Enver Alagoz, and Eirik Galaasen for technical support during sample preparation and clumped isotope analyses at the University of Bergen, Megan Wilding and Bastian Hambach for technical support at the University of Southampton, Phil Rumford and colleagues at the IODP Gulf Coast Core Repository for assistance with sampling, and Alvaro Fernandez and Sevasti Modestou for thoughtful discussions. We thank the Editor, Associate Editor and Reviewers for their constructive and thorough reviews which improved this manuscript. For the purposes of open access, the author has applied a CC BY public copyright license to any Author Accepted Manuscript version arising from this submission.</t>
  </si>
  <si>
    <t>e2023PA004650</t>
  </si>
  <si>
    <t>10.1029/2023PA004650</t>
  </si>
  <si>
    <t>T6KX7</t>
  </si>
  <si>
    <t>WOS:001079066900001</t>
  </si>
  <si>
    <t>Canavan, K; Paterson, ID</t>
  </si>
  <si>
    <t>Canavan, Kim; Paterson, Iain Douglas</t>
  </si>
  <si>
    <t>Prioritization of alien plant targets for biological control in South Africa's offshore sub-Antarctic islands</t>
  </si>
  <si>
    <t>Cerastium fontanum; Prince Edward Islands; Sagina procumbens; weed biocontrol</t>
  </si>
  <si>
    <t>PRINCE EDWARD ISLANDS; VASCULAR PLANTS; MARION; ESTABLISHMENT; DIVERSITY</t>
  </si>
  <si>
    <t>Invasive alien plants (IAPs) are a significant threat to the biodiversity and ecological functioning of the sub-Antarctic Prince Edward Islands (PEIs); however, weed biological control has not yet been implemented as a management tool. The PEIs have had 23 alien plants recorded, of which several are considered beyond eradication and therefore could benefit from the release of safe and effective biocontrol agents. We used the South African Biological Control Target Selection (BCTS) system to provide a ranked list of the target species in order of priority for further biocontrol research. The highest-scoring species, and therefore those that should be considered first to be targeted, were Sagina procumbens and Cerastium fontanum. No biocontrol agents for IAPs have been released in any climate with as consistent low temperatures as in the PEIs, so the climatic compatibility of agents will be essential prior to any decision to release. However, with very few native species present on the PEIs, the programmes would involve limited host specificity testing, which would improve the feasibility and speed with which new biocontrol agents could be developed. Biocontrol may offer an environmentally safe and sustainable method of reducing the negative impacts of these priority species and thus warrants further investigation.</t>
  </si>
  <si>
    <t>[Canavan, Kim; Paterson, Iain Douglas] Rhodes Univ, Ctr Biol Control, Dept Entomol &amp; Zool, POB 94, ZA-9610 Makhanda, South Africa</t>
  </si>
  <si>
    <t>Rhodes University</t>
  </si>
  <si>
    <t>Canavan, K (corresponding author), Rhodes Univ, Ctr Biol Control, Dept Entomol &amp; Zool, POB 94, ZA-9610 Makhanda, South Africa.</t>
  </si>
  <si>
    <t>K.Canavan@ru.ac.za</t>
  </si>
  <si>
    <t>Paterson, Iain/G-9421-2017</t>
  </si>
  <si>
    <t>Paterson, Iain/0000-0002-0406-7945</t>
  </si>
  <si>
    <t>South African Working for Water (WfW) programme of the Department of Forestry, Fisheries; Environment:Natural Resource Management Programmes (DFFE:NRMP); South African Research Chairs Initiative of the Department of Science and Technology; National Research Foundation (NRF) of South Africa</t>
  </si>
  <si>
    <t>South African Working for Water (WfW) programme of the Department of Forestry, Fisheries; Environment:Natural Resource Management Programmes (DFFE:NRMP); South African Research Chairs Initiative of the Department of Science and Technology; National Research Foundation (NRF) of South Africa(National Research Foundation - South Africa)</t>
  </si>
  <si>
    <t>We acknowledge the funding from the South African Working for Water (WfW) programme of the Department of Forestry, Fisheries and the Environment:Natural Resource Management Programmes (DFFE:NRMP). Funding was also provided by the South African Research Chairs Initiative of the Department of Science and Technology and the National Research Foundation (NRF) of South Africa.</t>
  </si>
  <si>
    <t>10.1017/S0954102023000135</t>
  </si>
  <si>
    <t>T6AA8</t>
  </si>
  <si>
    <t>WOS:001078783500001</t>
  </si>
  <si>
    <t>Smellie, JL; Kraus, S; Williams, K</t>
  </si>
  <si>
    <t>Smellie, John L.; Kraus, Stefan; Williams, Karen</t>
  </si>
  <si>
    <t>The 1821 eruption of Bridgeman Island, South Shetland Islands, Antarctica: an observed Capelinhos-style hydrovolcanic event</t>
  </si>
  <si>
    <t>active volcanism; Bransfield Rift; hydrovolcanism; Surtseyan</t>
  </si>
  <si>
    <t>BRANSFIELD STRAIT; WEST ANTARCTICA; VOLCANO; EVOLUTION; BASIN; PENINSULA; MAGMATISM; DEPOSITS; HISTORY; SURTSEY</t>
  </si>
  <si>
    <t>The first recorded volcanic eruption in Antarctica occurred on Bridgeman Island (South Shetland Islands) in early 1821, &lt; 2 years after Antarctica was discovered. However, the observations were disputed owing to a lack of physical evidence. A consensus arose that they probably referred to Penguin Island, a young volcano with a well-formed volcanic cone situated just 60 km to the west. However, a recent re-examination of the historical reports demonstrated that the event was undoubtedly located at Bridgeman Island. Our new study demonstrates that the eruption was explosive and lasted throughout 1821. The vent was situated in the sea similar to 500 m to the west of Bridgeman Island and the eruption was hydrovolcanic (Surtseyan). The new volcano constructed a tuff ring composed of unconsolidated lapilli and ash, which rapidly coalesced with nearby Bridgeman Island, similar to how the Capelinhos volcano joined with neighbouring Faial (Azores) in 1957-1958. The tuff ring had a very low profile and was rapidly removed by marine erosion. However, fumarolic activity persisted for a few decades. Because the eruption is only 200 years old, the underlying volcanic construct (Bridgeman Rise) should be regarded as dormant rather than extinct.</t>
  </si>
  <si>
    <t>[Smellie, John L.] Univ Leicester, Sch Geog Geol &amp; Environm, Leicester LE1 7RH, England; [Kraus, Stefan] CDM Smith, Fuerther Str 232, D-90429 Nurnberg, Germany; [Williams, Karen] Victoria Univ Wellington, Antarctic Res Ctr, POB 6140, Wellington, New Zealand</t>
  </si>
  <si>
    <t>University of Leicester; Victoria University Wellington</t>
  </si>
  <si>
    <t>Smellie, JL (corresponding author), Univ Leicester, Sch Geog Geol &amp; Environm, Leicester LE1 7RH, England.</t>
  </si>
  <si>
    <t>jls55@le.ac.uk</t>
  </si>
  <si>
    <t>smellie, john/0000-0001-5537-1763</t>
  </si>
  <si>
    <t>Chilean Navy [OA_05-07]; National Oceanic and Atmospheric Administration (NOAA) of the USA (Department of Commerce grant) [NA08OAR4310867]; Instituto Antartico Chileno (INACH)</t>
  </si>
  <si>
    <t>Chilean Navy; National Oceanic and Atmospheric Administration (NOAA) of the USA (Department of Commerce grant); Instituto Antartico Chileno (INACH)</t>
  </si>
  <si>
    <t>The visit to Bridgeman Island by SK was supported by the Chilean Navy and was funded by the Instituto Antartico Chileno (INACH, project number OA_05-07) and by the National Oceanic and Atmospheric Administration (NOAA) of the USA (Department of Commerce grant: NA08OAR4310867). We are also indebted to Alex Tate and Alice Fremand (British Antarctic Survey) for details of the bathymetry close to Bridgeman Island; to Bob Headland for information on sealing vessels in the South Shetland Islands in the early 1820s; and to Karoly Nemeth and an anonymous reviewer for their helpful comments on an early draft of the paper. Finally, the authors are also very grateful to Jeronimo Lopez-Martinez and the New Zealand High Commission at Nuku'alofa for permission to publish their images; and to Peter Clarkson and Andy Saunders for the use of their photographs in this investigation. This study is a contribution to the aims and objectives of AntVolc (Scientific Committee on Antarctic Research (SCAR) Expert Group on Antarctic volcanism: https://scar.org/science/antvolc/home/).</t>
  </si>
  <si>
    <t>10.1017/S0954102023000111</t>
  </si>
  <si>
    <t>S9RP5</t>
  </si>
  <si>
    <t>WOS:001074468500001</t>
  </si>
  <si>
    <t>Bradley, JP; Ishii, HA; Bustillo, K; Bechtel, HA; Song, C; Ciston, J; Joswiak, HDJ; Brownlee, DE</t>
  </si>
  <si>
    <t>Bradley, J. P.; Ishii, H. A.; Bustillo, K.; Bechtel, H. A.; Song, C.; Ciston, J.; Joswiak, H. D. J.; Brownlee, D. E.</t>
  </si>
  <si>
    <t>NITROGEN-RICH ORGANIC CARBON IN ANHYDROUS INTERPLANETARY DUST</t>
  </si>
  <si>
    <t>86th Annual Meeting of the Meteoritical-Society (MetSoc)</t>
  </si>
  <si>
    <t>AUG 13-18, 2023</t>
  </si>
  <si>
    <t>Los Angeles, CA</t>
  </si>
  <si>
    <t>ULTRACARBONACEOUS ANTARCTIC MICROMETEORITES; PARTICLES; ORIGIN</t>
  </si>
  <si>
    <t>[Bradley, J. P.; Ishii, H. A.] Univ Hawaii Manoa, Hawaii Inst Geophys &amp; Planetol, Honolulu, HI USA; [Bustillo, K.; Song, C.; Ciston, J.] Lawrence Berkeley Natl Lab, Mol Foundry, Berkeley, CA USA; [Bechtel, H. A.] Lawrence Berkeley Natl Lab, Adv Light Source, Berkeley, CA USA; [Joswiak, H. D. J.; Brownlee, D. E.] Univ Washington, Seattle, WA USA</t>
  </si>
  <si>
    <t>University of Hawaii System; University of Hawaii Manoa; United States Department of Energy (DOE); Lawrence Berkeley National Laboratory; United States Department of Energy (DOE); Lawrence Berkeley National Laboratory; University of Washington; University of Washington Seattle</t>
  </si>
  <si>
    <t>jbradley@higp.hawaii.edu</t>
  </si>
  <si>
    <t>Ishii, Hope/JOZ-4512-2023</t>
  </si>
  <si>
    <t>A33</t>
  </si>
  <si>
    <t>Science Citation Index Expanded (SCI-EXPANDED); Conference Proceedings Citation Index - Science (CPCI-S)</t>
  </si>
  <si>
    <t>P1WX6</t>
  </si>
  <si>
    <t>WOS:001048626300034</t>
  </si>
  <si>
    <t>Johnson, JC; Timilsina, A; Edwards, JIA; Johnson, PA; Mardon, AA</t>
  </si>
  <si>
    <t>Johnson, J. C.; Timilsina, A.; Edwards, J. I. A.; Johnson, P. A.; Mardon, A. A.</t>
  </si>
  <si>
    <t>The Third Comet in the Anglo-Saxon Chronicles</t>
  </si>
  <si>
    <t>[Johnson, J. C.; Timilsina, A.; Edwards, J. I. A.; Johnson, P. A.; Mardon, A. A.] Antarctic Inst Canada, Edmonton, AB, Canada</t>
  </si>
  <si>
    <t>A142</t>
  </si>
  <si>
    <t>WOS:001048626300143</t>
  </si>
  <si>
    <t>Johnson, PA; Timilsina, A; Edwards, JIA; Johnson, JC; Mardon, AA</t>
  </si>
  <si>
    <t>Johnson, P. A.; Timilsina, A.; Edwards, J. I. A.; Johnson, J. C.; Mardon, A. A.</t>
  </si>
  <si>
    <t>The Fifth Comet in the Anglo-Saxon Chronicles</t>
  </si>
  <si>
    <t>[Johnson, P. A.; Timilsina, A.; Edwards, J. I. A.; Johnson, J. C.; Mardon, A. A.] Antarctic Inst Canada, Edmonton, AB, Canada</t>
  </si>
  <si>
    <t>A145</t>
  </si>
  <si>
    <t>WOS:001048626300146</t>
  </si>
  <si>
    <t>Rojas, J; Alexander, CMO; Nittler, LR; Wang, J; Duprat, J; Engrand, C; Dartois, E</t>
  </si>
  <si>
    <t>Rojas, J.; Alexander, C. M. O'D.; Nittler, L. R.; Wang, J.; Duprat, J.; Engrand, C.; Dartois, E.</t>
  </si>
  <si>
    <t>Investigation of the C and N isotopic compositions of the Organic Matter in Ultra-Carbonaceous and FineGrained Antarctic Micrometeorites (UCAMMs and Fg-AMMs)</t>
  </si>
  <si>
    <t>[Rojas, J.; Alexander, C. M. O'D.; Wang, J.] Carnegie Inst Sci, Earth &amp; Planets Lab, 5241 Broad Branch Rd NW, Washington, DC 20015 USA; [Nittler, L. R.] Arizona State Univ, Sch Earth &amp; Space Explorat, 781 Terrace Mall, Tempe, AZ 85287 USA; [Duprat, J.] Sorbonne Univ, CNRS, IMPMC, MNHN, F-75005 Paris, France; [Engrand, C.] Univ Paris Saclay CNRS, IJCLab, F-91405 Orsay, France; [Dartois, E.] Univ Paris Saclay, CNRS, ISMO, F-91405 Orsay, France</t>
  </si>
  <si>
    <t>Carnegie Institution for Science; Arizona State University; Arizona State University-Tempe; Museum National d'Histoire Naturelle (MNHN); Centre National de la Recherche Scientifique (CNRS); Institut de Recherche pour le Developpement (IRD); Sorbonne Universite; Universite Paris Cite; Universite Paris Cite; Universite Paris Saclay; Centre National de la Recherche Scientifique (CNRS)</t>
  </si>
  <si>
    <t>jrojas10@carnegiescience.edu</t>
  </si>
  <si>
    <t>A247</t>
  </si>
  <si>
    <t>WOS:001048626300248</t>
  </si>
  <si>
    <t>Timilsina, A; Edwards, JIA; Johnson, PA; Johnson, JC; Mardon, AA</t>
  </si>
  <si>
    <t>Timilsina, A.; Edwards, J. I. A.; Johnson, P. A.; Johnson, J. C.; Mardon, A. A.</t>
  </si>
  <si>
    <t>The First Comet in the Anglo-Saxon Chronicles</t>
  </si>
  <si>
    <t>[Timilsina, A.; Edwards, J. I. A.; Johnson, P. A.; Johnson, J. C.; Mardon, A. A.] Antarctic Inst Canada, Edmonton, AB, Canada</t>
  </si>
  <si>
    <t>A297</t>
  </si>
  <si>
    <t>WOS:001048626300298</t>
  </si>
  <si>
    <t>Comets of Disaster in the Anglo-Saxon Chronicles</t>
  </si>
  <si>
    <t>A296</t>
  </si>
  <si>
    <t>WOS:001048626300297</t>
  </si>
  <si>
    <t>Zhu, JP; Xie, AH; Qin, X; Wang, SM; Xu, B; Wang, YC</t>
  </si>
  <si>
    <t>Zhu, Jiangping; Xie, Aihong; Qin, Xiang; Wang, Shimeng; Xu, Bing; Wang, Yicheng</t>
  </si>
  <si>
    <t>Projection on Antarctic Temperature Extremes from the CMIP6 Multimodel Ensemble under Different Scenarios</t>
  </si>
  <si>
    <t>JOURNAL OF APPLIED METEOROLOGY AND CLIMATOLOGY</t>
  </si>
  <si>
    <t>Antarctica; Extreme events; Climate change</t>
  </si>
  <si>
    <t>AMUNDSEN SEA LOW; RAINFALL EXTREMES; ANNULAR MODE; SURFACE MELT; PRECIPITATION; ICE; PENINSULA; IMPACT; VARIABILITY; SENSITIVITY</t>
  </si>
  <si>
    <t>Global warming has been accelerating the frequency and intensity of climate extremes, and has had an im-mense influence on the economy and society, but attention is seldom paid to future Antarctic temperature extremes. This study investigates five surface extreme temperature indices derived from the multimodel ensemble mean (MMEM) based on 14 models from phase 6 of the Coupled Model Intercomparison Project (CMIP6) under the shared socioeconomic path-ways (SSPs) of SSP1-2.6, SSP2-4.5, SSP3-7.0, and SSP5-8.5. In Antarctica, the variations in extreme temperature indices ex-hibit regional and seasonal differences. The diurnal temperature range (DTR) usually illustrates a downward trend, particularly for the Antarctic Peninsula and Antarctic coast, and the strongest change occurs in austral summer. In all cases, the annual highest minimum/maximum temperature (TNx/TXx) increases faster in inland Antarctica. Antarctic amplification of extreme temperature indices is detected and is strongest at the lowest maximum temperature (TXn). At the Antarctic Pen-insula, TXx amplification only appears in winter. Great DTR amplification appears along the Antarctic coast and is strongest in summer and weakest in winter. The changes in extreme temperature indices indicate the accelerated Antarctic warming in future scenarios.</t>
  </si>
  <si>
    <t>[Zhu, Jiangping; Xie, Aihong; Qin, Xiang; Wang, Shimeng] Chinese Acad Sci, Northwest Inst Ecoenvironm &amp; Resources, State Key Lab Cryospher Sci, Lanzhou, Peoples R China; [Zhu, Jiangping] Univ Chinese Acad Sci, Beijing, Peoples R China; [Xu, Bing] Weather Modificat Off Liaoning Prov, Shenyang, Peoples R China; [Wang, Yicheng] Lanzhou Cent Meteorol Observ, Lanzhou, Peoples R China</t>
  </si>
  <si>
    <t>Chinese Academy of Sciences; Chinese Academy of Sciences; University of Chinese Academy of Sciences, CAS</t>
  </si>
  <si>
    <t>Xie, AH (corresponding author), Chinese Acad Sci, Northwest Inst Ecoenvironm &amp; Resources, State Key Lab Cryospher Sci, Lanzhou, Peoples R China.</t>
  </si>
  <si>
    <t>xieaihong@nieer.ac.cn</t>
  </si>
  <si>
    <t>Xu, Bing/C-7732-2015</t>
  </si>
  <si>
    <t>National Natural Science Foundation of China [42276260]; Chinese Academy of Sciences</t>
  </si>
  <si>
    <t>National Natural Science Foundation of China(National Natural Science Foundation of China (NSFC)); Chinese Academy of Sciences(Chinese Academy of Sciences)</t>
  </si>
  <si>
    <t>This research was jointly sponsored by the National Natural Science Foundation of China (42276260) and the 2021 technical support talent project of the Chinese Academy of Sciences.</t>
  </si>
  <si>
    <t>1558-8424</t>
  </si>
  <si>
    <t>1558-8432</t>
  </si>
  <si>
    <t>J APPL METEOROL CLIM</t>
  </si>
  <si>
    <t>J. Appl. Meteorol. Climatol.</t>
  </si>
  <si>
    <t>10.1175/JAMC-D-22-0137.1</t>
  </si>
  <si>
    <t>Q7OI5</t>
  </si>
  <si>
    <t>WOS:001059377000004</t>
  </si>
  <si>
    <t>Wang, KS; Wu, D; Zheng, CW; Tao, GS; Li, W; Gao, YB; Yu, Y; Wu, K</t>
  </si>
  <si>
    <t>Wang, Kai-shan; Wu, Di; Zheng, Chong-wei; Tao, Gui-sheng; Li, Wei; Gao, Yuan-bo; Yu, Yue; Wu, Kai</t>
  </si>
  <si>
    <t>A Detail Investigation on the Antarctic Wind Energy</t>
  </si>
  <si>
    <t>CHINA OCEAN ENGINEERING</t>
  </si>
  <si>
    <t>Antarctic; wind energy; resource evaluation; temporal and spatial characteristics</t>
  </si>
  <si>
    <t>SOUTHERN-OCEAN; REANALYSES; SEA</t>
  </si>
  <si>
    <t>The scientific development of wind energy based on local conditions is conducive to the urgent energy demand and environmental protection of Antarctic region. In this study, the ERA5 reanalysis data are used to evaluate the wind energy resources in the Antarctic region. A series of key indicators, such as wind power density, effective wind speed occurrence, energy level occurrence and stability, are comprehensively considered by using climate statistical analysis methods to analyze the temporal and spatial distribution characteristics of Antarctic wind energy resources. The results show that the Antarctic region contains abundant wind energy resources, which benefits the construction of scientific research stations. The superior areas are the Southern Ocean and the coast of the East Antarctica, followed by the Transantarctic Mountains, the coast of the Bellingshausen Sea and Amundsen Sea. These areas have advantages in terms of wind power density (500-2500 W/m2), effective wind speed occurrence (80%-90%), energy level occurrence (60%-90%) and stability (Cv: 0.6-1, Mv: 1.2-1.8, Sv: 0.8-1.2). The Antarctic's wind energy resources in wind power density, effective wind speed occurrence and energy level occurrence in autumn and winter are better than those in summer, while the coefficient of variation in summer is worse than that in autumn and winter.</t>
  </si>
  <si>
    <t>[Wang, Kai-shan; Wu, Di; Zheng, Chong-wei; Tao, Gui-sheng; Li, Wei; Gao, Yuan-bo; Yu, Yue; Wu, Kai] Dalian Naval Acad, Dalian 116018, Peoples R China; [Wang, Kai-shan; Wu, Di; Zheng, Chong-wei; Li, Wei; Gao, Yuan-bo; Yu, Yue; Wu, Kai] Marine Resources &amp; Environm Res Grp, Maritime Silk Rd, Dalian 116018, Peoples R China; [Zheng, Chong-wei] Southern Marine Sci &amp; Engn Guangdong Lab Zhuhai, Zhuhai 519082, Peoples R China</t>
  </si>
  <si>
    <t>Dalian Naval Academy; Southern Marine Science &amp; Engineering Guangdong Laboratory; Southern Marine Science &amp; Engineering Guangdong Laboratory (Zhuhai)</t>
  </si>
  <si>
    <t>Zheng, CW (corresponding author), Dalian Naval Acad, Dalian 116018, Peoples R China.;Zheng, CW (corresponding author), Marine Resources &amp; Environm Res Grp, Maritime Silk Rd, Dalian 116018, Peoples R China.;Zheng, CW (corresponding author), Southern Marine Sci &amp; Engn Guangdong Lab Zhuhai, Zhuhai 519082, Peoples R China.</t>
  </si>
  <si>
    <t>chinaoceanzcw@sina.cn</t>
  </si>
  <si>
    <t>The authors would like to thank the ECMWF for providing the wind data.</t>
  </si>
  <si>
    <t>SPRINGER MEDIZIN VERLAG GmBH</t>
  </si>
  <si>
    <t>Berlin</t>
  </si>
  <si>
    <t>Heidelbergerplatz 3, Berlin, GERMANY</t>
  </si>
  <si>
    <t>0890-5487</t>
  </si>
  <si>
    <t>2191-8945</t>
  </si>
  <si>
    <t>CHINA OCEAN ENG</t>
  </si>
  <si>
    <t>China Ocean Eng.</t>
  </si>
  <si>
    <t>10.1007/s13344-023-0059-6</t>
  </si>
  <si>
    <t>Engineering, Civil; Engineering, Ocean; Engineering, Mechanical; Water Resources</t>
  </si>
  <si>
    <t>Engineering; Water Resources</t>
  </si>
  <si>
    <t>R9QX8</t>
  </si>
  <si>
    <t>WOS:001067635900015</t>
  </si>
  <si>
    <t>Gonzalez-Aleman, JJ; Insua-Costa, D; Bazile, E; Gonzalez-Herrero, S; Miglietta, MM; Groenemeijer, P; Donat, MG</t>
  </si>
  <si>
    <t>Gonzalez-Aleman, Juan Jesus; Insua-Costa, Damin; Bazile, Eric; Gonzalez-Herrero, Sergi; Miglietta, Mario Marcello; Groenemeijer, Pieter; Donat, Markus G.</t>
  </si>
  <si>
    <t>Anthropogenic Warming Had a Crucial Role in Triggering the Historic and Destructive Mediterranean Derecho in Summer 2022</t>
  </si>
  <si>
    <t>21ST-CENTURY; FREQUENCY; FUTURE; EUROPE</t>
  </si>
  <si>
    <t>A record-breaking marine heatwave and anthropogenic climate change have substantially contributed to the development of an extremely anomalous and vigorous convective windstorm in August 2022 over the Mediterranean Sea.</t>
  </si>
  <si>
    <t>[Gonzalez-Aleman, Juan Jesus] Spanish State Meteorol Agcy, Dept Dev &amp; Applicat, Madrid, Spain; [Insua-Costa, Damin] Univ Ghent, Hydroclimate Extremes Lab H CEL, Ghent, Belgium; [Insua-Costa, Damin] Univ Santiago de Compostela, CRETUS, Nonlinear Phys Grp, Galicia, Spain; [Bazile, Eric] Univ Toulouse, Meteo France, CNRM, CNRS, Toulouse, France; [Gonzalez-Herrero, Sergi] WSL Inst Snow &amp; Avalanche Res SLF, Davos, Switzerland; [Miglietta, Mario Marcello] CNR, ISAC, Padua, Italy; [Groenemeijer, Pieter] Europea Severe Storms Lab, Wessling, Germany; [Donat, Markus G.] ICREA Barcelona Supercomp Ctr, Barcelona, Spain; [Donat, Markus G.] Inst Catalana Recerca &amp; Estudis Avancats, Barcelona, Spain</t>
  </si>
  <si>
    <t>Ghent University; Universidade de Santiago de Compostela; Centre National de la Recherche Scientifique (CNRS); Meteo France; Universite de Toulouse; Swiss Federal Institutes of Technology Domain; Swiss Federal Institute for Forest, Snow &amp; Landscape Research; Consiglio Nazionale delle Ricerche (CNR); Istituto di Scienze dell'Atmosfera e del Clima (ISAC-CNR); ICREA; Universitat Politecnica de Catalunya; Barcelona Supercomputer Center (BSC-CNS); ICREA</t>
  </si>
  <si>
    <t>Gonzalez-Aleman, JJ (corresponding author), Spanish State Meteorol Agcy, Dept Dev &amp; Applicat, Madrid, Spain.</t>
  </si>
  <si>
    <t>jgonzaleza@aemet.es</t>
  </si>
  <si>
    <t>Gonzalez-Herrero, Sergi/Y-7279-2018</t>
  </si>
  <si>
    <t>Gonzalez-Herrero, Sergi/0000-0002-2505-2435; Insua-Costa, Damian/0000-0001-9699-2806; Gonzalez-Aleman, Juan Jesus/0000-0001-5940-7356</t>
  </si>
  <si>
    <t>Spanish Ministry of Science and Innovation and University [PID2019-107125RB-I00]; Spanish National Meteorological Agency; Agencia de Gestio d'Ajuts Universitaris i de Recerca of the Government of Catalonia [2021 SGR 00269]</t>
  </si>
  <si>
    <t>Spanish Ministry of Science and Innovation and University; Spanish National Meteorological Agency; Agencia de Gestio d'Ajuts Universitaris i de Recerca of the Government of Catalonia</t>
  </si>
  <si>
    <t>JJGA aknowledges funding from the research project PID2019-107125RB-I00 (IBERCANES) by the Spanish Ministry of Science and Innovation and University and support by the Spanish National Meteorological Agency. The PGW simulations with MPAS were run by DIC at CESGA (Centro de Supercomputacion de Galicia), Santiago de Compostela, Galicia, Spain. SGH was supported by the research group ANTALP (Antarctic, Arctic, Alpine Environments; 2021 SGR 00269) funded by the Agencia de Gestio d'Ajuts Universitaris i de Recerca of the Government of Catalonia. We express gratitude to the ESWD team and ESSL's voluntary observers providing storm reports and we would like to thank to the anonymous reviewers for their careful corrections and constructive suggestions during the review process.</t>
  </si>
  <si>
    <t>E1526</t>
  </si>
  <si>
    <t>E1532</t>
  </si>
  <si>
    <t>10.1175/BAMS-D-23-0119.1</t>
  </si>
  <si>
    <t>R5CO0</t>
  </si>
  <si>
    <t>WOS:001064529400001</t>
  </si>
  <si>
    <t>Ostroumova, SA; Drozd, ID; Frey, DI</t>
  </si>
  <si>
    <t>Ostroumova, S. A.; Drozd, I. D.; Frey, D. I.</t>
  </si>
  <si>
    <t>Structure and Temporal Variability of the Northern Branch of the Antarctic Circumpolar Current in the Drake Passage</t>
  </si>
  <si>
    <t>OCEANOLOGY</t>
  </si>
  <si>
    <t>Subantarctic Front; Antarctic Circumpolar Current; satellite altimetry; jets; Drake Passage</t>
  </si>
  <si>
    <t>SATELLITE ALTIMETRY; MALVINAS CURRENT; CURRENT SOUTH; JET STRUCTURE; FRONTS; CIRCULATION; SURFACE; EDDIES; CRUISE</t>
  </si>
  <si>
    <t>The Antarctic Circumpolar Current plays a key role in the circulation of the Southern Ocean and affects redistribution of heat by the ocean on a global scale. The study of the dynamics and structure of this current becomes especially relevant in a changing climate. The current is well manifested based on the satellite altimetry data, which makes it possible to study the variability of its structure in time and space on different scales. The methods for determining the position of individual fronts of the Antarctic Circumpolar Current based on satellite altimetry data becomes most important in solving these tasks. In this paper, we compare different approaches to the detection of fronts. To do this, the structure of the northernmost branch of the Antarctic Circumpolar Current, the Subantarctic Front, and its spatial and temporal variability have been considered based on the satellite altimetry data from 1993 to 2020 and also on the results of a hydrographic section made onboard the R/V Akademik Mstislav Keldysh across the northern part of the Drake Passage in February 2020. To assess the dynamics of the front, a section of the TOPEX/Poseidon, Jason-1,2,3 satellite altimeter track from Tierra del Fuego to the south, 350 km long, was selected. Criteria are presented for determining the position of the northern and main branches of the Subantarctic Front based on the satellite altimetry data. A long-term trend of shifting the position of the fronts with respect to the previously accepted levels of absolute dynamic topography has been found. It has been established that the accuracy of determining the position of fronts from fixed values of dynamic topography can decrease in time, in particular, due to the variations in the mean sea level. A statistically significant long-term trend in sea level rise in the region of the Subantarctic Front at a rate of 4 mm/year for the northern branch and 2.5 mm/year for the main branch was found.</t>
  </si>
  <si>
    <t>[Ostroumova, S. A.; Drozd, I. D.; Frey, D. I.] Russian Acad Sci, Shirshov Inst Oceanol, Moscow, Russia; [Ostroumova, S. A.] Russian State Hydrometeorol Univ, St Petersburg, Russia; [Drozd, I. D.] Russian Acad Sci, Obukhov Inst Atmospher Phys, Moscow, Russia; [Drozd, I. D.] Moscow MV Lomonosov State Univ, Moscow, Russia; [Frey, D. I.] Russian Acad Sci, Marine Hydrophys Inst, Sevastopol, Russia; [Frey, D. I.] Moscow Inst Phys &amp; Technol, Dolgoprudnyi, Russia</t>
  </si>
  <si>
    <t>Russian Academy of Sciences; Shirshov Institute of Oceanology; Russian State Hydrometeorological University; Russian Academy of Sciences; Obukhov Institute of Atmospheric Physics of Russian Academy of Sciences; Lomonosov Moscow State University; Russian Academy of Sciences; Marine Hydrophysical Institute of RAS; Moscow Institute of Physics &amp; Technology</t>
  </si>
  <si>
    <t>Ostroumova, SA (corresponding author), Russian Acad Sci, Shirshov Inst Oceanol, Moscow, Russia.;Ostroumova, SA (corresponding author), Russian State Hydrometeorol Univ, St Petersburg, Russia.</t>
  </si>
  <si>
    <t>ost.sophisticated@gmail.com</t>
  </si>
  <si>
    <t>Drozd, Ilya/JNS-8343-2023</t>
  </si>
  <si>
    <t>Drozd, Ilya/0000-0002-6830-1446</t>
  </si>
  <si>
    <t>Russian Science Foundation [22-77-10004]</t>
  </si>
  <si>
    <t>The study was carried out within state task FMWE-2021-0002 (ship expenses and collection of field data) and was supported by the Russian Science Foundation, grant no. 22-77-10004 (processing of field observation data and analysis of satellite altimetry).</t>
  </si>
  <si>
    <t>0001-4370</t>
  </si>
  <si>
    <t>1531-8508</t>
  </si>
  <si>
    <t>OCEANOLOGY+</t>
  </si>
  <si>
    <t>Oceanology</t>
  </si>
  <si>
    <t>10.1134/S000143702304015X</t>
  </si>
  <si>
    <t>Q7XP4</t>
  </si>
  <si>
    <t>WOS:001059620000002</t>
  </si>
  <si>
    <t>Zuev, OA; Frey, DI; Drozd, ID; Krechik, VA</t>
  </si>
  <si>
    <t>Zuev, O. A.; Frey, D. I.; Drozd, I. D.; Krechik, V. A.</t>
  </si>
  <si>
    <t>Spatial and Temporal Variability of the Thermohaline Structure of Waters in the Antarctic Sound</t>
  </si>
  <si>
    <t>thermohaline structure; Antarctic Sound; temporal variability; autonomous measurements; sensors on marine mammals</t>
  </si>
  <si>
    <t>NORTHWESTERN WEDDELL SEA; BRANSFIELD STRAIT; MARINE ECOSYSTEM; ATLANTIC SECTOR; KRILL; CIRCULATION; TRANSPORT; DRIFT; PART</t>
  </si>
  <si>
    <t>The sea straits of the Antarctic Peninsula region are characterized by intense currents, the presence of sea ice and large icebergs, strong tides, and many other factors that shape the thermohaline structure of the waters of this region and its temporal variability. The state of local ecological communities depends on the thermohaline properties of waters in the straits, which determines the relevance of this work. From this viewpoint, the Antarctic Sound, which connects the Bransfield Strait with the western Weddell Sea, is a very special object. Based on new field data, the thermohaline structure of this strait is described. For the first time, we have used unique data from autonomous sensors attached to local marine mammals, which made it possible to track water changes throughout the year. Transitional seasons are defined, as well as common limits of thermohaline characteristics of the waters in the strait. The spatial, seasonal, and interannual variability of the thermohaline structure of the waters in the strait was studied based on the data collected in the last 40 years.</t>
  </si>
  <si>
    <t>[Zuev, O. A.; Frey, D. I.; Drozd, I. D.; Krechik, V. A.] Russian Acad Sci, Shirshov Inst Oceanol, Moscow, Russia; [Drozd, I. D.] Moscow MV Lomonosov State Univ, Moscow, Russia</t>
  </si>
  <si>
    <t>Russian Academy of Sciences; Shirshov Institute of Oceanology; Lomonosov Moscow State University</t>
  </si>
  <si>
    <t>Zuev, OA (corresponding author), Russian Acad Sci, Shirshov Inst Oceanol, Moscow, Russia.</t>
  </si>
  <si>
    <t>qillous@gmail.com</t>
  </si>
  <si>
    <t>The study was carried out within state task no. FMWE2021-0002 (collection and processing of field data) and was supported by the Russian Science Foundation, grant 22-7710004 (analysis of autonomous measurements from the MEOP database).</t>
  </si>
  <si>
    <t>10.1134/S0001437023040173</t>
  </si>
  <si>
    <t>WOS:001059620000003</t>
  </si>
  <si>
    <t>Mukhametianov, RZ; Seliverstova, AM; Morozov, EG; Frey, DI; Krechik, VA; Zuev, OA</t>
  </si>
  <si>
    <t>Mukhametianov, R. Z.; Seliverstova, A. M.; Morozov, E. G.; Frey, D. I.; Krechik, V. A.; Zuev, O. A.</t>
  </si>
  <si>
    <t>Hydrological Structure and Water Dynamics in the Powell Basin in January-February 2022</t>
  </si>
  <si>
    <t>Powell Basin; water masses; CTD/LADCP section; oxygen; silicates</t>
  </si>
  <si>
    <t>WEDDELL SEA; ATLANTIC SECTOR; TRANSPORT; VARIABILITY; CIRCULATION; ECOSYSTEM; FLOW</t>
  </si>
  <si>
    <t>In January-February 2022, a CTD/LADCP section with hydrochemical observations was made across the Powell Basin in the Weddell Sea on an Antarctic expedition of the R/V Akademik Mstislav Keldysh. The section extended from the Antarctic Peninsula to the South Orkney Islands; thus, it crossed the Weddell Gyre in its northwestern part. As a result, new data were acquired on the hydrological and hydrochemical structures and water dynamics in this region. This study presents new results on analysis of data related to the structure of the Weddell Gyre, formation of Antarctic Bottom Water, and variability of hydrophysical and hydrochemical characteristics of water in the Powell Basin. Only two of the three currents were identified in the structure of the Weddell Gyre: the Antarctic Coastal Current and Antarctic Slope Front,-. The velocities of these currents were about 10-15 cm/s. The structure of waters was typical of the Weddell Sea, but a change in the temperature maximum was recorded in the Warm Deep Water layer.</t>
  </si>
  <si>
    <t>[Mukhametianov, R. Z.; Seliverstova, A. M.; Morozov, E. G.; Frey, D. I.; Krechik, V. A.; Zuev, O. A.] Russian Acad Sci, Shirshov Inst Oceanol, Moscow, Russia; [Mukhametianov, R. Z.; Morozov, E. G.; Frey, D. I.] Moscow Inst Phys &amp; Technol, Dolgoprudnyi, Russia; [Morozov, E. G.; Frey, D. I.] Russian Acad Sci, Marine Hydrophys Inst, Sevastopol, Russia; [Krechik, V. A.] Immanuel Kant Balt Fed Univ, Kaliningrad, Russia</t>
  </si>
  <si>
    <t>Russian Academy of Sciences; Shirshov Institute of Oceanology; Moscow Institute of Physics &amp; Technology; Marine Hydrophysical Institute of RAS; Russian Academy of Sciences; Immanuel Kant Baltic Federal University</t>
  </si>
  <si>
    <t>Morozov, EG (corresponding author), Russian Acad Sci, Shirshov Inst Oceanol, Moscow, Russia.;Morozov, EG (corresponding author), Moscow Inst Phys &amp; Technol, Dolgoprudnyi, Russia.;Morozov, EG (corresponding author), Russian Acad Sci, Marine Hydrophys Inst, Sevastopol, Russia.</t>
  </si>
  <si>
    <t>egmorozov@mail.ru</t>
  </si>
  <si>
    <t>Russian Science Foundation [FMWE-2021-0002]; [21-77-20004]</t>
  </si>
  <si>
    <t>Russian Science Foundation(Russian Science Foundation (RSF));</t>
  </si>
  <si>
    <t>This study was supported by state task FMWE-2021-0002 (field data collection and processing) and the Russian Science Foundation, grant no. 21-77-20004 (analysis of field data and databases and interpretation of data).</t>
  </si>
  <si>
    <t>10.1134/S0001437023040136</t>
  </si>
  <si>
    <t>WOS:001059620000005</t>
  </si>
  <si>
    <t>Mekhova, OS; Smirnova, DA; Frey, DI</t>
  </si>
  <si>
    <t>Mekhova, O. S.; Smirnova, D. A.; Frey, D. I.</t>
  </si>
  <si>
    <t>Structure of Bottom Flows in Abyssal Channels of the Atlantic: Comparison of Autonomous and Vessel Observations in the Vema Channel, Romanche Fracture Zone, and Kane Gap</t>
  </si>
  <si>
    <t>Antarctic Bottom Water; Vema Channel; Romanche Fracture Zone; Kane Gap; CTD; LADCP; autonomous moorings</t>
  </si>
  <si>
    <t>WATER; TRANSPORT; CIRCULATION</t>
  </si>
  <si>
    <t>Measurements in the deep channels of the Atlantic are compared, based on the results of two different methods: CTD/LADCP casts from research vessels and data from autonomous moorings. The comparison showed that discrepancies between the data collected by two different methods can significantly exceed the accuracy of instruments. This highlights the importance of choosing locations for moorings under conditions of significant spatial gradients of the measured characteristics. The results of the analysis showed that throughout the entire propagation paths of Antarctic waters, the measurement discrepancies are of the same order of magnitude; thus, the conclusions may be valid for all abyssal channels with an intense flow of Antarctic Bottom Water.</t>
  </si>
  <si>
    <t>[Mekhova, O. S.; Smirnova, D. A.; Frey, D. I.] Russian Acad Sci, Shirshov Inst Oceanol, Moscow, Russia; [Mekhova, O. S.] St Petersburg State Univ, St Petersburg, Russia; [Smirnova, D. A.] Moscow MV Lomonosov State Univ, Moscow, Russia; [Frey, D. I.] Russian Acad Sci, Marine Hydrophys Inst, Sevastopol, Russia</t>
  </si>
  <si>
    <t>Russian Academy of Sciences; Shirshov Institute of Oceanology; Saint Petersburg State University; Lomonosov Moscow State University; Marine Hydrophysical Institute of RAS; Russian Academy of Sciences</t>
  </si>
  <si>
    <t>Mekhova, OS (corresponding author), Russian Acad Sci, Shirshov Inst Oceanol, Moscow, Russia.;Mekhova, OS (corresponding author), St Petersburg State Univ, St Petersburg, Russia.</t>
  </si>
  <si>
    <t>osmeh@yandex.ru</t>
  </si>
  <si>
    <t>Smirnova, Daria/0000-0001-5944-9134</t>
  </si>
  <si>
    <t>Russian Science Foundation [21-77-20004]</t>
  </si>
  <si>
    <t>The study was carried out within state task FMWE-2021-0002 (ship measurements) and was supported by the Russian Science Foundation, grant no. 21-77-20004 (field data analysis and interpretation).</t>
  </si>
  <si>
    <t>10.1134/S0001437023040094</t>
  </si>
  <si>
    <t>WOS:001059620000007</t>
  </si>
  <si>
    <t>Seliverstova, AM; Zuev, OA; Polukhin, AA; Chultsova, AL; Masevich, AV; Mukhametianov, RZ</t>
  </si>
  <si>
    <t>Seliverstova, A. M.; Zuev, O. A.; Polukhin, A. A.; Chultsova, A. L.; Masevich, A. V.; Mukhametianov, R. Z.</t>
  </si>
  <si>
    <t>Hydrological and Hydrochemical Structure of the Waters of the Bransfield Strait in January 2022</t>
  </si>
  <si>
    <t>Southern Ocean; Bransfield Strait; thermohaline structure; course; hydrochemical structure; nutrients</t>
  </si>
  <si>
    <t>ATLANTIC SECTOR; ANTARCTIC PENINSULA; ECOSYSTEM; DEEP; VARIABILITY; CIRCULATION; HOLOCENE; MASSES</t>
  </si>
  <si>
    <t>The article studies the abiotic characteristics in waters of the Bransfield Strait in January 2022. The cross-section of January 2020 was repeated from the Antarctic Peninsula to the Southern Shetland Islands; new data were also obtained: two cross-sections in the eastern and western parts of the strait. The scheme of currents in the Strait reflects modern knowledge; absolute values have been measured up to 50 cm/s in the northeast direction and up to 35 cm/s in the southwest. In the studied area, modified waters of the Bellingshausen Sea are clearly distinguished (warm and least saline, with reduced values of total alkalinity and all nutrients); modified Weddell Sea water (colder and more saline, with reduced values of silicates and nitrates), as well as Circumpolar Deep Water in the 200-450 m layer (warm and salty, with low values of dissolved oxygen and pH and increased content of phosphates, silicates. and nitrates). In bottom waters of the strait, there were no serious changes in structure. The amplitude of the interannual variability of the abiotic characteristics of Bransfield Strait waters is poorly expressed, nevertheless it can serve as a climate change marker in the Southern Ocean.</t>
  </si>
  <si>
    <t>[Seliverstova, A. M.; Polukhin, A. A.; Chultsova, A. L.; Mukhametianov, R. Z.] Russian Acad Sci, Shirshov Inst Oceanol, Moscow 117997, Russia; [Zuev, O. A.; Masevich, A. V.] Russian Acad Sci, Marine Hydrophys Inst, Sevastopol 299011, Russia</t>
  </si>
  <si>
    <t>Russian Academy of Sciences; Shirshov Institute of Oceanology; Russian Academy of Sciences; Marine Hydrophysical Institute of RAS</t>
  </si>
  <si>
    <t>Seliverstova, AM (corresponding author), Russian Acad Sci, Shirshov Inst Oceanol, Moscow 117997, Russia.</t>
  </si>
  <si>
    <t>201219941315ann@gmail.com</t>
  </si>
  <si>
    <t>Masevich, Anna/AAO-2592-2020</t>
  </si>
  <si>
    <t>Masevich, Anna/0000-0002-0889-020X</t>
  </si>
  <si>
    <t>The study was carried out within the state task of IO RAS, FMWE-2021-0016, with the support of the Russian Science Foundation, grant no 21-77-20004 (analysis of shipboard measurements)</t>
  </si>
  <si>
    <t>10.1134/S0001437023040161</t>
  </si>
  <si>
    <t>WOS:001059620000008</t>
  </si>
  <si>
    <t>Latushkin, AA; Salyuk, PA; Suslin, VV; Martynov, OV</t>
  </si>
  <si>
    <t>Latushkin, A. A.; Salyuk, P. A.; Suslin, V. V.; Martynov, O. V.</t>
  </si>
  <si>
    <t>A Regional Algorithm for Calculating the Thickness of the Photic Zone from the Vertical Profile of the Beam Attenuation Coefficient with a Case Study of the Northwestern Weddell Sea</t>
  </si>
  <si>
    <t>Antarctic Peninsula; regional algorithm; beam attenuation coefficient; thickness of the photic zone; depth of the euphotic zone; Southern Ocean</t>
  </si>
  <si>
    <t>A method is proposed for constructing a regional algorithm to calculate the thickness of the euphotic zone from in situ measurements of the vertical profiles of the beam attenuation coefficient under the condition of one-parameter optical properties of water (Case-1 water). Using the proposed methodology, a regional algorithm for determining the thickness of the photic zone was developed based on the results of synchronous measurements of the beam attenuation coefficient and photosynthetically active radiation, performed in January 2022 as part of cruise 87 of the R/V Akademik Mstislav Keldysh for the northwestern Weddell Sea. For this region, an equation was obtained that can estimate the depth of the photic zone with a relative reconstruction error of 18%.</t>
  </si>
  <si>
    <t>[Latushkin, A. A.; Suslin, V. V.; Martynov, O. V.] Russian Acad Sci, Marine Hydrophys Inst, Sevastopol, Russia; [Salyuk, P. A.] Russian Acad Sci, Ilichev Pacific Oceanol Inst, Far Eastern Branch, Vladivostok, Russia; [Salyuk, P. A.] Russian Acad Sci, Shirshov Inst Oceanol, Moscow, Russia</t>
  </si>
  <si>
    <t>Russian Academy of Sciences; Marine Hydrophysical Institute of RAS; Russian Academy of Sciences; Russian Academy of Sciences; Shirshov Institute of Oceanology</t>
  </si>
  <si>
    <t>Latushkin, AA (corresponding author), Russian Acad Sci, Marine Hydrophys Inst, Sevastopol, Russia.</t>
  </si>
  <si>
    <t>sevsalat@gmail.com</t>
  </si>
  <si>
    <t>Suslin, Vyacheslav Vladimirivich/B-4994-2017</t>
  </si>
  <si>
    <t>Russian Science Foundation [21-77-10059]</t>
  </si>
  <si>
    <t>Expeditionary research was carried within state tasks for the following institutions: MHI RAS, topic no. FNNN-2022-0001 Experimental Studies of the Variability of Hydrophysical, Hydrochemical, and Biooptical fields at Different Spatiotemporal Scales to Identify Specific Features of Climate Change in Oceanographic Conditions in the Atlantic Part of the Antarctic and topic no. FNNN-2021-0003 Development of Methods for Operational Oceanology based on Interdisciplinary Studies of the Formation and Evolution of the Marine Environment and Mathematical Modeling Using Data from Remote Sensing and Contact Measurements; POI FEB RAS, topic no. 0211-2021-0007 Technologies for Remote Sensing of the Earth and Ground-Based Measuring Systems in Integrated Studies of Dynamic Phenomena in the Ocean and Atmosphere and topic no. FWMM-2022-0033 Integrated Studies of the Environment and Climate of the Southern Ocean. The regional algorithm was developed with the support of the Russian Science Foundation (project no. 21-77-10059).</t>
  </si>
  <si>
    <t>10.1134/S0001437023040082</t>
  </si>
  <si>
    <t>WOS:001059620000011</t>
  </si>
  <si>
    <t>Kasyan, VV</t>
  </si>
  <si>
    <t>Kasyan, V. V.</t>
  </si>
  <si>
    <t>Structure and Spatial Distribution of Mesozooplankton Communities in the Atlantic Sector of the Southern Ocean</t>
  </si>
  <si>
    <t>mesozooplankton; copepods; krill Euphausia superba; Atlantic sector; Southern Ocean</t>
  </si>
  <si>
    <t>KRILL EUPHAUSIA-SUPERBA; ANTARCTIC KRILL; SCOTIA SEA; BRANSFIELD STRAIT; PENINSULA; TRANSPORT; TEMPERATURE; VARIABILITY; CIRCULATION; COPEPODS</t>
  </si>
  <si>
    <t>article discusses the composition and spatial distribution patterns of mesozooplankton com-munities in the waters of the Bransfield Strait, Antarctic Sound, Powell Basin of the Weddell Sea, and off the Antarctic Peninsula and South Orkney Islands during the austral summer of 2022. Among the mesozoo-plankton communities, two groups were revealed to be the most abundant: copepods Calanoides acutus, Metridia gerlachei and Oithona spp., and euphausiids Euphausia superba. The maximum abundance and bio-mass of mesozooplankton were found in warm Antarctic surface water (AASW) off the South Orkney Islands. Correspondingly, the minimum values were found in cold modified Transitional Weddell Sea Water (TWW) off the Antarctic Peninsula. Copepods was concentrated in the Bransfield Strait near the South Shetland Islands with a sea surface temperature (SST) of -0.5 to 0.5 degrees? and sea surface salinity (SSS) of 34.5-34.6%o; krill E. superba eggs and larvae at different stages of development was concentrated in waters off the South Orkney Islands with SST values of 1-2 degrees? and SSS values of 34.3-34.5%o. Four groups of mesozooplankton communities with different composition, abundance, and taxonomic dominance were identified. The results of this and future studies have practical implications for monitoring the state of the changing ecosystem of the Southern Ocean.</t>
  </si>
  <si>
    <t>[Kasyan, V. V.] Russian Acad Sci NSCMB FEB RAS, Far Eastern Branch, Zhirmunsky Natl Sci Ctr Marine Biol, Vladivostok 690041, Russia</t>
  </si>
  <si>
    <t>Russian Academy of Sciences; National Scientific Center of Marine Biology, Far East Branch of the Russian Academy of Sciences</t>
  </si>
  <si>
    <t>Kasyan, VV (corresponding author), Russian Acad Sci NSCMB FEB RAS, Far Eastern Branch, Zhirmunsky Natl Sci Ctr Marine Biol, Vladivostok 690041, Russia.</t>
  </si>
  <si>
    <t>valentina-k@yandex.ru</t>
  </si>
  <si>
    <t>Kasyan, Valentina/E-6024-2016</t>
  </si>
  <si>
    <t>10.1134/S0001437023040057</t>
  </si>
  <si>
    <t>WOS:001059620000012</t>
  </si>
  <si>
    <t>Gorbatenko, KM; Yakovenko, VA</t>
  </si>
  <si>
    <t>Gorbatenko, K. M.; Yakovenko, V. A.</t>
  </si>
  <si>
    <t>Spatial Variability of Macro- and Mesozooplankton in the Bransfield Strait in January 2020</t>
  </si>
  <si>
    <t>krill; salps; zooplankton; Bransfield Strait; biomass</t>
  </si>
  <si>
    <t>AUSTRAL SUMMER; ANTARCTIC PENINSULA; KRILL; ZOOPLANKTON; COMMUNITIES; SEA; CURRENTS; BIOMASS; SALPS</t>
  </si>
  <si>
    <t>The spatial distribution of the biomass of macro- and mesozoopankton species, as well as the size and sex structure of the species Euphausia superba (krill), Salpa thompsoni, and Ihlea racovitzai in the Bransfield Strait during the Antarctic summer of 2020 were studied. Krill is at the heart of the food chain of the Antarctic ecosystem because numerous populations of seabirds, seals, and whales feed on them. In recent decades, the Antarctic ecosystem has been under significant changes caused by global warming, but the nature and extent of this impact on krill stocks, especially its juveniles in the Bransfield Strait, remains insufficiently studied. At the same time, this particular region is a highly productive zone of the Antarctic ecosystem and one of the areas where concentrations of Antarctic krill accumulate. The aim of this research was to study the spatial variability of the structure, numbers, and biomass of zooplankton in the Bransfield Strait during the Antarctic summer of 2020. Zooplankton samples in the Bransfield Strait were collected with a Bongo net in January 2020. The samples were processed on the research vessel in the intervals between sampling according to the standard procedure. At all stations studied, the main zooplankton biomass consisted of salps (S. thompsoni and I. racovitzai). According to the coenotic significance index, salps were of primary importance in the zooplanktocenosis, in which E. superba occupied third place with a biomass ranging from 6.3 to 96.3 mg/m3; krill was encountered only in the northwestern deep-water part of the Bransfield Strait. This is due to food competition between salps (S. thompsoni, I. racovitzai) and krill. The presence of krill in the deep-water part of the Bransfield Strait is explained by its introduction from the Bellingshausen Sea due to the prevalence of western winds. The biomass of other zooplankton species in all areas of the strait was very small vesus that of salps and krill and was uniformly distributed. When comparing the ratio of the biomass of the above species obtained during the expedition with the data of the 1990s and 2000s, there is a clear trend of an increase in salps and a decrease in E. superba, probably associated with the general trend of an increase in water temperature in Antarctic water. Thus, the case study of the Bransfield Strait clearly shows a negative correlation between the biomass of salps and krill.</t>
  </si>
  <si>
    <t>[Gorbatenko, K. M.] Russian Acad Sci, Pacific Branch VNIRO TINRO, Vladivostok, Russia; [Yakovenko, V. A.] Russian Acad Sci, Kovalevsky Inst Biol Southern Seas, Sevastopol, Russia</t>
  </si>
  <si>
    <t>Russian Academy of Sciences; Russian Academy of Sciences; AO Kovalevsky Institute of Biology of the Southern Seas of RAS (IBSS)</t>
  </si>
  <si>
    <t>Yakovenko, VA (corresponding author), Russian Acad Sci, Kovalevsky Inst Biol Southern Seas, Sevastopol, Russia.</t>
  </si>
  <si>
    <t>yakovenko_vla@mail.ru</t>
  </si>
  <si>
    <t>We express our sincere gratitude to Captain L.V. Sazonov and the crew of the R/V Akademik Mstislav Keldysh for their assistance and well-coordinated work on the cruise, and to D.I. Frey for providing hydrological index data.</t>
  </si>
  <si>
    <t>10.1134/S0001437023040045</t>
  </si>
  <si>
    <t>WOS:001059620000013</t>
  </si>
  <si>
    <t>Murzina, SA; Voronin, VP; Bitiutskii, DG; Orlov, AM</t>
  </si>
  <si>
    <t>Murzina, S. A.; Voronin, V. P.; Bitiutskii, D. G.; Orlov, A. M.</t>
  </si>
  <si>
    <t>Modeling of the Distribution and Relationship with Abiotic Environmental Factors of Juvenile and Adult Antarctic Krill Euphausia superba Based on Actual Hydrophysical Measurements</t>
  </si>
  <si>
    <t>Antarctic krill Euphausia superba; ecological factors; statistical modeling; distribution; Atlantic sector of Antarctic</t>
  </si>
  <si>
    <t>GROWTH; ECOSYSTEM; CLIMATE; CYCLE</t>
  </si>
  <si>
    <t>The article discusses the results of statistical processing of the occurrence of krill individuals depending on some environmental factors, based on actual hydrophysical measurement data acquired at studied stations in the Powell Basin of the Weddell Sea, the Bransfield Strait, and Antarctic Sound, as well as off the South Orkney Islands, in the austral summer of 2022. Data were obtained on the association of the main abiotic environmental factors and their values, which are optimal for juvenile and mature krill individuals, and a number of abiotic environmental factors that affect the distribution of Antarctic krill in the studied region were identified. The results of such statistical modeling are important for monitoring the state of Antarctic ecosystems and their components under changing environmental factors, including current climate change trends.</t>
  </si>
  <si>
    <t>[Murzina, S. A.; Voronin, V. P.; Bitiutskii, D. G.] Russian Acad Sci, Inst Biol, Res Ctr, Petrozavodsk, Russia; [Bitiutskii, D. G.] Russian Fed Res Inst Fisheries &amp; Oceanog AzNIIRKH, Azov Black Sea Branch, Rostov Na Donu, Russia; [Orlov, A. M.] Shirshov Inst Oceanol, Moscow, Russia; [Orlov, A. M.] Tomsk State Univ, Tomsk, Russia</t>
  </si>
  <si>
    <t>Russian Academy of Sciences; Karelian Research Centre of the Russian Academy of Sciences; Institute of Biology of Karelian Research Centre RAS; Russian Academy of Sciences; Shirshov Institute of Oceanology; Tomsk State University</t>
  </si>
  <si>
    <t>Murzina, SA (corresponding author), Russian Acad Sci, Inst Biol, Res Ctr, Petrozavodsk, Russia.</t>
  </si>
  <si>
    <t>murzina-svetlana@gmail.com</t>
  </si>
  <si>
    <t>Bitiutskii, Dmitrii/GRS-3239-2022; Orlov, Alexei M./E-2036-2012</t>
  </si>
  <si>
    <t>Bitiutskii, Dmitrii/0000-0002-8396-9620; Orlov, Alexei M./0000-0002-0877-2553</t>
  </si>
  <si>
    <t>President of the Russian Federation for young doctors of sciences [5761.2021.1.4]</t>
  </si>
  <si>
    <t>President of the Russian Federation for young doctors of sciences</t>
  </si>
  <si>
    <t>The research was carried out within the state task of the Ministry of Science and Higher Education of the Russian Federation no. FMWE-2022-0001, GS KarRC RAS FMEN-2022-0006, and also with the financial support of Grant of the President of the Russian Federation for young doctors of sciences MD-5761.2021.1.4.</t>
  </si>
  <si>
    <t>10.1134/S0001437023040148</t>
  </si>
  <si>
    <t>WOS:001059620000014</t>
  </si>
  <si>
    <t>Kobyliansky, SG; Mishin, AV; Orlov, AM; Gordeeva, NV; Mukhametyanov, RZ</t>
  </si>
  <si>
    <t>Kobyliansky, S. G.; Mishin, A. V.; Orlov, A. M.; Gordeeva, N. V.; Mukhametyanov, R. Z.</t>
  </si>
  <si>
    <t>Spatial Structure of Deep-Sea Pelagial Ichthyocenes in the Northern Weddell Sea (Powell Basin) and Brunsfield Strait in Summer 2020 and 2022</t>
  </si>
  <si>
    <t>biodiversity; structure and abundance of pelagic ichthyocenes; Antarctica; Weddell Sea; mesopelagic; bathypelagic; hydrophysical structure of waters</t>
  </si>
  <si>
    <t>BRANSFIELD STRAIT; MESOPELAGIC FISH; SCOTIA SEA; COMMUNITY STRUCTURE; SOUTHERN-OCEAN; MICRONEKTON; ABUNDANCE; WATERS; MACROZOOPLANKTON; MYCTOPHIDAE</t>
  </si>
  <si>
    <t>A review of the composition and structure of deep-sea pelagic ichthyocenes in the Bransfield Strait and northern Weddell Sea (Powell Basin) in the Atlantic sector of the Southern Ocean is presented. The material was obtained in summer 2020 and 2022 at 26 stations at layers from 120-0 to 2200-0 m. Nine hundred one specimens of juveniles and adult fishes belonging to 19 species from 10 families were collected. Statistical analysis made it possible to identify four significantly different regions in which the dominant ichthyocenes were located in waters of different origin. These ichthyocenes are poor in the number of identified species, but often quite numerous. Relatively shallow-water representatives of the families Bathydraconidae, Channichthyidae, Liparidae, and Nototheniidae, endemic to the shelf and slope of Antarctica, dominated in the area of the Antarctic Strait and on the shelf of the Antarctic Peninsula. At the same time in the Bransfield Strait, the abyssal basin of the Powell Basin, and in the pelagic zone above deep-sea ridges and trenches bordering it from the north, meso- and bathypelagic fish from the families Mycthophidae, Bathylagidae, Gonostomatidae, Paralepididae, and Scopelarchidae prevailed. Near the northern boundary of the Powell Basin, the number of mesobatypelagic species and their average abundance were higher than in its central part (11 vs. 7 species and 63.5 vs. 84.1 sp./100 m(2)). In the central part of the basin, Bathylagus antarcticus dominated, with an average share of 40% in catches and 28.8 sp./100 m(2), while in the northern part of the basin, Electrona antarctica dominated, with an average share of 33%, 27.4 sp./100 m(2).</t>
  </si>
  <si>
    <t>[Kobyliansky, S. G.; Mishin, A. V.; Orlov, A. M.; Gordeeva, N. V.; Mukhametyanov, R. Z.] Russian Acad Sci, Shirshov Inst Oceanol, Moscow, Russia; [Orlov, A. M.] Russian Acad Sci, Severtsov Inst Ecol &amp; Evolut, Moscow, Russia; [Orlov, A. M.] Tomsk State Univ, Tomsk, Russia; [Gordeeva, N. V.] Russian Acad Sci, Vavilov Inst Gen Genet, Moscow, Russia</t>
  </si>
  <si>
    <t>Russian Academy of Sciences; Shirshov Institute of Oceanology; Russian Academy of Sciences; Saratov Scientific Center of the Russian Academy of Sciences; Severtsov Institute of Ecology &amp; Evolution; Tomsk State University; Russian Academy of Sciences; Vavilov Institute of General Genetics</t>
  </si>
  <si>
    <t>Kobyliansky, SG (corresponding author), Russian Acad Sci, Shirshov Inst Oceanol, Moscow, Russia.</t>
  </si>
  <si>
    <t>kobylianskysg@gmail.com</t>
  </si>
  <si>
    <t>Orlov, Alexei M./E-2036-2012</t>
  </si>
  <si>
    <t>Orlov, Alexei M./0000-0002-0877-2553</t>
  </si>
  <si>
    <t>10.1134/S0001437023040070</t>
  </si>
  <si>
    <t>WOS:001059620000015</t>
  </si>
  <si>
    <t>Kharitonov, SP; Tretyakov, AV; Chukmasov, PV; Chernetsky, AD; Mischenko, AL; Konyukhov, NB; Dmitriev, AE; Artemyeva, SM; Pilipenko, GY; Mamaev, MS; Tretyakova, LG; Rozhnov, VV</t>
  </si>
  <si>
    <t>Kharitonov, S. P.; Tretyakov, A. V.; Chukmasov, P. V.; Chernetsky, A. D.; Mischenko, A. L.; Konyukhov, N. B.; Dmitriev, A. E.; Artemyeva, S. M.; Pilipenko, G. Yu.; Mamaev, M. S.; Tretyakova, L. G.; Rozhnov, V. V.</t>
  </si>
  <si>
    <t>Number of the Most Abundant Marine Mammals Species in the Vicinities of the Antarctic Peninsula, Scotia Sea, and Powell Basin</t>
  </si>
  <si>
    <t>Antarctic; humpback whale; fin whale; Antarctic fur seal</t>
  </si>
  <si>
    <t>ATLANTIC SECTOR; ECOSYSTEM; WHALES</t>
  </si>
  <si>
    <t>Observations were conducted from the R/V Akademik Mstislav Keldysh in the Drake Passage, the vicinities of the Antarctic Peninsula, the Scotia Sea, and the northern Weddell Sea during two cruises in January-early March 2020 (cruise 79) and during a single cruise in January-February 2022 (cruise 87). The data make it possible to assess the number of the most abundant sea mammals in the area near the South Shetland Islands, Scotia Sea, and Powell Basin. The 2022 observation area in the Antarctic was located about 150 km east of the 2020 area. The survey area, which was a bit larger than 343 000 km(2) in January-February 2020, hosted approximately 1200 humpback whales (Megaptera novaeangliae) and 2800 fin whales (Balaenoptera physalus). In 2022, this area hosted approximately 2500 fin whales and again more than 1200 humpback whales. The numbers of the Antarctic fur seals in each season here were assessed at approximately 2000-3000 animals. The type of distribution of these two whale species along the track of the vessel indicated the absence of intra- or interspecies food competition during the austral summers of 2020 and 2022. It was possible to evaluate the total numbers of Antarctic fur seal (Arctocephalus gazella); however, this assessment appeared less precise than the same ones for humpback and fin whales.</t>
  </si>
  <si>
    <t>[Kharitonov, S. P.; Tretyakov, A. V.; Chukmasov, P. V.; Mischenko, A. L.; Konyukhov, N. B.; Dmitriev, A. E.; Mamaev, M. S.; Tretyakova, L. G.; Rozhnov, V. V.] Russian Acad Sci, Severtsov Inst Ecol &amp; Evolut, Moscow 119071, Russia; [Chernetsky, A. D.] Russian Acad Sci, Shirshov Inst Oceanol, Moscow 117997, Russia; [Artemyeva, S. M.] Moscow MV Lomonosov State Univ, Zool Museum, Moscow 125009, Russia; [Pilipenko, G. Yu.] Moscow MV Lomonosov State Univ, Moscow 119991, Russia</t>
  </si>
  <si>
    <t>Russian Academy of Sciences; Saratov Scientific Center of the Russian Academy of Sciences; Severtsov Institute of Ecology &amp; Evolution; Russian Academy of Sciences; Shirshov Institute of Oceanology; Lomonosov Moscow State University; Lomonosov Moscow State University</t>
  </si>
  <si>
    <t>Kharitonov, SP (corresponding author), Russian Acad Sci, Severtsov Inst Ecol &amp; Evolut, Moscow 119071, Russia.</t>
  </si>
  <si>
    <t>serpkh@gmail.com</t>
  </si>
  <si>
    <t>Kharitonov, Sergey P./A-4697-2016; Konyukhov, Nikolay/AEH-8344-2022; Chernetsky, Anton/KHD-4758-2024</t>
  </si>
  <si>
    <t>Chernetsky, Anton/0000-0002-3099-3416; Krasnova, Vera/0000-0002-0042-2540</t>
  </si>
  <si>
    <t>10.1134/S0001437023040069</t>
  </si>
  <si>
    <t>WOS:001059620000017</t>
  </si>
  <si>
    <t>Vera, R; Bagnara, M; Henríquez, R; Muñoz, L; Rojas, P; Díaz-Gómez, A</t>
  </si>
  <si>
    <t>Vera, Rosa; Bagnara, Margarita; Henriquez, Rodrigo; Munoz, Lisa; Rojas, Paula; Diaz-Gomez, Andres</t>
  </si>
  <si>
    <t>Performance of Anticorrosive Paint Systems for Carbon Steel in the Antarctic Marine Environment</t>
  </si>
  <si>
    <t>MATERIALS</t>
  </si>
  <si>
    <t>Antarctic; atmospheric corrosion; organic coatings; carbon steel</t>
  </si>
  <si>
    <t>ATMOSPHERIC CORROSION; COATED STEEL; COATINGS; METALS; STABILITY; IMPEDANCE; EXPOSURE; ADHESION; REGIONS</t>
  </si>
  <si>
    <t>This study evaluated the behavior of three paint systems exposed to the Antarctic marine environment for 45 months compared to a control of uncoated carbon steel with a determined corrosion rate. At the study site, all environmental conditions, solar radiation, and the concentration of environmental pollutants (Cl- and SO2) were evaluated. The paint systems differed in terms of the primer and top coat. Coated samples were studied before and after exposure. They were evaluated visually and using SEM to determine adhesion, abrasion, and contact angle; using the Evans X-Cut Tape Test; using ATR-FTIR spectroscopy to analyze the state of aging of the top layer; and using electrochemical impedance spectroscopy (EIS) for coat protection characterization. The corrosion rate obtained for steel was 85.64 mu m year (-1), which aligned with a C5 environmental corrosivity category. In general, the evaluation in the period studied showed the paint systems had good adhesion and resistance to delamination, without the presence of surface rust, and exhibited some loss of brightness, an increase in the abrasion index, and a decrease in the percentage of reflectance due to aging. EIS showed good protection capability of the three coating schemes. In general, this type of paint system has not previously been evaluated in an extreme environment after 45 months of exposure to the environment. The results showed that the best behavior was found for the system whose top layer was acrylic-aliphatic polyurethane.</t>
  </si>
  <si>
    <t>[Vera, Rosa; Bagnara, Margarita; Henriquez, Rodrigo; Munoz, Lisa; Diaz-Gomez, Andres] Pontificia Univ Catolica Valparaiso, Fac Ciencias, Inst Quim, Ave Univ 330,Placilla Curauma, Valparaiso 2373223, Chile; [Rojas, Paula] Univ Adolfo Ibanez, Fac Ingn &amp; Ciencias, Diagonal Las Torres 2640, Santiago 7941169, Chile</t>
  </si>
  <si>
    <t>Pontificia Universidad Catolica de Valparaiso; Universidad Adolfo Ibanez</t>
  </si>
  <si>
    <t>Vera, R; Díaz-Gómez, A (corresponding author), Pontificia Univ Catolica Valparaiso, Fac Ciencias, Inst Quim, Ave Univ 330,Placilla Curauma, Valparaiso 2373223, Chile.</t>
  </si>
  <si>
    <t>rosa.vera@pucv.cl; margarita.bagnara@pucv.cl; rodrigo.henriquez@pucv.cl; lisa.munoz@pucv.cl; paula.rojas.s@uai.cl; andresdiaz.qind@gmail.com</t>
  </si>
  <si>
    <t>Henríquez, Rodrigo/E-2155-2014</t>
  </si>
  <si>
    <t>Rojas, Paula/0000-0002-2529-993X; munoz, lisa/0000-0002-4588-2620; Diaz-Gomez, Andres/0000-0001-8027-7517; Henriquez, Rodrigo/0000-0002-2612-5413</t>
  </si>
  <si>
    <t>INNOVA-CORFO Chile Project [13BPC3-19083]</t>
  </si>
  <si>
    <t>INNOVA-CORFO Chile Project</t>
  </si>
  <si>
    <t>The authors thank INNOVA-CORFO Chile Project 13BPC3-19083.</t>
  </si>
  <si>
    <t>1996-1944</t>
  </si>
  <si>
    <t>Materials</t>
  </si>
  <si>
    <t>10.3390/ma16165713</t>
  </si>
  <si>
    <t>Chemistry, Physical; Materials Science, Multidisciplinary; Metallurgy &amp; Metallurgical Engineering; Physics, Applied; Physics, Condensed Matter</t>
  </si>
  <si>
    <t>Chemistry; Materials Science; Metallurgy &amp; Metallurgical Engineering; Physics</t>
  </si>
  <si>
    <t>Q3WD2</t>
  </si>
  <si>
    <t>WOS:001056846400001</t>
  </si>
  <si>
    <t>Fudala, K; Bialik, RJ</t>
  </si>
  <si>
    <t>Fudala, Katarzyna; Bialik, Robert Jozef</t>
  </si>
  <si>
    <t>Identifying Important Bird and Biodiversity Areas in Antarctica Using RPAS Surveys-A Case Study of Cape Melville, King George Island, Antarctica</t>
  </si>
  <si>
    <t>DRONES</t>
  </si>
  <si>
    <t>Antarctic Important Bird and Biodiversity Area; King George Island; Cape Melville; RPAS in wildlife conservation; Antarctic shag; Leucocarbo bransfieldensis; chinstrap penguin; Pygoscelis antarcticus; IBA monitoring</t>
  </si>
  <si>
    <t>SHAGS; UAV</t>
  </si>
  <si>
    <t>A remotely piloted aircraft system (RPAS) survey of an area containing the eastern extremity of King George Island, including Cape Melville and an extensive part of Destruction Bay, as well as small offshore islands, was undertaken in December 2022. Using RPAS, an inventory of the Destruction Bay area was performed. Chinstrap penguin and Antarctic shag nests were found on Cape Melville and on Trowbridge Island, Middle Island, and an unnamed area located between the (sic) rnen Rocks formation and Trowbridge Island. During the survey, 507 Antarctic shag nests and over 9000 chinstrap penguin nests were mapped in the investigated area; 458 Antarctic shag nests and 4960 +/- 19 chinstrap penguin nests aggregated together on an 8.61 ha land section of Cape Melville were identified. The quantity of Antarctic shag nests found allows for the classification of the area of Cape Melville as an IBA. Among the 175 currently known colonies of Antarctic shags in Antarctica, this is the fifth largest. In this paper, we present the results of the survey, including orthophotos with mapped nest locations. We propose the following recommendations to policy makers and the scientific community: (1) the area of Cape Melville should be classified as an Antarctic Important Bird and Biodiversity Area; (2) based on the RPAS flight, a new boundary of the Cape Melville IBA is proposed; (3) the threshold value (based on &gt;1% of species) to establish an IBA for Antarctic shags should be changed to 122 to reflect the increased estimate of the global population of Antarctic shags; and (4) an inventory of all areas, including previous IBAs that can be qualified as major colonies of breeding native birds, should be recommended at the Antarctic Treaty Consultative Meeting (ATCM). In logistically inaccessible bird breeding sites, such as the one presented here, RPASs should be used to carry out regular monitoring of Antarctic Important Bird and Biodiversity Areas.</t>
  </si>
  <si>
    <t>[Fudala, Katarzyna; Bialik, Robert Jozef] Polish Acad Sci, Inst Biochem &amp; Biophys, Pawinskiego 5a, PL-02106 Warsaw, Poland</t>
  </si>
  <si>
    <t>Polish Academy of Sciences; Institute of Biochemistry &amp; Biophysics - Polish Academy of Sciences</t>
  </si>
  <si>
    <t>Bialik, RJ (corresponding author), Polish Acad Sci, Inst Biochem &amp; Biophys, Pawinskiego 5a, PL-02106 Warsaw, Poland.</t>
  </si>
  <si>
    <t>fudala.katarzyna@ibb.waw.pl; rbialik@ibb.waw.pl</t>
  </si>
  <si>
    <t>Bialik, Robert/0000-0002-0254-6352</t>
  </si>
  <si>
    <t>We appreciate the support provided by the Arctowski Polish Antarctic Station. We are particularly grateful to the members of the 45th and 46th Polish Expeditions to King George Island.</t>
  </si>
  <si>
    <t>2504-446X</t>
  </si>
  <si>
    <t>DRONES-BASEL</t>
  </si>
  <si>
    <t>Drones-Basel</t>
  </si>
  <si>
    <t>10.3390/drones7080538</t>
  </si>
  <si>
    <t>Remote Sensing</t>
  </si>
  <si>
    <t>Q1QQ4</t>
  </si>
  <si>
    <t>WOS:001055338700001</t>
  </si>
  <si>
    <t>Lang, BJ; Donelson, JM; Bairos-Novak, KR; Wheeler, CR; Caballes, CF; Uthicke, S; Pratchett, MS</t>
  </si>
  <si>
    <t>Lang, Bethan J.; Donelson, Jennifer M.; Bairos-Novak, Kevin R.; Wheeler, Carolyn R.; Caballes, Ciemon F.; Uthicke, Sven; Pratchett, Morgan S.</t>
  </si>
  <si>
    <t>Impacts of ocean warming on echinoderms: A meta-analysis</t>
  </si>
  <si>
    <t>brittle stars; climate change; environmental change; global ecology; life stage; region; sea cucumbers; sea stars; sea urchins; temperature</t>
  </si>
  <si>
    <t>ANTARCTIC SEA-URCHIN; OF-THORNS STARFISH; THERMAL TOLERANCE; CLIMATE-CHANGE; STERECHINUS-NEUMAYERI; GONAD GROWTH; PHYSIOLOGICAL PERFORMANCE; EMBRYONIC-DEVELOPMENT; ACANTHASTER-PLANCI; WATER TEMPERATURE</t>
  </si>
  <si>
    <t>Rising ocean temperatures are threatening marine species and populations worldwide, and ectothermic taxa are particularly vulnerable. Echinoderms are an ecologically important phylum of marine ectotherms and shifts in their population dynamics can have profound impacts on the marine environment. The effects of warming on echinoderms are highly variable across controlled laboratory-based studies. Accordingly, synthesis of these studies will facilitate the better understanding of broad patterns in responses of echinoderms to ocean warming. Herein, a meta-analysis incorporating the results of 85 studies (710 individual responses) is presented, exploring the effects of warming on various performance predictors. The mean responses of echinoderms to all magnitudes of warming were compared across multiple biological responses, ontogenetic life stages, taxonomic classes, and regions, facilitated by multivariate linear mixed effects models. Further models were conducted, which only incorporated responses to warming greater than the projected end-of-century mean annual temperatures at the collection sites. This meta-analysis provides evidence that ocean warming will generally accelerate metabolic rate (+32%) and reduce survival (-35%) in echinoderms, and echinoderms from subtropical (-9%) and tropical (-8%) regions will be the most vulnerable. The relatively high vulnerability of echinoderm larvae to warming (-20%) indicates that this life stage may be a significant developmental bottleneck in the near-future, likely reducing successful recruitment into populations. Furthermore, asteroids appear to be the class of echinoderms that are most negatively affected by elevated temperature (-30%). When considering only responses to magnitudes of warming representative of end-of-century climate change projections, the negative impacts on asteroids, tropical species and juveniles were exacerbated (-51%, -34% and -40% respectively). The results of these analyses enable better predictions of how keystone and invasive echinoderm species may perform in a warmer ocean, and the possible consequences for populations, communities and ecosystems. This meta-analysis on the effects of ocean warming on echinoderms reveals that survival rates are substantially reduced. Echinoderms from regions closer to the equator appear to be the most vulnerable to elevated temperatures, and larvae may face significant developmental challenges that could hinder successful population recruitment. Among echinoderm classes, starfish were found to be particularly vulnerable, and when considering end-of-century climate change projections, the negative impacts on starfish and tropical echinoderms are exacerbated.image</t>
  </si>
  <si>
    <t>[Lang, Bethan J.; Donelson, Jennifer M.; Bairos-Novak, Kevin R.; Wheeler, Carolyn R.; Caballes, Ciemon F.; Pratchett, Morgan S.] James Cook Univ, Australian Res Council Ctr Excellence Coral Reef S, Townsville, Qld, Australia; [Lang, Bethan J.; Bairos-Novak, Kevin R.] James Cook Univ, AIMSJCU, Townsville, Qld, Australia; [Wheeler, Carolyn R.] Univ Massachusetts Boston, Sch Environm, Boston, MA USA; [Caballes, Ciemon F.] Univ Guam, Natl Sci Fdn EPSCoR Guam Ecosyst Collaboratorium C, Marine Lab, Mangilao, GU USA; [Uthicke, Sven] Australian Inst Marine Sci, Townsville, Qld, Australia; [Lang, Bethan J.] James Cook Univ, Australian Res Council Ctr Excellence Coral Reef S, Townsville, Qld 4811, Australia</t>
  </si>
  <si>
    <t>James Cook University; James Cook University; University of Massachusetts System; University of Massachusetts Boston; University of Guam; Australian Institute of Marine Science; James Cook University</t>
  </si>
  <si>
    <t>Lang, BJ (corresponding author), James Cook Univ, Australian Res Council Ctr Excellence Coral Reef S, Townsville, Qld 4811, Australia.</t>
  </si>
  <si>
    <t>bethan.lang@my.jcu.edu.au</t>
  </si>
  <si>
    <t>Pratchett, Morgan/AAW-5179-2020; Uthicke, Sven/F-1810-2010; Lang, Bethan J/GZG-6863-2022; Donelson, Jennifer/M-5531-2018; Caballes, Ciemon Frank/D-7846-2016</t>
  </si>
  <si>
    <t>Pratchett, Morgan/0000-0002-1862-8459; Uthicke, Sven/0000-0002-3476-6595; Lang, Bethan J/0000-0003-3953-0634; Wheeler, Carolyn/0000-0001-9976-8420; Bairos-Novak, Kevin R/0000-0002-0152-1452; Donelson, Jennifer/0000-0002-0039-5300; Caballes, Ciemon Frank/0000-0003-1865-6713</t>
  </si>
  <si>
    <t>Australian Research Council [CE140100020, FT190100015]; James Cook University; Australian Research Council [FT190100015] Funding Source: Australian Research Council</t>
  </si>
  <si>
    <t>Australian Research Council(Australian Research Council); James Cook University; Australian Research Council(Australian Research Council)</t>
  </si>
  <si>
    <t>Australian Research Council, Grant/ Award Number: CE140100020 and FT190100015; James Cook University</t>
  </si>
  <si>
    <t>e10307</t>
  </si>
  <si>
    <t>10.1002/ece3.10307</t>
  </si>
  <si>
    <t>Q4LK3</t>
  </si>
  <si>
    <t>Green Accepted, gold, Green Published, Green Submitted</t>
  </si>
  <si>
    <t>WOS:001057248000001</t>
  </si>
  <si>
    <t>Lim, ZS; Wong, CY; Ahmad, SA; Puasa, NA; Phang, LY; Shaharuddin, NA; Merican, F; Convey, P; Zulkharnain, A; Shaari, H; Azmi, AA; Kok, YY; Gomez-Fuentes, C</t>
  </si>
  <si>
    <t>Lim, Zheng Syuen; Wong, Chiew-Yen; Ahmad, Siti Aqlima; Puasa, Nurul Aini; Phang, Lai Yee; Shaharuddin, Noor Azmi; Merican, Faradina; Convey, Peter; Zulkharnain, Azham; Shaari, Hasrizal; Azmi, Alyza Azzura; Kok, Yih-Yih; Gomez-Fuentes, Claudio</t>
  </si>
  <si>
    <t>Harnessing Diesel-Degrading Potential of an Antarctic Microalga from Greenwich Island and Its Physiological Adaptation</t>
  </si>
  <si>
    <t>Antarctic microalga; phytoremediation; diesel biodegradation; biosorption; hydrocarbon</t>
  </si>
  <si>
    <t>BIODEGRADATION; DEGRADATION; PYRENE; HYDROCARBONS; FLUORANTHENE; CHLOROPHYTA; BIOSORPTION; GROWTH; LIGHT; SOIL</t>
  </si>
  <si>
    <t>Phytoremediation is a plant-based approach to extract, stabilise, eliminate, or render pollutants into less harmful form. The study highlights the use of a native polar microalga as a means of phytoremediation in Antarctica where imported microbes are prohibited. Since 1959, Antarctica has been a protected region to preserve its dynamic ecosystems, but it is increasingly vulnerable to climate change and pollution. One of the anthropogenic disturbances in the continent is diesel spillage. Due to the extreme polar environment, natural attenuation of spilled diesel is severely hindered; hence, the problem calls for an effective and sustainable solution. This laboratory study proved that Antarctic microalga was capable of removing diesel (57.6%) through biodegradation and biosorption in the span of nine days. Meanwhile, mixotrophic cultivation triggered the vacuolar activities and potentially stimulated lipid assimilation in the cells. The microalgal-based process offers a cheap alternative in water decontamination while bearing the economic potential through the secretion of valuable products, such as biolipids. Abstract: Microalgae are well known for their metal sorption capacities, but their potential in the remediation of hydrophobic organic compounds has received little attention in polar regions. We evaluated in the laboratory the ability of an Antarctic microalga to remediate diesel hydrocarbons and also investigated physiological changes consequent upon diesel exposure. Using a polyphasic taxonomic approach, the microalgal isolate, WCY_AQ5_1, originally sampled from Greenwich Island (South Shetland Islands, maritime Antarctica) was identified as Tritostichococcus sp. (OQ225631), a recently erected lineage within the redefined Stichococcus clade. Over a nine-day experimental incubation, 57.6% of diesel (similar to 3.47 g/L) was removed via biosorption and biodegradation, demonstrating the strain's potential for phytoremediation. Fourier transform infrared spectroscopy confirmed the adsorption of oil in accordance with its hydrophobic characteristics. Overall, degradation predominated over sorption of diesel. Chromatographic analysis confirmed that the strain efficiently metabolised medium-chain length n-alkanes (C-7 to C-21), particularly n-heneicosane. Mixotrophic cultivation using diesel as the organic carbon source under a constant light regime altered the car/chl-a ratio and triggered vacuolar activities. A small number of intracellular lipid droplets were observed on the seventh day of cultivation in transmission electron microscopic imaging. This is the first confirmation of diesel remediation ability in an Antarctic green microalga.</t>
  </si>
  <si>
    <t>[Lim, Zheng Syuen; Wong, Chiew-Yen; Kok, Yih-Yih] Int Med Univ, Sch Hlth Sci, Kuala Lumpur 57000, Malaysia; [Lim, Zheng Syuen; Ahmad, Siti Aqlima; Puasa, Nurul Aini; Shaharuddin, Noor Azmi] Univ Putra Malaysia, Fac Biotechnol &amp; Biomol Sci, Dept Biochem, Serdang 43400, Selangor, Malaysia; [Wong, Chiew-Yen] Int Med Univ, Ctr Environm &amp; Populat Hlth, Inst Res Dev &amp; Innovat IRDI, Kuala Lumpur 57000, Malaysia; [Ahmad, Siti Aqlima; Gomez-Fuentes, Claudio] Univ Magallanes, Ctr Res &amp; Antarctic Environm Monitoring CIMAA, Avda Bulnes, Punta Arenas 01855, Chile; [Ahmad, Siti Aqlima] Univ Putra Malaysia, Inst Trop Forestry &amp; Forest Prod INTROP, Lab Bioresource Management, Serdang 43400, Selangor, Malaysia; [Ahmad, Siti Aqlima] Univ Putra Malaysia, Inst Adv Technol, Mat Synth &amp; Characterizat Lab, Serdang 43400, Selangor, Malaysia; [Phang, Lai Yee] Univ Putra Malaysia, Fac Biotechnol &amp; Biomol Sci, Dept Bioproc Technol, Serdang 43400, Selangor, Malaysia; [Merican, Faradina] Univ Sains Malaysia, Sch Biol Sci, Minden 11800, Pulau Pinang, Malaysia; [Convey, Peter] British Antarctic Survey, NERC, High Cross Madingley Rd, Cambridge CB3 0ET, England; [Convey, Peter] Univ Johannesburg, Dept Zool, POB 524, ZA-2006 Auckland Pk, South Africa; [Convey, Peter] Millennium Inst Biodivers Antarctic &amp; Subantarct E, Las Palmeras 3425, Santiago, Chile; [Zulkharnain, Azham] Shibaura Inst Technol, Coll Syst Engn &amp; Sci, Dept Biosci &amp; Engn, 307 Fukasaku,Minuma Ku, Saitama 3378570, Japan; [Shaari, Hasrizal] Univ Malaysia Terengganu, Ctr Res &amp; Field Serv, Terengganu 21030, Malaysia; [Shaari, Hasrizal] Univ Malaysia Terengganu, Inst Oceanog &amp; Environm, Terengganu 21030, Malaysia; [Shaari, Hasrizal; Azmi, Alyza Azzura] Univ Malaysia Terengganu, Fac Sci &amp; Marine Environm, Terengganu 21030, Malaysia</t>
  </si>
  <si>
    <t>International Medical University Malaysia; Universiti Putra Malaysia; International Medical University Malaysia; Universidad de Magallanes; Universiti Putra Malaysia; Universiti Putra Malaysia; Universiti Putra Malaysia; Universiti Sains Malaysia; UK Research &amp; Innovation (UKRI); Natural Environment Research Council (NERC); NERC British Antarctic Survey; University of Johannesburg; Shibaura Institute of Technology; Universiti Malaysia Terengganu; Universiti Malaysia Terengganu; Universiti Malaysia Terengganu</t>
  </si>
  <si>
    <t>Wong, CY (corresponding author), Int Med Univ, Sch Hlth Sci, Kuala Lumpur 57000, Malaysia.;Ahmad, SA (corresponding author), Univ Putra Malaysia, Fac Biotechnol &amp; Biomol Sci, Dept Biochem, Serdang 43400, Selangor, Malaysia.;Wong, CY (corresponding author), Int Med Univ, Ctr Environm &amp; Populat Hlth, Inst Res Dev &amp; Innovat IRDI, Kuala Lumpur 57000, Malaysia.;Ahmad, SA (corresponding author), Univ Magallanes, Ctr Res &amp; Antarctic Environm Monitoring CIMAA, Avda Bulnes, Punta Arenas 01855, Chile.;Ahmad, SA (corresponding author), Univ Putra Malaysia, Inst Trop Forestry &amp; Forest Prod INTROP, Lab Bioresource Management, Serdang 43400, Selangor, Malaysia.;Ahmad, SA (corresponding author), Univ Putra Malaysia, Inst Adv Technol, Mat Synth &amp; Characterizat Lab, Serdang 43400, Selangor, Malaysia.</t>
  </si>
  <si>
    <t>syuenylim@gmail.com; wongchiewyen@imu.edu.my; aqlima@upm.edu.my; nurulainipuasa@gmail.com; phanglaiyee@upm.edu.my; noorazmi@upm.edu.my; faradina@usm.my; pcon@bas.ac.uk; azham@shibaura-it.ac.jp; riz@umt.edu.my; alyza.azzura@umt.edu.my; yihyih_kok@imu.edu.my; claudio.gomez@umag.cl</t>
  </si>
  <si>
    <t>Gomez-Fuentes, Claudio/ACN-8984-2022; Yen, Wong Chiew/AFY-1719-2022; shaari, hasrizal/X-3241-2018; kok, yih yih/D-7860-2016</t>
  </si>
  <si>
    <t>Gomez-Fuentes, Claudio/0000-0001-9060-7727; shaari, hasrizal/0000-0002-7738-3885; Ahmad, Siti Aqlima/0000-0002-7625-3704; Lim, Zheng Syuen/0000-0002-8650-8408; Zulkharnain, Azham/0000-0001-9173-8171; Wong, Chiew-Yen/0000-0003-0534-6206; Convey, Peter/0000-0001-8497-9903</t>
  </si>
  <si>
    <t>Yayasan Penyelidikan Antartika Sultan Mizan (YPASM) Research Grant 2020 [IMU R 271/2021, UPM 6300247]; NERC core</t>
  </si>
  <si>
    <t>Yayasan Penyelidikan Antartika Sultan Mizan (YPASM) Research Grant 2020; NERC core</t>
  </si>
  <si>
    <t>This research was funded by Yayasan Penyelidikan Antartika Sultan Mizan (YPASM) Research Grant 2020, grant number IMU R 271/2021 and UPM 6300247. P. Convey is supported by NERC core funding to the BAS Biodiversity, Evolution, and Adaptation' team.</t>
  </si>
  <si>
    <t>10.3390/biology12081142</t>
  </si>
  <si>
    <t>Q2LH6</t>
  </si>
  <si>
    <t>WOS:001055878000001</t>
  </si>
  <si>
    <t>Lu, QB</t>
  </si>
  <si>
    <t>Lu, Qing-Bin</t>
  </si>
  <si>
    <t>Critical Review on Radiative Forcing and Climate Models for Global Climate Change since 1970</t>
  </si>
  <si>
    <t>ATMOSPHERE</t>
  </si>
  <si>
    <t>physics of climate models; radiative forcing; chlorofluorocarbons (CFCs); carbon dioxide (CO2); global warming; global cooling</t>
  </si>
  <si>
    <t>ATMOSPHERIC CARBON-DIOXIDE; SEA-LEVEL; STRATOSPHERIC OZONE; CO2 CONCENTRATION; TRENDS; CHLOROFLUOROCARBONS; CONSTRUCTION; VARIABILITY; INADEQUACY; CHEMISTRY</t>
  </si>
  <si>
    <t>This review identifies a critical problem in the fundamental physics of current climate models. The large greenhouse effect of rising CO2 assumed in climate models is assessed by six key observations from ground- and satellite-based measurements. This assessment is enhanced by statistical analyses and model calculations of global or regional mean surface temperature changes by conventional climate models and by a conceptual quantum physical model of global warming due to halogen-containing greenhouse gases (halo-GHGs). The postulated large radiative forcing of CO2 in conventional climate models does not agree with satellite observations. Satellite-observed warming pattern resembles closely the atmospheric distribution of chlorofluorocarbons (CFCs). This review helps understand recent remarkable observations of reversals from cooling to warming in the lower stratosphere over most continents and in the upper stratosphere at high latitudes, surface warming cessations in the Antarctic, North America, UK, and Northern-Hemisphere (NH) extratropics, and the stabilization in NH or North America snow cover, since the turn of the century. The complementary observation of surface temperature changes in 3 representative regions (Central England, the Antarctic, and the Arctic) sheds new light on the primary mechanism of global warming. These observations agree well with not CO2-based climate models but the CFC-warming quantum physical model. The latter offers parameter-free analytical calculations of surface temperature changes, exhibiting remarkable agreement with observations. These observations overwhelmingly support an emerging picture that halo-GHGs made the dominant contribution to global warming in the late 20th century and that a gradual reversal in warming has occurred since similar to 2005 due to the phasing out of halo-GHGs. Advances and insights from this review may help humans make rational policies to reverse the past warming and maintain a healthy economy and ecosystem.</t>
  </si>
  <si>
    <t>[Lu, Qing-Bin] Univ Waterloo, Dept Phys &amp; Astron, Dept Biol, 200 Univ Ave West, Waterloo, ON N2L 3G1, Canada; [Lu, Qing-Bin] Univ Waterloo, Dept Chem, 200 Univ Ave West, Waterloo, ON N2L 3G1, Canada</t>
  </si>
  <si>
    <t>University of Waterloo; University of Waterloo</t>
  </si>
  <si>
    <t>Lu, QB (corresponding author), Univ Waterloo, Dept Phys &amp; Astron, Dept Biol, 200 Univ Ave West, Waterloo, ON N2L 3G1, Canada.;Lu, QB (corresponding author), Univ Waterloo, Dept Chem, 200 Univ Ave West, Waterloo, ON N2L 3G1, Canada.</t>
  </si>
  <si>
    <t>qblu@uwaterloo.ca</t>
  </si>
  <si>
    <t>CHEN, MINGWEI/KHT-6744-2024; zhao, wei/JZD-4475-2024; tong, li/KDO-7821-2024</t>
  </si>
  <si>
    <t>The author thanks Anthony Leggett for his critical review of an early version of this manuscript and for his helpful comments.</t>
  </si>
  <si>
    <t>2073-4433</t>
  </si>
  <si>
    <t>ATMOSPHERE-BASEL</t>
  </si>
  <si>
    <t>Atmosphere</t>
  </si>
  <si>
    <t>10.3390/atmos14081232</t>
  </si>
  <si>
    <t>Q3FO5</t>
  </si>
  <si>
    <t>WOS:001056407100001</t>
  </si>
  <si>
    <t>Hoffmann-Abdi, K; Fernandoy, F; Meyer, H; Freitag, J; Opel, T; Mcconnell, JR; Schneider, C</t>
  </si>
  <si>
    <t>Hoffmann-Abdi, Kirstin; Fernandoy, Francisco; Meyer, Hanno; Freitag, Johannes; Opel, Thomas; Mcconnell, Joseph R.; Schneider, Christoph</t>
  </si>
  <si>
    <t>Short-Term Meteorological and Environmental Signals Recorded in a Firn Core from a High-Accumulation Site on Plateau Laclavere, Antarctic Peninsula (vol 11, 428, 2021)</t>
  </si>
  <si>
    <t>GEOSCIENCES</t>
  </si>
  <si>
    <t>[Hoffmann-Abdi, Kirstin; Meyer, Hanno; Opel, Thomas] Alfred Wegener Inst, Helmholtz Ctr Polar &amp; Marine Res, Res Unit Potsdam, Telegrafenberg A45, D-14473 Potsdam, Germany; [Hoffmann-Abdi, Kirstin; Schneider, Christoph] Humboldt Univ, Geograph Inst, Unter Linden 6, D-10099 Berlin, Germany; [Fernandoy, Francisco] Univ Andres Bello, Fac Ingn, Vina Del Mar 2531015, Chile; [Freitag, Johannes] Alfred Wegener Inst, Helmholtz Ctr Polar &amp; Marine Res, Alten Hafen 26, D-27568 Bremerhaven, Germany; [Mcconnell, Joseph R.] Desert Res Inst, Div Hydrol Sci, 2215 Raggio Pkwy, Reno, NV 89512 USA</t>
  </si>
  <si>
    <t>Helmholtz Association; Alfred Wegener Institute, Helmholtz Centre for Polar &amp; Marine Research; Humboldt University of Berlin; Universidad Andres Bello; Helmholtz Association; Alfred Wegener Institute, Helmholtz Centre for Polar &amp; Marine Research; Nevada System of Higher Education (NSHE); Desert Research Institute NSHE</t>
  </si>
  <si>
    <t>Hoffmann-Abdi, K (corresponding author), Alfred Wegener Inst, Helmholtz Ctr Polar &amp; Marine Res, Res Unit Potsdam, Telegrafenberg A45, D-14473 Potsdam, Germany.;Hoffmann-Abdi, K (corresponding author), Humboldt Univ, Geograph Inst, Unter Linden 6, D-10099 Berlin, Germany.</t>
  </si>
  <si>
    <t>kirstin.hoffmann@awi.de; francisco.fernandoy@unab.cl; hannomeyer@awi.de; ohannes.freitag@awi.de; homas.opel@awi.de; joe.mcconnell@dri.edu; christoph.schneider@geo.hu-berlin.de</t>
  </si>
  <si>
    <t>; Opel, Thomas/O-9037-2014</t>
  </si>
  <si>
    <t>Schneider, Christoph/0000-0002-9914-3217; Freitag, Johannes/0000-0003-2654-9440; Opel, Thomas/0000-0003-1315-8256; Hoffmann, Kirstin/0000-0002-8009-6369; McConnell, Joseph/0000-0001-9051-5240</t>
  </si>
  <si>
    <t>2076-3263</t>
  </si>
  <si>
    <t>Geosciences</t>
  </si>
  <si>
    <t>10.3390/geosciences13080237</t>
  </si>
  <si>
    <t>Q2HS3</t>
  </si>
  <si>
    <t>WOS:001055784700001</t>
  </si>
  <si>
    <t>Yang, YK; Kiv, D; Bhatta, S; Ganeshan, M; Lu, XM; Palmc, S</t>
  </si>
  <si>
    <t>Yang, Yuekui; Kiv, Daniel; Bhatta, Surendra; Ganeshan, Manisha; Lu, Xiaomei; Palmc, Stephen</t>
  </si>
  <si>
    <t>Diagnosis of Antarctic Blowing Snow Properties Using MERRA-2 Reanalysis with a Machine Learning Model</t>
  </si>
  <si>
    <t>Antarctica; Satellite observations; Machine learning</t>
  </si>
  <si>
    <t>CLOUD DETECTION; TRANSPORT; ALGORITHM</t>
  </si>
  <si>
    <t>This paper presents work using a machine learning model to diagnose Antarctic blowing snow (BLSN) properties with the Modern-Era Retrospective Analysis for Research and Applications, version 2 (MERRA-2), data. We adopt the random forest classifier for BLSN identification and the random forest regressor for BLSN optical depth and height diagnosis. BLSN properties observed from the Cloud-Aerosol Lidar and Infrared Pathfinder Satellite Observation (CALIPSO) are used as the truth for training the model. Using MERRA-2 fields such as snow age, surface elevation and pressure, temperature, specific humidity, and temperature gradient at the 2-m level, and wind speed at the 10-m level as in-put, reasonable results are achieved. Hourly blowing snow property diagnostics are generated with the trained model. Using 2010 as an example, it is shown that the Antarctic BLSN frequency is much higher over East than West Antarctica. High-frequency months are from April to September, during which BLSN frequency exceeds 20% over East Antarctica. For May 2010, the BLSN snow frequency in the region is as high as 37%. Due to the suppression by strong surface-based inversions, larger values of BLSN height and optical depth are usually limited to the coastal regions, wherein the strength of surface-based inversions is weaker.</t>
  </si>
  <si>
    <t>[Yang, Yuekui; Bhatta, Surendra; Ganeshan, Manisha] NASA Goddard Space Flight Ctr, Climate &amp; Radiat Lab, Greenbelt, MD 20771 USA; [Kiv, Daniel] Univ Illinois, Dept Comp Sci, Urbana, IL USA; [Kiv, Daniel] NASA, Goddard Space Flight Ctr, Greenbelt, MD USA; [Bhatta, Surendra; Ganeshan, Manisha] Morgan State Univ, Goddard Earth Sci Technol &amp; Res 2, Baltimore, MD USA; [Lu, Xiaomei] NASA Langley Res Ctr, Lidar Sci Branch, Hampton, VA 23666 USA; [Palmc, Stephen] Sci Syst &amp; Applicat Inc, Lanham, MD USA</t>
  </si>
  <si>
    <t>National Aeronautics &amp; Space Administration (NASA); NASA Goddard Space Flight Center; University of Illinois System; University of Illinois Urbana-Champaign; National Aeronautics &amp; Space Administration (NASA); NASA Goddard Space Flight Center; Morgan State University; National Aeronautics &amp; Space Administration (NASA); NASA Langley Research Center; Science Systems and Applications Inc</t>
  </si>
  <si>
    <t>Yang, YK (corresponding author), NASA Goddard Space Flight Ctr, Climate &amp; Radiat Lab, Greenbelt, MD 20771 USA.</t>
  </si>
  <si>
    <t>yuekui.yang@nasa.gov</t>
  </si>
  <si>
    <t>LI, XIAO/IQV-9318-2023</t>
  </si>
  <si>
    <t>NASA's Modeling, Analysis, and Prediction (MAP); CloudSat/CALIPSO Science programs; NASA; Education Office of NASA Goddard Space Flight Center</t>
  </si>
  <si>
    <t>NASA's Modeling, Analysis, and Prediction (MAP); CloudSat/CALIPSO Science programs; NASA(National Aeronautics &amp; Space Administration (NASA)); Education Office of NASA Goddard Space Flight Center</t>
  </si>
  <si>
    <t>&amp; nbsp;We thank three anonymous reviewers for their insightful comments. Funding support for this research is from NASA's Modeling, Analysis, and Prediction (MAP) and CloudSat/CALIPSO Science programs, both managed by David Considine. Support from the NASA internship program and the Education Office of NASA Goddard Space Flight Center is also acknowledged.</t>
  </si>
  <si>
    <t>10.1175/JAMC-D-23-0004.1</t>
  </si>
  <si>
    <t>Q3WU8</t>
  </si>
  <si>
    <t>WOS:001056864000001</t>
  </si>
  <si>
    <t>Zhang, YY; Zou, CC; Peng, C; Lan, XX; Zhang, HJ</t>
  </si>
  <si>
    <t>Zhang, Yuanyuan; Zou, Changchun; Peng, Cheng; Lan, Xixi; Zhang, Hongjie</t>
  </si>
  <si>
    <t>Geophysics in Antarctic Research: A Bibliometric Analysis</t>
  </si>
  <si>
    <t>Antarctica; geophysics; remote sensing; bibliometric analysis; ice sheet instability; sea ice; West Antarctic rift system; paleocontinent; magmatism; subglacial lakes</t>
  </si>
  <si>
    <t>PRINCESS ELIZABETH LAND; ACTIVE RESERVOIR BENEATH; SUBGLACIAL LAKE WHILLANS; MARIE BYRD LAND; ICE MASS-LOSS; SEA-ICE; EAST ANTARCTICA; CRUSTAL STRUCTURE; WEST ANTARCTICA; RIFT SYSTEM</t>
  </si>
  <si>
    <t>Antarctica is of great importance in terms of global warming, the sustainability of resources, and the conservation of biodiversity. However, due to 99.66% of the continent being covered in ice and snow, geological research and geoscientific study in Antarctica face huge challenges. Geophysical surveys play a crucial role in enhancing comprehension of the fundamental structure of Antarctica. This study used bibliometric analysis to analyze citation data retrieved from the Web of Science for the period from 1982 to 2022 with geophysical research on Antarctica as the topic. According to the analysis results, the amount of Antarctic geophysical research has been steadily growing over the past four decades as related research countries/regions have become increasingly invested in issues pertaining to global warming and sustainability, and international cooperation is in sight. Moreover, based on keyword clustering and an analysis of highly cited papers, six popular research topics have been identified: Antarctic ice sheet instability and sea level change, Southern Ocean and Sea Ice, tectonic activity of the West Antarctic rift system, the paleocontinental rift and reorganization, magmatism and volcanism, and subglacial lakes and subglacial hydrology. This paper provides a detailed overview of these popular research topics and discusses the applications and advantages of the geophysical methods used in each field. Finally, based on keywords regarding abrupt changes, we identify and examine the thematic evolution of the nexus over three consecutive sub-periods (i.e., 1990-1995, 1996-2005, and 2006-2022). The relevance of using geophysics to support numerous and diverse scientific activities in Antarctica becomes very clear after analyzing this set of scientific publications, as is the importance of using multiple geophysical methods (satellite, airborne, surface, and borehole technology) to revolutionize the acquisition of new data in greater detail from inaccessible or hard-to-reach areas. Many of the advances that they have enabled be seen in the Antarctic terrestrial areas (detailed mapping of the geological structures of West and East Antarctica), ice, and snow (tracking glaciers and sea ice, along with the depth and features of ice sheets). These valuable results help identify potential future research opportunities in the field of Antarctic geophysical research and aid academic professionals in keeping up with recent advances.</t>
  </si>
  <si>
    <t>[Zhang, Yuanyuan; Zou, Changchun; Peng, Cheng; Lan, Xixi; Zhang, Hongjie] China Univ Geosci, Sch Geophys &amp; Informat Technol, Beijing 100083, Peoples R China; [Zhang, Yuanyuan; Zou, Changchun; Peng, Cheng; Lan, Xixi; Zhang, Hongjie] Natl Engn Res Ctr Offshore Oil &amp; Gas Explorat, Beijing 100028, Peoples R China</t>
  </si>
  <si>
    <t>China University of Geosciences</t>
  </si>
  <si>
    <t>Zou, CC (corresponding author), China Univ Geosci, Sch Geophys &amp; Informat Technol, Beijing 100083, Peoples R China.;Zou, CC (corresponding author), Natl Engn Res Ctr Offshore Oil &amp; Gas Explorat, Beijing 100028, Peoples R China.</t>
  </si>
  <si>
    <t>3010220039@email.cugb.edu.cn; zoucc@cugb.edu.cn; pengc@cugb.edu.cn; 3010210037@email.cugb.edu.cn; 2010220064@email.cugb.edu.cn</t>
  </si>
  <si>
    <t>liu, yuhao/JWP-0475-2024; Peng, Cheng/S-6626-2016</t>
  </si>
  <si>
    <t>Peng, Cheng/0000-0002-2174-7811; Zou, Changchun/0000-0003-4305-5055</t>
  </si>
  <si>
    <t>National Natural Science Foundation of China [42242402]; Consulting Project of the Chinese Academy of Engineering [2022-XY-87]</t>
  </si>
  <si>
    <t>National Natural Science Foundation of China(National Natural Science Foundation of China (NSFC)); Consulting Project of the Chinese Academy of Engineering</t>
  </si>
  <si>
    <t>This work was supported by the National Natural Science Foundation of China, (No. 42242402); Consulting Project of the Chinese Academy of Engineering (2022-XY-87).</t>
  </si>
  <si>
    <t>10.3390/rs15163928</t>
  </si>
  <si>
    <t>Q4AT1</t>
  </si>
  <si>
    <t>WOS:001056967700001</t>
  </si>
  <si>
    <t>Li, RX; Xia, ML; Xie, H; Hao, T; Qiao, G; Liu, SJ; Feng, TT; Tian, YX; An, L; Tong, XH; Zhao, AG; Li, HW; Wang, XF; Luo, SL; Chang, T; Cui, HT; Li, GJ</t>
  </si>
  <si>
    <t>Li RongXing; Xia Meng Lian; Xie Huan; Hao Tong; Qiao Gang; Liu ShiJie; Feng TianTian; Tian YiXiang; An Lu; Tong XiaoHua; Zhao AiGuo; Li HongWei; Wang XiaoFeng; Luo ShuLei; Chang Tian; Cui HaoTian; Li GuoJun</t>
  </si>
  <si>
    <t>Advances in satellite remote sensing monitoring of Antarctic Ice Sheet mass changes</t>
  </si>
  <si>
    <t>CHINESE JOURNAL OF GEOPHYSICS-CHINESE EDITION</t>
  </si>
  <si>
    <t>Satellite observations; Remote sensing products; Antarctic Ice Sheet; Climate change; Sea level rise</t>
  </si>
  <si>
    <t>ORBIT GEOMETRIC CALIBRATION; RANDOLPH GLACIER INVENTORY; SURFACE ELEVATION CHANGES; GROUNDING LINE RETREAT; SEA-LEVEL RISE; EAST ANTARCTICA; WEST ANTARCTICA; SUBGLACIAL LAKE; SHELF SYSTEM; TANDEM-X</t>
  </si>
  <si>
    <t>The Antarctic Ice Sheet's mass balance has a significant impact on global sea level change. Improving the precision of mass balance estimation over the entire Antarctic Ice Sheet is critical for predicting global sea level rise. The advancement of satellite technology, particularly polar observation satellites, will help us understand and protect the ice sheet. Studying the Antarctic Ice Sheet's response to the global climate change and its feedback mechanism is also critical for increasing the scientific understanding of Antarctica. This review paper summarizes the development of various Antarctic monitoring satellites as well as remote sensing data products that are currently available. At the same time, it discusses techniques for satellite monitoring and estimation methods for mass balance in Antarctica. Finally, recommendations for satellite observation techniques and methodology development are provided to improve the capability of long-term monitoring and prediction of ice sheet changes.</t>
  </si>
  <si>
    <t>[Li RongXing; Xia Meng Lian; Xie Huan; Hao Tong; Qiao Gang; Liu ShiJie; Feng TianTian; Tian YiXiang; An Lu; Tong XiaoHua; Zhao AiGuo; Li HongWei; Wang XiaoFeng; Luo ShuLei; Chang Tian; Cui HaoTian; Li GuoJun] Tongji Univ, Coll Surveying &amp; Geoinformat, Shanghai 200092, Peoples R China; [Li RongXing; Xia Meng Lian; Xie Huan; Hao Tong; Qiao Gang; Liu ShiJie; Feng TianTian; Tian YiXiang; An Lu; Tong XiaoHua; Zhao AiGuo; Li HongWei; Wang XiaoFeng; Luo ShuLei; Chang Tian; Cui HaoTian; Li GuoJun] Tongji Univ, Ctr Spatial Informat Sci &amp; Sustainable Dev Applic, Shanghai 200092, Peoples R China</t>
  </si>
  <si>
    <t>Tongji University; Tongji University</t>
  </si>
  <si>
    <t>An, L (corresponding author), Tongji Univ, Coll Surveying &amp; Geoinformat, Shanghai 200092, Peoples R China.;An, L (corresponding author), Tongji Univ, Ctr Spatial Informat Sci &amp; Sustainable Dev Applic, Shanghai 200092, Peoples R China.</t>
  </si>
  <si>
    <t>rli@tongji.edu.cn; anlu2021@tongji.edu.cn</t>
  </si>
  <si>
    <t>Li, Hongwei/AAM-8510-2021</t>
  </si>
  <si>
    <t>SCIENCE PRESS</t>
  </si>
  <si>
    <t>16 DONGHUANGCHENGGEN NORTH ST, BEIJING 100717, PEOPLES R CHINA</t>
  </si>
  <si>
    <t>0001-5733</t>
  </si>
  <si>
    <t>CHINESE J GEOPHYS-CH</t>
  </si>
  <si>
    <t>Chinese J. Geophys.-Chinese Ed.</t>
  </si>
  <si>
    <t>10.6038/cjg2022Q0213</t>
  </si>
  <si>
    <t>O7IK9</t>
  </si>
  <si>
    <t>WOS:001045501300001</t>
  </si>
  <si>
    <t>Huang, SJ; Zhu, LY; Jiang, SW; Zhai, WY; Pan, BB; Wu, ZC; Xu, QH</t>
  </si>
  <si>
    <t>Huang, Shaojun; Zhu, Lingyue; Jiang, Shouwen; Zhai, Wanying; Pan, Binbin; Wu, Zhichao; Xu, Qianghua</t>
  </si>
  <si>
    <t>Metal Accumulations in Two Extreme-Environment Amphipods, Hadal Eurythenes gryllus and Antarctic Pseudorchomene plebs</t>
  </si>
  <si>
    <t>JOURNAL OF MARINE SCIENCE AND ENGINEERING</t>
  </si>
  <si>
    <t>hadal; amphipod; Antarctic; metal elements; human activity</t>
  </si>
  <si>
    <t>TRACE-METALS; MARINE ORGANISMS; HEAVY-METALS; SEA; PATTERNS; DEEP; SEDIMENTS; TRENCHES; BIOACCUMULATION; DIVERSITY</t>
  </si>
  <si>
    <t>The hadal zone and Antarctic Ocean are two of the least-explored habitats. Knowledge about human impacts on these two extreme environments is limited. Here, we analyzed the metal accumulations of two amphipod species, Eurythenes gryllus, from the Mariana Trench (6040 m, 11.36 degrees N, 142.41 degrees E) in the West Pacific Ocean, and Pseudorchomene plebs, from the Ross Sea (600 m, 77.12 degrees S, 167,67 degrees E) in the Antarctic. Bioaccumulation of thirteen elements (Na, Mg, K, Ca, Cu, Fe, Al, Cr, Mn, Zn, As, Se, and Cd) in three tissues (exoskeleton, leg muscle, and gut) of the two amphipods was investigated using inductively coupled plasma mass spectrometry (ICP-MS). Comparing the trace element concentrations between the different amphipoda species, we found higher element concentrations in the Antarctic amphipod, and an oligotrophication of the Mariana Trench. The concentrations of Cu, Zn, As, and Se in the three tissues all had a significant difference in abundance, and the Cd in the gut of P. plebs was comparably higher than that in E. gryllus, consistent with special environment adaptation. Compared with non-abyssal and shallow water decapoda and amphipoda species, hadal amphipods possessed comparably higher concentrations of Cd and Cr elements and displayed a very high environmental specificity for amphipods' metal-element bioaccumulation strategy. This study reveals the amphipods of remote and uncontaminated areas as potential indicator species for metal-element bioaccumulation to measure anthropogenic impacts.</t>
  </si>
  <si>
    <t>[Huang, Shaojun; Zhu, Lingyue; Xu, Qianghua] Shanghai Ocean Univ, Coll Marine Sci, Key Lab Sustainable Exploitat Ocean Fisheries Reso, Minist Educ, Shanghai 201306, Peoples R China; [Huang, Shaojun; Zhu, Lingyue; Jiang, Shouwen; Zhai, Wanying; Pan, Binbin; Wu, Zhichao; Xu, Qianghua] Shanghai Ocean Univ, Int Res Ctr Marine Biosci, Minist Sci &amp; Technol, Shanghai 201306, Peoples R China; [Huang, Shaojun; Pan, Binbin; Xu, Qianghua] Shanghai Ocean Univ, Coll Marine Sci, Shanghai Engn Res Ctr Hadal Sci &amp; Technol, Shanghai 201306, Peoples R China; [Huang, Shaojun] Guangxi Minzu Univ, Key Lab Protect &amp; Utilizat Marine Resources, Nanning 530007, Peoples R China</t>
  </si>
  <si>
    <t>Shanghai Ocean University; Shanghai Ocean University; Shanghai Ocean University; Guangxi Minzu University</t>
  </si>
  <si>
    <t>Xu, QH (corresponding author), Shanghai Ocean Univ, Coll Marine Sci, Key Lab Sustainable Exploitat Ocean Fisheries Reso, Minist Educ, Shanghai 201306, Peoples R China.;Xu, QH (corresponding author), Shanghai Ocean Univ, Int Res Ctr Marine Biosci, Minist Sci &amp; Technol, Shanghai 201306, Peoples R China.;Xu, QH (corresponding author), Shanghai Ocean Univ, Coll Marine Sci, Shanghai Engn Res Ctr Hadal Sci &amp; Technol, Shanghai 201306, Peoples R China.</t>
  </si>
  <si>
    <t>qhxu@shou.edu.cn</t>
  </si>
  <si>
    <t>Zhai, Wanying/0000-0002-5845-0018; pan, binbin/0000-0002-2790-0805</t>
  </si>
  <si>
    <t>We thank the members of the 34th and 36th Chinese Antarctic Exploration Team who helped in specimen collection. We would like to thank Weicheng Cui's and Jiasong Fang's research group members and other people for sample collection.</t>
  </si>
  <si>
    <t>2077-1312</t>
  </si>
  <si>
    <t>J MAR SCI ENG</t>
  </si>
  <si>
    <t>J. Mar. Sci. Eng.</t>
  </si>
  <si>
    <t>10.3390/jmse11081515</t>
  </si>
  <si>
    <t>Engineering, Marine; Engineering, Ocean; Oceanography</t>
  </si>
  <si>
    <t>Engineering; Oceanography</t>
  </si>
  <si>
    <t>Q4DA0</t>
  </si>
  <si>
    <t>WOS:001057027800001</t>
  </si>
  <si>
    <t>Gerginova, M; Stoyanova, K; Peneva, N; Dincheva, I; Alexieva, Z</t>
  </si>
  <si>
    <t>Gerginova, Maria; Stoyanova, Katya; Peneva, Nadejda; Dincheva, Ivayla; Alexieva, Zlatka</t>
  </si>
  <si>
    <t>An Investigation into the Potential of a Penicillium Commune Strain to Eliminate Aromatic Compounds</t>
  </si>
  <si>
    <t>PROCESSES</t>
  </si>
  <si>
    <t>biodegradation; fungi; oxiganases; PAHs; GC-MS; DNA sequencing</t>
  </si>
  <si>
    <t>WHITE-ROT FUNGUS; LOW-TEMPERATURE; ORGANIC POLLUTANTS; PHENOL HYDROXYLASE; FILAMENTOUS FUNGI; CRYSTAL-STRUCTURE; WASTE-WATER; BIODEGRADATION; DEGRADATION; IDENTIFICATION</t>
  </si>
  <si>
    <t>The quantity of industrially polluted waters is increasing everywhere, of which a significant part is occupied by a number of mono- and poly-aromatic compounds. Toxins enter the soil, sewage, and clean water by mixing with or seeping into them from industrial wastewater. By using 18S RNA and ITS sequences, the Penicillium commune AL5 strain that was isolated from Antarctic soil was identified. This study is dedicated to exploring its capacity to metabolize hazardous aromatic compounds. The strain showed very good potential in the degradation of hydroxylated monophenols and possessed exceptional abilities in terms of resorcinol degradation. The strain's ability to metabolize 0.3 g/L of p-cresol at 10 ? is notable. The strain is also capable of metabolizing LMW PAHs (naphthalene, anthracene, and phenanthrene) and eliminating all three tested compounds under 23 ?, respectively, 77.5%, 93.8%, and 75.1%. At 10 ?, the process slowed down, but the degradation of naphthalene continued to be over 50%. The quantity of PAH and a few significant intermediary metabolites were determined using GC-MS analysis. Sequencing of the enzymes phenol hydroxylase and catechol 1,2-dioxygenase revealed a close association with the genes and proteins in some fungal strains that can degrade the aromatic compounds examined thus far.</t>
  </si>
  <si>
    <t>[Gerginova, Maria; Stoyanova, Katya; Peneva, Nadejda; Alexieva, Zlatka] Bulgarian Acad Sci, Inst Microbiol, Dept Gen Microbiol, Sofia 1113, Bulgaria; [Dincheva, Ivayla] Agro Bioinst Agr Acad, Plant Genet Res Grp, Sofia 1164, Bulgaria</t>
  </si>
  <si>
    <t>Bulgarian Academy of Sciences; Agricultural Academy - Bulgaria</t>
  </si>
  <si>
    <t>Alexieva, Z (corresponding author), Bulgarian Acad Sci, Inst Microbiol, Dept Gen Microbiol, Sofia 1113, Bulgaria.</t>
  </si>
  <si>
    <t>mariagg@microbio.bas.bg; katya_litova@abv.bg; peneva_nad@yahoo.com; ivadincheva@yahoo.com; zlatkama@yahoo.com</t>
  </si>
  <si>
    <t>Dincheva, Ivayla/K-8250-2013; Alexieva, Zlatka/K-7822-2016</t>
  </si>
  <si>
    <t>Dincheva, Ivayla/0000-0003-0276-4170; Alexieva, Zlatka/0000-0002-2727-5667</t>
  </si>
  <si>
    <t>Science and Education for Smart Growth Operational programme [BG05M2OP001-1.002-0019]; EU through the European Structural and Investment funds</t>
  </si>
  <si>
    <t>Science and Education for Smart Growth Operational programme; EU through the European Structural and Investment funds</t>
  </si>
  <si>
    <t>Project BG05M2OP001-1.002-0019: Clean technologies for sustainable environment-water, waste, energy for circular economy (Clean &amp; Circle), for development of a Centre of Competence, is financed by the Science and Education for Smart Growth Operational programme (2014-2020), co-funded by the EU through the European Structural and Investment funds.</t>
  </si>
  <si>
    <t>2227-9717</t>
  </si>
  <si>
    <t>Processes</t>
  </si>
  <si>
    <t>10.3390/pr11082402</t>
  </si>
  <si>
    <t>Engineering, Chemical</t>
  </si>
  <si>
    <t>Q2YU1</t>
  </si>
  <si>
    <t>WOS:001056229800001</t>
  </si>
  <si>
    <t>Young, T; Laroche, O; Walker, SP; Miller, MR; Casanovas, P; Steiner, K; Esmaeili, N; Zhao, RX; Bowman, JP; Wilson, R; Bridle, A; Carter, CG; Nowak, BF; Alfaro, AC; Symonds, JE</t>
  </si>
  <si>
    <t>Young, Tim; Laroche, Olivier; Walker, Seumas P.; Miller, Matthew R.; Casanovas, Paula; Steiner, Konstanze; Esmaeili, Noah; Zhao, Ruixiang; Bowman, John P.; Wilson, Richard; Bridle, Andrew; Carter, Chris G.; Nowak, Barbara F.; Alfaro, Andrea C.; Symonds, Jane E.</t>
  </si>
  <si>
    <t>Prediction of Feed Efficiency and Performance-Based Traits in Fish via Integration of Multiple Omics and Clinical Covariates</t>
  </si>
  <si>
    <t>integrated multi-omics; metabolomics; proteomics; microbiomics; machine learning; random forest; feed efficiency; aquaculture</t>
  </si>
  <si>
    <t>CONVERSION EFFICIENCY; SERRATIA-LIQUEFACIENS; GROWTH-PERFORMANCE; ATLANTIC SALMON; NILE TILAPIA; R PACKAGE; METABOLOME; MICROBIOME; PROTEOMICS; PLATFORM</t>
  </si>
  <si>
    <t>Fish aquaculture is a rapidly expanding global industry, set to support growing demands for sources of marine protein. Enhancing feed efficiency (FE) in farmed fish is required to reduce production costs and improve sector sustainability. Recognising that organisms are complex systems whose emerging phenotypes are the product of multiple interacting molecular processes, systems-based approaches are expected to deliver new biological insights into FE and growth performance. Here, we establish 14 diverse layers of multi-omics and clinical covariates to assess their capacities to predict FE and associated performance traits in a fish model (Oncorhynchus tshawytscha) and uncover the influential variables. Inter-omic relatedness between the different layers revealed several significant concordances, particularly between datasets originating from similar material/tissue and between blood indicators and some of the proteomic (liver), metabolomic (liver), and microbiomic layers. Single- and multi-layer random forest (RF) regression models showed that integration of all data layers provide greater FE prediction power than any single-layer model alone. Although FE was among the most challenging of the traits we attempted to predict, the mean accuracy of 40 different FE models in terms of root-mean square errors normalized to percentage was 30.4%, supporting RF as a feature selection tool and approach for complex trait prediction. Major contributions to the integrated FE models were derived from layers of proteomic and metabolomic data, with substantial influence also provided by the lipid composition layer. A correlation matrix of the top 27 variables in the models highlighted FE trait-associations with faecal bacteria (Serratia spp.), palmitic and nervonic acid moieties in whole body lipids, levels of free glycerol in muscle, and N-acetylglutamic acid content in liver. In summary, we identified subsets of molecular characteristics for the assessment of commercially relevant performance-based metrics in farmed Chinook salmon.</t>
  </si>
  <si>
    <t>[Young, Tim; Alfaro, Andrea C.] Auckland Univ Technol, Sch Sci, Dept Environm Sci, Aquaculture Biotechnol Res Grp, Private Bag 92006, Auckland 1142, New Zealand; [Young, Tim] Auckland Univ Technol, Ctr Biomed &amp; Chem Sci, Sch Sci, Private Bag 92006, Auckland 1142, New Zealand; [Laroche, Olivier; Walker, Seumas P.; Miller, Matthew R.; Casanovas, Paula; Steiner, Konstanze; Symonds, Jane E.] Cawthron Inst, Nelson 7010, New Zealand; [Miller, Matthew R.; Esmaeili, Noah; Zhao, Ruixiang; Bridle, Andrew; Carter, Chris G.; Nowak, Barbara F.; Symonds, Jane E.] Univ Tasmania, Inst Marine &amp; Antarctic Studies, Private Bag 49, Hobart 7005, Australia; [Bowman, John P.] Univ Tasmania, Tasmanian Inst Agr Res, Hobart, Tas 7005, Australia; [Wilson, Richard] Univ Tasmania, Res Div, Cent Sci Lab, Hobart, Tas 7001, Australia; [Carter, Chris G.] Blue Econ Cooperat Res Ctr, Launceston 7248, Australia</t>
  </si>
  <si>
    <t>Auckland University of Technology; Auckland University of Technology; Cawthron Institute; University of Tasmania; University of Tasmania; University of Tasmania; University of Western Australia</t>
  </si>
  <si>
    <t>Young, T (corresponding author), Auckland Univ Technol, Sch Sci, Dept Environm Sci, Aquaculture Biotechnol Res Grp, Private Bag 92006, Auckland 1142, New Zealand.;Young, T (corresponding author), Auckland Univ Technol, Ctr Biomed &amp; Chem Sci, Sch Sci, Private Bag 92006, Auckland 1142, New Zealand.;Symonds, JE (corresponding author), Cawthron Inst, Nelson 7010, New Zealand.;Symonds, JE (corresponding author), Univ Tasmania, Inst Marine &amp; Antarctic Studies, Private Bag 49, Hobart 7005, Australia.</t>
  </si>
  <si>
    <t>tim.young@outlook.co.nz; ane.symonds@cawthron.org.nz</t>
  </si>
  <si>
    <t>Esmaeili, Noah/Q-4536-2019; Carter, Chris Guy/A-3438-2008; Miller, Matthew Robert/D-5982-2011; Nowak, Barbara/J-7261-2014; Wilson, Richard/H-8429-2012</t>
  </si>
  <si>
    <t>Esmaeili, Noah/0000-0001-8704-939X; Carter, Chris Guy/0000-0001-5210-1282; Symonds, Jane/0000-0001-8307-423X; Miller, Matthew Robert/0000-0002-5402-7466; Laroche, Olivier/0000-0003-0755-0083; Nowak, Barbara/0000-0002-0347-643X; Wilson, Richard/0000-0003-0152-4394</t>
  </si>
  <si>
    <t>We would like to thank our team of colleagues at the Cawthron Aquaculture Park Finfish Research Centre (CAP FRC) for their dedicated assistance with systems maintenance, husbandry, and sampling: Nicholas Hearn, Gareth Nicholson, Chris Ensor, Michael Scott,</t>
  </si>
  <si>
    <t>We would like to thank our team of colleagues at the Cawthron Aquaculture Park Finfish Research Centre (CAP FRC) for their dedicated assistance with systems maintenance, husbandry, and sampling: Nicholas Hearn, Gareth Nicholson, Chris Ensor, Michael Scott, Jordan Elvy, Chaya Bandaranayake, and Chris Chamberlain. We also thank Mount Cook Alpine Salmon for providing fish for this research.</t>
  </si>
  <si>
    <t>10.3390/biology12081135</t>
  </si>
  <si>
    <t>Q2FS4</t>
  </si>
  <si>
    <t>WOS:001055732800001</t>
  </si>
  <si>
    <t>Weigmann, S; Reinecke, T</t>
  </si>
  <si>
    <t>Weigmann, Simon; Reinecke, Thomas</t>
  </si>
  <si>
    <t>Additions to the Taxonomy of the Antarctic Dark-Mouth Skate Bathyraja arctowskii (Dollo, 1904), with Descriptions of the Syntypes and Morphology of Teeth, Dermal Denticles and Thorns</t>
  </si>
  <si>
    <t>DIVERSITY-BASEL</t>
  </si>
  <si>
    <t>odontology; ichthyodorulites; microscopic morphology; egg capsules; Southern Ocean; Arhynchobatidae; Rajiformes; Elasmobranchii; Chondrichthyes</t>
  </si>
  <si>
    <t>EGG CAPSULES; CHIMERAS CHONDRICHTHYES; RAYS CHONDRICHTHYES; ANNOTATED CHECKLIST; LIVING SHARKS; ELASMOBRANCHII; BATOIDEA; RAJIDAE; ARRANGEMENT; RAJIFORMES</t>
  </si>
  <si>
    <t>The taxonomy of the enigmatic dark-mouth skate, Bathyraja arctowskii (Dollo, 1904), from the Southern Ocean was finally resolved after more than 100 years of ambiguity in 2021. This species is the smallest known species of the species-rich deep-water skate genus Bathyraja Ishiyama, 1958, which attains a total length of only about 61 cm and appears to be a wide-ranging and locally common species in the Southern Ocean. It differs from its congeners in the small adult size, dark-pigmented mouth cavity and underside of nasal curtain, lack of thorns on upper disc, as well as small and slender egg cases. Although the identity of this species was unambiguously clarified, the syntype egg cases could not be examined due to the COVID-19 pandemic. This examination has now become possible, and detailed data of the syntypes are provided in the present paper for the first time, together with hitherto unknown details of tooth, dermal denticle and thorn morphology. Furthermore, a lectotype and two paralectotypes are designated from the syntypes.</t>
  </si>
  <si>
    <t>[Weigmann, Simon] Elasmo Lab, Elasmobranch Res Lab, Sophie Rahel Jansen Str 83, D-22609 Hamburg, Germany; [Reinecke, Thomas] Auf Aspei 33, D-44801 Bochum, Germany</t>
  </si>
  <si>
    <t>Weigmann, S (corresponding author), Elasmo Lab, Elasmobranch Res Lab, Sophie Rahel Jansen Str 83, D-22609 Hamburg, Germany.</t>
  </si>
  <si>
    <t>simon.weigmann@elasmo-lab.de; treinecke@web.de</t>
  </si>
  <si>
    <t>1424-2818</t>
  </si>
  <si>
    <t>Diversity-Basel</t>
  </si>
  <si>
    <t>10.3390/d15080899</t>
  </si>
  <si>
    <t>Q2LJ3</t>
  </si>
  <si>
    <t>WOS:001055879700001</t>
  </si>
  <si>
    <t>Ricaud, P; Medina, P; Durand, P; Attié, JL; Bazile, E; Grigioni, P; Del Guasta, M; Pauly, B</t>
  </si>
  <si>
    <t>Ricaud, Philippe; Medina, Patrice; Durand, Pierre; Attie, Jean-Luc; Bazile, Eric; Grigioni, Paolo; Del Guasta, Massimo; Pauly, Benji</t>
  </si>
  <si>
    <t>In Situ VTOL Drone-Borne Observations of Temperature and Relative Humidity over Dome C, Antarctica</t>
  </si>
  <si>
    <t>drone; VTOL; planetary boundary layer; free troposphere; Concordia station; Antarctica; temperature; relative humidity</t>
  </si>
  <si>
    <t>SUPERCOOLED LIQUID WATER; ABSOLUTE-HUMIDITY; MIXED-PHASE; CLOUDS; MICROPHYSICS; TURBULENCE; PENINSULA; SYSTEM; IMPACT; VAPOR</t>
  </si>
  <si>
    <t>The Antarctic atmosphere is rapidly changing, but there are few observations available in the interior of the continent to quantify this change due to few ground stations and satellite measurements. The Concordia station is located on the East Antarctic Plateau (75 degrees S, 123 degrees E, 3233 m above mean sea level), one of the driest and coldest places on Earth. Several remote sensing instruments are available at the station to probe the atmosphere, together with operational meteorological sensors. In order to observe in situ clouds, temperature, relative humidity and supercooled liquid water (SLW) at a high vertical resolution, a new project based on the use of an unmanned aerial vehicle (drone) vertical take-off and landing from the DeltaQuad Company has been set up at Concordia. A standard Vaisala pressure, temperature and relative humidity sensor was installed aboard the drone coupled to an Anasphere SLW sensor. A total of thirteen flights were conducted from 24 December 2022 to 17 January 2023: nine technology flights and four science flights (on 2,10,11 and 13 January 2023). Drone-based temperature and relative humidity profiles were compared to (1) the balloon-borne meteorological observations at 12:00 UTC, (2) the ground-based microwave radiometer HAMSTRAD and (3) the outputs from the numerical weather prediction models ARPEGE and AROME. No SLW clouds were present during the period of observations. Despite technical issues with drone operation due to the harsh environments encountered (altitude, temperature and geomagnetic field), the drone-based observations were consistent with the balloon-borne observations of temperature and relative humidity. The radiometer showed a systematic negative bias in temperature of 2 degrees C, and the two models were, in the lowermost troposphere, systematically warmer (by 2-4 degrees C) and moister (by 10-30%) than the drone-based observations. Our study shows the great potential of a drone to probe the Antarctic atmosphere in situ at very high vertical resolution (a few meters).</t>
  </si>
  <si>
    <t>[Ricaud, Philippe; Bazile, Eric] Univ Toulouse, Ctr Natl Rech Meteorol CNRM, Ctr Natl Rech Sci CNRS, Meteo France, F-31057 Toulouse, France; [Medina, Patrice; Durand, Pierre; Attie, Jean-Luc] Univ Toulouse, Univ Paul Sabatier, Ctr Natl Rech Sci CNRS, Lab Aerol, F-31400 Toulouse, France; [Grigioni, Paolo] Agenzia Nazl Nuove Tecnol, Energia &amp; Sviluppo Econ Sostenibile ENEA, I-00196 Rome, Italy; [Del Guasta, Massimo] Ist Nazl Ott Consiglio Nazl Ric INO CNR, I-50019 Sesto Fiorentino, Italy; [Pauly, Benji] DeltaQuad, NL-1115 AD Duivendrecht, Netherlands</t>
  </si>
  <si>
    <t>Centre National de la Recherche Scientifique (CNRS); Universite de Toulouse; Universite Toulouse III - Paul Sabatier; Centre National de la Recherche Scientifique (CNRS); Italian National Agency New Technical Energy &amp; Sustainable Economics Development</t>
  </si>
  <si>
    <t>Ricaud, P (corresponding author), Univ Toulouse, Ctr Natl Rech Meteorol CNRM, Ctr Natl Rech Sci CNRS, Meteo France, F-31057 Toulouse, France.</t>
  </si>
  <si>
    <t>philippe.ricaud@meteo.fr; patrice.medina@aero.obs-mip.fr; pierre.durand@aero.obs-mip.fr; jean-luc.attie@aero.obs-mip.fr; eric.bazile@meteo.fr; paolo.grigioni@enea.it; massimo.delguasta@ino.cnr.it; benji@deltaquad.com</t>
  </si>
  <si>
    <t>Ricaud, Philippe/0000-0002-7133-1734; grigioni, paolo/0000-0001-9802-4972</t>
  </si>
  <si>
    <t>The present research project Water Budget over Dome C (H2O-DC) has been approved by the Year of Polar Prediction (YOPP) international committee. The permanently manned Concordia station is jointly operated by IPEV and the Italian Programma Nazionale Ricerc; Water Budget over Dome C; Italian Programma Nazionale Ricerche in Antartide (PNRA); aerosol LIDAR; [H2O-DC]</t>
  </si>
  <si>
    <t>The present research project Water Budget over Dome C (H2O-DC) has been approved by the Year of Polar Prediction (YOPP) international committee. The permanently manned Concordia station is jointly operated by IPEV and the Italian Programma Nazionale Ricerc; Water Budget over Dome C; Italian Programma Nazionale Ricerche in Antartide (PNRA); aerosol LIDAR;</t>
  </si>
  <si>
    <t>The present research project Water Budget over Dome C (H2O-DC) has been approved by the Year of Polar Prediction (YOPP) international committee. The permanently manned Concordia station is jointly operated by IPEV and the Italian Programma Nazionale Ricerche in Antartide (PNRA). The tropospheric LIDAR has operated at Dome C since 2008 within the framework of several Italian national (PNRA) projects. We would like to thank all the winterover personnel who worked at Dome C on the different projects: HAMSTRAD, operational meteorological soundings, in situ balloon-borne and drone-based observations, and the aerosol LIDAR. Special thanks to Armand Patoir (IPEV) for his valuable work on the drone repairs. Finally, we would like to thank the three anonymous reviewers for their beneficial comments.</t>
  </si>
  <si>
    <t>10.3390/drones7080532</t>
  </si>
  <si>
    <t>Q2CK9</t>
  </si>
  <si>
    <t>WOS:001055647100001</t>
  </si>
  <si>
    <t>Pushkareva, E; Elster, J; Becker, B</t>
  </si>
  <si>
    <t>Pushkareva, Ekaterina; Elster, Josef; Becker, Burkhard</t>
  </si>
  <si>
    <t>Metagenomic Analysis of Antarctic Biocrusts Unveils a Rich Range of Cold-Shock Proteins</t>
  </si>
  <si>
    <t>metagenomic sequencing; biocrusts; Antarctica; cold-shock proteins; antifreeze proteins; cold-shock domain</t>
  </si>
  <si>
    <t>FUNCTIONAL ANNOTATION</t>
  </si>
  <si>
    <t>Microorganisms inhabiting Antarctic biocrusts develop several strategies to survive extreme environmental conditions such as severe cold and drought. However, the knowledge about adaptations of biocrusts microorganisms are limited. Here, we applied metagenomic sequencing to study biocrusts from east Antarctica. Biocrusts were dominated by cyanobacteria, actinobacteria and proteobacteria. Furthermore, the results provided insights into the presence and abundance of cold shock proteins (Csp), cold shock domain A proteins (CsdA), and antifreeze proteins (AFP) in these extreme environments. The metagenomic analysis revealed a high number of CsdA across the samples. The majority of the Csp recorded in the studied biocrusts were Csp A, C, and E. In addition, CsdA, Csp, and AFP primarily originated from proteobacteria and actinobacteria.</t>
  </si>
  <si>
    <t>[Pushkareva, Ekaterina; Becker, Burkhard] Univ Cologne, Bot Inst, Dept Biol, Zulpicher Str 47B, D-50674 Cologne, Germany; [Elster, Josef] Acad Sci Czech Republ, Inst Bot, Dukelska 135, Trebon 37982, Czech Republic; [Elster, Josef] Univ South Bohemia, Ctr Polar Ecol, Zlate Stoce 3, Ceske Budejovice 37005, Czech Republic</t>
  </si>
  <si>
    <t>University of Cologne; Czech Academy of Sciences; Institute of Botany of the Czech Academy of Sciences; University of South Bohemia Ceske Budejovice</t>
  </si>
  <si>
    <t>Pushkareva, E (corresponding author), Univ Cologne, Bot Inst, Dept Biol, Zulpicher Str 47B, D-50674 Cologne, Germany.</t>
  </si>
  <si>
    <t>ekaterina.pushkareva@uni-koeln.de; josef.elster@ibot.cas.cz; b.becker@uni-koeln.de</t>
  </si>
  <si>
    <t>Becker, Burkhard/I-4022-2012</t>
  </si>
  <si>
    <t>Becker, Burkhard/0000-0002-7965-1396; Pushkareva, Ekaterina/0000-0002-7200-1681; Elster, Josef/0000-0002-4535-5636</t>
  </si>
  <si>
    <t>We would like to thank Sakae Kudoh, Satoshi Imura, Tomotake Wada, Masahiro Otani, Sho Shimada, Takuhei Shiozaki, Fumino Maruo, and all JARE60 expedition members for assisting in the collecting the samples.</t>
  </si>
  <si>
    <t>10.3390/microorganisms11081932</t>
  </si>
  <si>
    <t>Q2QT8</t>
  </si>
  <si>
    <t>WOS:001056020500001</t>
  </si>
  <si>
    <t>Xu, ZQ; Qian, YY; Yang, TP; Tang, FY; Luo, YH; Si, FQ</t>
  </si>
  <si>
    <t>Xu, Ziqiang; Qian, Yuanyuan; Yang, Taiping; Tang, Fuying; Luo, Yuhan; Si, Fuqi</t>
  </si>
  <si>
    <t>Unusual Enhancement of the Optical Depth on the Continental Shelf Depth Latitudinal Variation in the Stratospheric Polar Vortex</t>
  </si>
  <si>
    <t>stratospheric ozone; optical depth coefficients; polar vortex; limb viewing; differential optical absorption spectroscopy; tomography</t>
  </si>
  <si>
    <t>MICROWAVE LIMB SOUNDER; TOTAL OZONE; DOAS TOMOGRAPHY; BAB-II; SCIAMACHY; PROPAGATION; CLIMATOLOGY; INSTRUMENT; EMISSIONS; DEPLETION</t>
  </si>
  <si>
    <t>The Antarctic ozone hole has attracted attention concerning global climate change. Breakthroughs regarding ozone observation methods and the formation principles of ozone holes have occurred. This study compared the slant column ozone obtained from SCanning Imaging Absorption SpectroMeter for Atmospheric CHartographY (SCIAMACHY) Level 1 optical spectroscopy data processed by QDOAS software with that reconstructed from SCIAMACHY Level 2 ozone data using geographic information to obtain the optical depth coefficients. The global distribution of optical depth coefficients reveals latitudinal homogeneity, whereas the distribution of coefficients in the polar regions reveals heterogeneity. This heterogeneity has an annual variation pattern, alternating between strong and weak distributions in the Arctic and Antarctic regions. It is most evident in the Palmer Peninsula of Antarctica, where the optical depth coefficients were significantly higher than those of the surrounding regions at the same latitude. This analysis excluded the atmospheric pressure influence and suggested the influence of the continental shelf depth. The protrusion of the continental shelf depth changes the optical depth coefficients owing to the geographical proximity of the Antarctic Palmer Peninsula to South America, which separates the Atlantic and Pacific Oceans in an east-west direction.</t>
  </si>
  <si>
    <t>[Xu, Ziqiang; Qian, Yuanyuan; Yang, Taiping; Tang, Fuying; Luo, Yuhan; Si, Fuqi] Chinese Acad Sci, Anhui Inst Opt &amp; Fine Mech, Hefei Inst Phys Sci, Key Lab Environm Opt &amp; Technol, Hefei 230031, Peoples R China; [Xu, Ziqiang; Qian, Yuanyuan; Tang, Fuying] Univ Sci &amp; Technol China, Hefei 230026, Peoples R China</t>
  </si>
  <si>
    <t>Chinese Academy of Sciences; Hefei Institutes of Physical Science, CAS; Anhui Institute of Optics &amp; Fine Mechanics (AIOFM), CAS; Chinese Academy of Sciences; University of Science &amp; Technology of China, CAS</t>
  </si>
  <si>
    <t>Si, FQ (corresponding author), Chinese Acad Sci, Anhui Inst Opt &amp; Fine Mech, Hefei Inst Phys Sci, Key Lab Environm Opt &amp; Technol, Hefei 230031, Peoples R China.</t>
  </si>
  <si>
    <t>xzqxzq@mail.ustc.edu.cn; yyqian@aiofm.ac.cn; tpyang@aiofm.ac.cn; fytang@aiofm.ac.cn; yhluo@aiofm.ac.cn; sifuqi@aiofm.ac.cn</t>
  </si>
  <si>
    <t>Luo, Yuhan/0000-0003-4568-6336</t>
  </si>
  <si>
    <t>We would like to thank Thomas Danckaert, Caroline Fayt, and Michel van Roozendael for providing the QDOAS software. The authors gratefully acknowledge the ESA for providing the SCIAMACHY dataset and SCIATRAN. The authors are thankful to NOAA for providing</t>
  </si>
  <si>
    <t>We would like to thank Thomas Danckaert, Caroline Fayt, and Michel van Roozendael for providing the QDOAS software. The authors gratefully acknowledge the ESA for providing the SCIAMACHY dataset and SCIATRAN. The authors are thankful to NOAA for providing global datasets.</t>
  </si>
  <si>
    <t>10.3390/rs15164054</t>
  </si>
  <si>
    <t>Q4DM5</t>
  </si>
  <si>
    <t>WOS:001057040300001</t>
  </si>
  <si>
    <t>Aggarwal, PK; Longstaffe, FJ; Schwartz, FW</t>
  </si>
  <si>
    <t>Aggarwal, Pradeep K.; Longstaffe, Frederick J.; Schwartz, Franklin W.</t>
  </si>
  <si>
    <t>Ice Core 17O Reveals Past Changes in Surface Air Temperatures and Stratosphere to Troposphere Mass Exchange</t>
  </si>
  <si>
    <t>isotope; oxygen-17; ice core; climate change; paleothermometry; stratosphere; Brewer-Dobson circulation</t>
  </si>
  <si>
    <t>TRIPLE ISOTOPIC COMPOSITION; WATER-VAPOR; OXYGEN-ISOTOPE; GREENLAND TEMPERATURE; SNOW VARIABILITY; EAST ANTARCTICA; CLIMATE; PRECIPITATION; HISTORY; RECORDS</t>
  </si>
  <si>
    <t>In this study, we have investigated the oxygen isotope compositions (d(17)O and d(18)O) of modern rain and ice cores using published isotopic data. We find that, contrary to existing interpretations, precipitation d17O is influenced by two factors: mass-dependent fractionation (MDF), which occurs during ocean evaporation, and mass-independent fractionation (MIF), which happens in the stratosphere. The MDF contribution remains constant and can be understood by studying tropical rain, as the overall movement of mass in the tropics is upward toward the stratosphere. On the other hand, the MIF effect comes from the mixing of stratospheric air in the troposphere, which is a result of the Brewer-Dobson circulation. This MIF effect on precipitation O-17 increases from the tropics toward the poles and is observed consistently in modern precipitation and ice cores. The relative d(17)O and d(18)O composition, denoted as increment ?'17O, in modern precipitation can be calibrated with surface air temperature, creating a new and independent tool for estimating past temperatures. We used this calibration along with the increment '17O of Antarctic and Greenland ice cores, and our reconstructed past temperatures are in excellent agreement with those derived from borehole thermometry or gas phase analysis of air trapped in the ice. The increment ?'17O method overcomes the problems associated with using d(18)O alone for paleothermometry. Our findings align with climate models that suggest a weakening of the Brewer-Dobson circulation during the Last Glacial Maximum. Furthermore, our approach could be used to monitor future changes in stratosphere-troposphere mass exchange in response to a warming climate caused by increasing greenhouse gases.</t>
  </si>
  <si>
    <t>[Aggarwal, Pradeep K.] IAEA, A-1400 Vienna, Austria; [Longstaffe, Frederick J.] Univ Western Ontario, Dept Earth Sci, London, ON N6A 3K7, Canada; [Schwartz, Franklin W.] Ohio State Univ, Sch Earth Sci, Columbus, OH 43210 USA</t>
  </si>
  <si>
    <t>International Atomic Energy Agency; Western University (University of Western Ontario); University System of Ohio; Ohio State University</t>
  </si>
  <si>
    <t>Aggarwal, PK (corresponding author), IAEA, A-1400 Vienna, Austria.</t>
  </si>
  <si>
    <t>pkaggarwal@gmail.com; flongsta@uwo.ca; schwartz.11@osu.edu</t>
  </si>
  <si>
    <t>Longstaffe, Fred/0000-0003-4103-4808</t>
  </si>
  <si>
    <t>We thank M. Guillevic, A. Landais, B. Stenni and R. Uemura for their kind cooperation in providing electronic versions of some of their published isotope data; L. Wang for providing unpublished temperature measurements accompanying isotope data for Indiana</t>
  </si>
  <si>
    <t>We thank M. Guillevic, A. Landais, B. Stenni and R. Uemura for their kind cooperation in providing electronic versions of some of their published isotope data; L. Wang for providing unpublished temperature measurements accompanying isotope data for Indianapolis; and J.W.C. White for assistance in locating web access to some of the Greenland isotope data.</t>
  </si>
  <si>
    <t>10.3390/atmos14081268</t>
  </si>
  <si>
    <t>Q3LN8</t>
  </si>
  <si>
    <t>WOS:001056565400001</t>
  </si>
  <si>
    <t>Robel, AA; Sim, SJ; Meyer, C; Siegfried, MR; Gustafson, CD</t>
  </si>
  <si>
    <t>Robel, Alexander A.; Sim, Shi J.; Meyer, Colin; Siegfried, Matthew R.; Gustafson, Chloe D.</t>
  </si>
  <si>
    <t>Contemporary ice sheet thinning drives subglacial groundwater exfiltration with potential feedbacks on glacier flow</t>
  </si>
  <si>
    <t>SCIENCE ADVANCES</t>
  </si>
  <si>
    <t>WEST ANTARCTICA; PHYSICAL CONDITIONS; PINE ISLAND; STREAM; WHILLANS; BENEATH; WATER; GREENLAND; SEDIMENT; MODEL</t>
  </si>
  <si>
    <t>Observations indicate that groundwater-laden sedimentary aquifers are extensive beneath large portions of the Greenland and Antarctic ice sheets. A reduction in the mechanical loading of aquifers is known to lead to groundwater exfiltration, a discharge of groundwater from the aquifer. Here, we provide a simple expression predicting exfiltration rates under a thinning ice sheet. Using contemporary satellite altimetry observations, we predict that exfiltration rates may reach tens to hundreds of millimeters per year under the fastest thinning parts of the Antarctic Ice Sheet. In parts of West Antarctica, predicted rates of exfiltration would cause the total subglacial water discharge rate to be nearly double what is currently predicted from subglacial basal melting alone. Continued Antarctic Ice Sheet thinning into the future guarantees that the rate and potential importance of exfiltration will only continue to grow. Such an increase in warm, nutrient-laden subglacial water discharge would cause changes in ice sliding, melt of basal ice and marine biological communities.</t>
  </si>
  <si>
    <t>[Robel, Alexander A.; Sim, Shi J.] Georgia Inst Technol, Sch Earth &amp; Atmospher Sci, 311 Ferst Dr, Atlanta, GA 30318 USA; [Meyer, Colin] Dartmouth Coll, Thayer Sch Engn, Hanover, NH 03755 USA; [Siegfried, Matthew R.] Colorado Sch Mines, Dept Geophys, Hydrol Sci &amp; Engn Program, Golden, CO 80401 USA; [Gustafson, Chloe D.] Geol Geophys &amp; Geochem Sci Ctr, US Geol Survey, Lakewood, CO 80225 USA</t>
  </si>
  <si>
    <t>University System of Georgia; Georgia Institute of Technology; Dartmouth College; Colorado School of Mines; United States Department of the Interior; United States Geological Survey</t>
  </si>
  <si>
    <t>Robel, AA (corresponding author), Georgia Inst Technol, Sch Earth &amp; Atmospher Sci, 311 Ferst Dr, Atlanta, GA 30318 USA.</t>
  </si>
  <si>
    <t>robel@eas.gatech.edu</t>
  </si>
  <si>
    <t>Sim, Shi/0000-0002-2469-1665; Gustafson, Chloe/0000-0001-8323-2568; Robel, Alexander/0000-0003-4520-0105</t>
  </si>
  <si>
    <t>Georgia Tech Research Corporation; NASA [80NSSC21K0912]</t>
  </si>
  <si>
    <t>Georgia Tech Research Corporation; NASA(National Aeronautics &amp; Space Administration (NASA))</t>
  </si>
  <si>
    <t>This work was supported by startup funds from the Georgia Tech Research Corporation (A.A.R. and S.J.S.) and NASA grant 80NSSC21K0912 (M.R.S.).&amp; nbsp;</t>
  </si>
  <si>
    <t>AMER ASSOC ADVANCEMENT SCIENCE</t>
  </si>
  <si>
    <t>1200 NEW YORK AVE, NW, WASHINGTON, DC 20005 USA</t>
  </si>
  <si>
    <t>2375-2548</t>
  </si>
  <si>
    <t>SCI ADV</t>
  </si>
  <si>
    <t>Sci. Adv.</t>
  </si>
  <si>
    <t>eadh3693</t>
  </si>
  <si>
    <t>10.1126/sciadv.adh3693</t>
  </si>
  <si>
    <t>P5EH2</t>
  </si>
  <si>
    <t>WOS:001050899400016</t>
  </si>
  <si>
    <t>Velichko, NV; Rabochaya, DE; Dolgikh, AV; Mergelov, NS</t>
  </si>
  <si>
    <t>Velichko, N. V.; Rabochaya, D. E.; Dolgikh, A. V.; Mergelov, N. S.</t>
  </si>
  <si>
    <t>Cyanobacteria in Hypolithic Horizons of Soils in the Larsemann Hills Oasis, East Antarctica</t>
  </si>
  <si>
    <t>EURASIAN SOIL SCIENCE</t>
  </si>
  <si>
    <t>biofilms; fouling glasses; FISH; laboratory cultures; 16S rRNA; 16S-23S ITS secondary structures; endemism</t>
  </si>
  <si>
    <t>MICROBIAL COMMUNITIES; SECONDARY STRUCTURE; ONLINE RESOURCE; VICTORIA LAND; DRY VALLEYS; DIVERSITY; BIODIVERSITY; PROBEBASE; NORTHERN; ENDEMISM</t>
  </si>
  <si>
    <t>The research is devoted to the analysis of biodiversity of Antarctic cyanobacteria in hypolithic organic-accumulative horizons of soils in the Larsemann Hills oasis. Studies of fouling glasses by the methods of light and confocal microscopy, as well as by fluorescent in situ hybridization, indicate that filamentous forms predominate among cyanobacteria in the upper layers of Antarctic hypolithic microbial communities. Strains of the genera Nostoc, Halotia, Leptolyngbya, Plectolyngbya, and Phormidesmis, as well as some new and previously undescribed cyanobacteria, were isolated from corresponding soil samples to clarify their taxonomic status. As a result, a unique collection of Antarctic cyanobacteria isolated from soils was obtained for the first time. The strains were described according to the modern polyphasic taxonomy methods based on an integrated assessment of morphological and molecular-genetic features. Phylogenetic analysis of primary 16S rRNA sequences and peculiarities of secondary structures of internal transcribed spacers enabled us to identify new taxa of potentially endemic cyanobacteria among the strains studied. The high level of similarity between the 16S rRNA gene sequences of soil strains and those previously found in benthic mats of water bodies in the Larsemann Hills confirmed the ability of cyanobacteria to expand beyond different ecological niches and to adapt to contrasting environmental conditions.</t>
  </si>
  <si>
    <t>[Velichko, N. V.; Rabochaya, D. E.] St Petersburg State Univ, St Petersburg, Russia; [Dolgikh, A. V.; Mergelov, N. S.] Russian Acad Sci, Inst Geog, Moscow 119017, Russia</t>
  </si>
  <si>
    <t>Saint Petersburg State University; Institute of Geography, Russian Academy of Sciences; Russian Academy of Sciences</t>
  </si>
  <si>
    <t>Velichko, NV (corresponding author), St Petersburg State Univ, St Petersburg, Russia.</t>
  </si>
  <si>
    <t>n.velichko@spbu.ru</t>
  </si>
  <si>
    <t>Dolgikh, Andrey/D-2575-2015</t>
  </si>
  <si>
    <t>Dolgikh, Andrey/0000-0002-9316-9440</t>
  </si>
  <si>
    <t>Russian Science Foundation [22-24-00590]</t>
  </si>
  <si>
    <t>The work was supported by the Russian Science Foundation, project no. 22-24-00590 Biological Diversity of Cyanoprokaryotes in Antarctic Algae-Bacterial Consortia.</t>
  </si>
  <si>
    <t>1064-2293</t>
  </si>
  <si>
    <t>1556-195X</t>
  </si>
  <si>
    <t>EURASIAN SOIL SCI+</t>
  </si>
  <si>
    <t>Eurasian Soil Sci.</t>
  </si>
  <si>
    <t>10.1134/S1064229323600859</t>
  </si>
  <si>
    <t>P7ZS1</t>
  </si>
  <si>
    <t>WOS:001052822900007</t>
  </si>
  <si>
    <t>Kreps, G; Lembke-Jene, L; Romero, S; Ferrari, R; Lamy, F; Miramontes, E</t>
  </si>
  <si>
    <t>Kreps, Gaston; Lembke-Jene, Lester; Romero, Silvia; Ferrari, Ramiro; Lamy, Frank; Miramontes, Elda</t>
  </si>
  <si>
    <t>Bottom-Current Variability and the Relationship With Topography and Sedimentary Processes in the Drake Passage</t>
  </si>
  <si>
    <t>Drake Passage; bottom currents; sedimentary features; Southern Ocean; bathymetry</t>
  </si>
  <si>
    <t>ANTARCTIC CIRCUMPOLAR CURRENT; OVERTURNING CIRCULATION; MALVINAS CURRENT; SORTABLE SILT; POLAR FRONT; ARGO FLOATS; SCOTIA SEA; WATER-MASS; SURFACE; MODEL</t>
  </si>
  <si>
    <t>Bottom-current related sediments have been commonly used for paleoceanographic reconstructions. However, the strength and variability of bottom currents are poorly understood and thus the processes that control sedimentation in deep environments are not clear. In this study, we focus on the Drake Passage, which is connected to the Antarctic Circumpolar Current, that has a major impact on the global climate. We studied the intensity and variability of bottom currents and how they are related to sedimentary processes. For this purpose, we used 27-years from GLORYS12 Mercator Ocean reanalysis at high resolution to evaluate the bottom current dynamics. Geophysical data and surface grain size measurements were used to identify the type of sediment deposits. Our results show that the dynamics of bottom currents is disconnected from the sea surface dynamics, and bottom circulation is strongly controlled by the rough topography of the Drake Passage. The patterns for the first modes of bottom-current variability are related to the local topography and seem to generally control the distribution of contourites. The second and third EOF modes show patterns in the bottom currents that differ from the mean field, and they may affect the rate of erosion and deposition differently. Time series of bottom currents reveals multiple high-speed current events, but contourite drifts seem to accumulate preferentially in zones of slow and stable bottom currents. Our study highlights the potential of using ocean reanalysis to better constrain bottom currents in zones of scarce data and to plan future campaigns of direct measurements.</t>
  </si>
  <si>
    <t>[Kreps, Gaston; Lembke-Jene, Lester; Lamy, Frank] Alfred Wegener Inst, Helmholtz Zentrum Meeres &amp; Polarforsch, Bremerhaven, Germany; [Romero, Silvia] Univ Buenos Aires, Fac Ciencias Exactas &amp; Nat, Dept Ciencias Atmosfera &amp; Oceanos, Buenos Aires, Argentina; [Romero, Silvia] Serv Hidrog Naval, Dept Oceanog, Buenos Aires, Argentina; [Romero, Silvia] Univ Def Nacl UNDEF, Buenos Aires, Argentina; [Ferrari, Ramiro] NOVELTIS, Labege, France; [Miramontes, Elda] Univ Bremen, Fac Geosci, Bremen, Germany; [Miramontes, Elda] Univ Bremen, MARUM Ctr Marine Environm Sci, Bremen, Germany</t>
  </si>
  <si>
    <t>Helmholtz Association; Alfred Wegener Institute, Helmholtz Centre for Polar &amp; Marine Research; University of Buenos Aires; Servicio de Hidrografia Naval; University of Bremen; University of Bremen</t>
  </si>
  <si>
    <t>Kreps, G (corresponding author), Alfred Wegener Inst, Helmholtz Zentrum Meeres &amp; Polarforsch, Bremerhaven, Germany.</t>
  </si>
  <si>
    <t>gaston.kreps@awi.de</t>
  </si>
  <si>
    <t>Lembke-Jene, Lester/ABC-6275-2020; Lembke-Jene, Lester/F-5084-2013</t>
  </si>
  <si>
    <t>KREPS, GASTON/0000-0002-8015-0388; Lembke-Jene, Lester/0000-0002-6873-8533; Romero, Silvia Ines/0000-0001-7744-6391</t>
  </si>
  <si>
    <t>We wish to thank the captain, crew, and scientific party of R/V Polarstern for a successful PS97 cruise. G. Kreps was supported by a fellowship from Deutscher Akademischer Austauschdients (DAAD) under the founding program Research Grants-Bi-nationally Supe; fellowship from Deutscher Akademischer Austauschdients (DAAD); founding program Research Grants-Bi-nationally Supervised Doctoral Degrees/Cotutelle [57552338]</t>
  </si>
  <si>
    <t>We wish to thank the captain, crew, and scientific party of R/V Polarstern for a successful PS97 cruise. G. Kreps was supported by a fellowship from Deutscher Akademischer Austauschdients (DAAD) under the founding program Research Grants-Bi-nationally Supe; fellowship from Deutscher Akademischer Austauschdients (DAAD)(Deutscher Akademischer Austausch Dienst (DAAD)); founding program Research Grants-Bi-nationally Supervised Doctoral Degrees/Cotutelle</t>
  </si>
  <si>
    <t>We wish to thank the captain, crew, and scientific party of R/V Polarstern for a successful PS97 cruise. G. Kreps was supported by a fellowship from Deutscher Akademischer Austauschdients (DAAD) under the founding program Research Grants-Bi-nationally Supervised Doctoral Degrees/Cotutelle (57552338). We are grateful to Dr. Catalina Gebhardt for providing the PARADOUND data from the PS97 cruise. Bathymetry data with courtesy of the Alfred Wegener Institute, Helmholtz Centre for Polar and Marine Research. This study has been conducted using E.U. Copernicus Marine Service Information, . We thank F. Javier Hernandez-Molina and two anonymous reviewers for their constructive comments that helped us improve the manuscript. Open Access funding enabled and organized by Projekt DEAL.</t>
  </si>
  <si>
    <t>e2022JC019623</t>
  </si>
  <si>
    <t>10.1029/2022JC019623</t>
  </si>
  <si>
    <t>P8KI0</t>
  </si>
  <si>
    <t>WOS:001053100200001</t>
  </si>
  <si>
    <t>Youngs, MK; Flierl, GR</t>
  </si>
  <si>
    <t>Youngs, Madeleine K.; Flierl, Glenn R.</t>
  </si>
  <si>
    <t>Extending Residual-Mean Overturning Theory to the Topographically Localized Transport in the Southern Ocean</t>
  </si>
  <si>
    <t>Southern Ocean; Lagrangian circulation; transport; Ocean circulation; Idealized models</t>
  </si>
  <si>
    <t>ANTARCTIC CIRCUMPOLAR CURRENT; ANTHROPOGENIC CARBON; CIRCULATION; EDDIES; STRATIFICATION; CLOSURE; DRIVEN; ACC</t>
  </si>
  <si>
    <t>The Southern Ocean plays a major role in global air-sea carbon fluxes, with some estimates suggesting it contributes to up to 40% of the oceanic anthropogenic carbon dioxide uptake, despite only comprising about 20% of oce-anic surface area. Thus, the Southern Ocean overturning, the circulation that transports tracers between the surface and deep ocean interior, is particularly important for climate. Recent studies show that vertical velocities and tracer transport are largest just downstream of bottom topography; these quantities are related to the overturning, but provide incomplete information about the net Lagrangian transport, usually described with the residual-mean theory in a zonally integrated sense. This study uses an idealized Southern Ocean-like channel model with particle tracking to visualize the thickness-weighted velocities that capture the net overturning transport of a parcel, connecting residual-mean overturning theory to the three-dimensional, localized nature of the overturning. From this, we split the flow into three main drivers of transport: a wind-driven Ekman pumping into or out of a density layer, and standing eddies and transient eddies, both of which are localized near the topography. In this framework, the three-dimensional overturning circulation is not a small residual be-tween the eddy and Eulerian-mean transport. The existence of a ridge weakens the response of the overturning to changes in wind, especially in the lower cell. This local understanding of the overturning framework suggests that careful modeling and sampling of specific regions near topography in the Southern Ocean are vital to understand climate sensitivity, trans-port, carbon export, and connections with the oceans to the north.</t>
  </si>
  <si>
    <t>[Youngs, Madeleine K.] Univ Calif Los Angeles, Atmospher &amp; Ocean Sci, Los Angeles, CA 90095 USA; [Flierl, Glenn R.] MIT, Earth Atmospher &amp; Planetary Sci, Cambridge, MA USA</t>
  </si>
  <si>
    <t>University of California System; University of California Los Angeles; Massachusetts Institute of Technology (MIT)</t>
  </si>
  <si>
    <t>Youngs, MK (corresponding author), Univ Calif Los Angeles, Atmospher &amp; Ocean Sci, Los Angeles, CA 90095 USA.</t>
  </si>
  <si>
    <t>myoungs@atmos.ucla.edu</t>
  </si>
  <si>
    <t>Youngs, Madeleine/0000-0002-3395-8165</t>
  </si>
  <si>
    <t>National Defense Science and Engineering Graduate Fellowship; NOAA Climate and Global Change Postdoctoral Fellowship; NSF [OCE-1459702, OCE130007]; NCAR CISL [PLR-1425989]; NSF XSEDE Resource Grant; SOCCOM NSF Award; [OCE-1536515]; [UMIT0025]</t>
  </si>
  <si>
    <t>National Defense Science and Engineering Graduate Fellowship; NOAA Climate and Global Change Postdoctoral Fellowship(National Oceanic Atmospheric Admin (NOAA) - USA); NSF(National Science Foundation (NSF)); NCAR CISL(National Science Foundation (NSF)NSF - Directorate for Geosciences (GEO)); NSF XSEDE Resource Grant; SOCCOM NSF Award; ;</t>
  </si>
  <si>
    <t>We acknowledge helpful discussions with Mara Freilich, Andrew Stewart, David Marshall, Nicole Lovenduski, Michael Spall, and Edwin Gerber. MKY acknowledges funding from the National Defense Science and Engineering Graduate Fellowship, a NOAA Climate and Global Change Postdoctoral Fellowship, NSF OCE-1536515, and an allocation at NCAR CISL UMIT0025. This research received support by the generosity of Eric and Wendy Schmidt by recommendation of the Schmidt Futures program. GRF acknowledges funding from NSF OCE-1459702. Computational resources for the SOSE were provided by NSF XSEDE Resource Grant OCE130007 and SOCCOM NSF Award PLR-1425989.</t>
  </si>
  <si>
    <t>10.1175/JPO-D-22-0217.1</t>
  </si>
  <si>
    <t>P2PA7</t>
  </si>
  <si>
    <t>WOS:001049099300001</t>
  </si>
  <si>
    <t>Schmidgall, CR; Si, YDF; Stewart, AL; Thompson, AF; Hogg, AM</t>
  </si>
  <si>
    <t>Schmidgall, Carlyn R.; Si, Yidongfang; Stewart, Andrew L.; Thompson, Andrew F.; Hogg, Andrew McC.</t>
  </si>
  <si>
    <t>Dynamical Controls on Bottom Water Transport and Transformation across the Antarctic Circumpolar Current</t>
  </si>
  <si>
    <t>Southern Ocean; Abyssal circulation; Idealized models</t>
  </si>
  <si>
    <t>MERIDIONAL OVERTURNING CIRCULATION; SOUTHERN-OCEAN; DRAKE PASSAGE; DEEP CONVECTION; SUBPOLAR GYRES; MODEL; SHELF; STRATIFICATION; VARIABILITY; CLOSURE</t>
  </si>
  <si>
    <t>The export of Antarctic Bottom Water (AABW) supplies the bottom cell of the global overturning circulation and plays a key role in regulating climate. This AABW outflow must cross, and is therefore mediated by, the Antarctic Circumpolar Current (ACC). Previous studies present widely varying conceptions of the role of the ACC in directing AABW across the Southern Ocean, suggesting either that AABW may be zonally recirculated by the ACC, or that AABW may flow northward within deep western boundary currents (DWBC) against bathymetry. In this study the authors investigate how the forcing and geometry of the ACC influences the transport and transformation of AABW using a suite of process-oriented model simulations. The model exhibits a strong dependence on the elevation of bathymetry relative to AABW layer thickness: higher meridional ridges suppress zonal AABW exchange, increase the strength of flow in the DWBC, and reduce the meridional variation in AABW density across the ACC. Furthermore, the transport and transformation vary with density within the AABW layer, with denser varieties of AABW being less efficiently transported between basins. These findings indicate that changes in the thickness of the AABW layer, for example, due to changes in Antarctic shelf processes, and tectonic changes in the sea floor shape may alter the pathways and transformation of AABW across the ACC.SIGNIFICANCE STATEMENT: The ocean plays an outsized role in the movement of heat and trace gases around Earth, and the northward export of dense Antarctic Bottom Water is a crucial component of this climate-regulating process. This study aims to understand what sets the pathways of Antarctic Bottom Water as it travels northward across the Antarctic Circumpolar Current, and thus what controls its partitioning between the Atlantic, Indian, and Pacific basins. Our results highlight the importance of seafloor elevation relative to the thickness of the Antarctic Bottom Water layer for directing the flow northward versus between basins. This study motivates future investigation of long-term changes in Antarctic Bottom Water properties and their consequences for its global distribution.</t>
  </si>
  <si>
    <t>[Schmidgall, Carlyn R.; Si, Yidongfang; Stewart, Andrew L.] Univ Calif Los Angeles, Dept Atmospher &amp; Ocean Sci, Los Angeles, CA 90095 USA; [Thompson, Andrew F.] CALTECH, Environm Sci &amp; Engn, Pasadena, CA USA; [Hogg, Andrew McC.] Australian Natl Univ, Res Sch Earth Sci, Canberra, ACT, Australia; [Hogg, Andrew McC.] Australian Natl Univ, Australian Res Council Ctr Excellence Climate Extr, Canberra, ACT, Australia</t>
  </si>
  <si>
    <t>University of California System; University of California Los Angeles; California Institute of Technology; Australian National University; Australian National University</t>
  </si>
  <si>
    <t>Schmidgall, CR (corresponding author), Univ Calif Los Angeles, Dept Atmospher &amp; Ocean Sci, Los Angeles, CA 90095 USA.</t>
  </si>
  <si>
    <t>crschmid@uw.edu</t>
  </si>
  <si>
    <t>Hogg, Andy McC./A-7553-2011</t>
  </si>
  <si>
    <t>Hogg, Andy McC./0000-0001-5898-7635; Schmidgall, Carlyn/0009-0008-9840-1537; Stewart, Andrew/0000-0001-5861-4070; Si, Yidongfang/0000-0003-3343-406X</t>
  </si>
  <si>
    <t>National Science Foundation [ACI-1548562, OPP-2023259]; National Aeronautics and Space Administration ROSES Physical Oceanography program [80NSSC19K1192]; China Scholarship Council [201806010366]</t>
  </si>
  <si>
    <t>National Science Foundation(National Science Foundation (NSF)); National Aeronautics and Space Administration ROSES Physical Oceanography program; China Scholarship Council(China Scholarship Council)</t>
  </si>
  <si>
    <t>This material is based in part upon work supported by the National Science Foundation under Grant OPP-2023244, and by the National Aeronautics and Space Administration ROSES Physical Oceanography program under Grant 80NSSC19K1192. This work used the Extreme Science and Engineering Discovery Environment (XSEDE; Towns et al. 2014) , which is supported by National Science Foundation Grant ACI-1548562. Author A. F. Thomp- son acknowledges support from OPP-2023259. We thank the MITgcm team for their contribution to numerical modeling and for making their code available. Author Y. Si acknowledges support from the China Scholarship Council (201806010366)</t>
  </si>
  <si>
    <t>10.1175/JPO-D-22-0113.1</t>
  </si>
  <si>
    <t>WOS:001049099300002</t>
  </si>
  <si>
    <t>Giddy, IS; Fer, I; Swart, S; Nicholson, SA</t>
  </si>
  <si>
    <t>Giddy, I. S.; Fer, I.; Swart, S.; Nicholson, S. A.</t>
  </si>
  <si>
    <t>Vertical Convergence of Turbulent and Double-Diffusive Heat Flux Drives Warming and Erosion of Antarctic Winter Water in Summer</t>
  </si>
  <si>
    <t>Southern Ocean; Diapycnal mixing; Turbulence; Heat budgets; fluxes; Small-scale processes</t>
  </si>
  <si>
    <t>SOUTHERN-OCEAN; SEA-ICE; MIXED-LAYER; FINESCALE PARAMETERIZATIONS; AMUNDSEN BASIN; TEMPERATURE; DISSIPATION; VARIABILITY; STRATIFICATION; CONVECTION</t>
  </si>
  <si>
    <t>The seasonal warming of Antarctic Winter Water (WW) is a key process that occurs along the path of deep water transformation to intermediate waters. These intermediate waters then enter the upper branch of the circumpolar overturning circulation. Despite its importance, the driving mechanisms that mediate the warming of Antarctic WW remain unknown, and their quantitative evaluation is lacking. Using 38 days of glider measurements of microstructure shear, we characterize the rate of turbulent dissipation and its drivers over a summer season in the northern Weddell Sea. Observed dissipation rates in the surface layer are mainly forced by winds and explained by the stress scaling (r2 5 0.84). However, mixing to the base of the mixed layer during strong wind events is suppressed by vertical stratification from sea ice melt. Between the WW layer and the warm and saline circumpolar deep water, a subsurface layer of enhanced dissipation is maintained by double-diffusive convection (DDC). We develop a WW layer temperature budget and show that a warming trend (0.28C over 28 days) is driven by a convergence of heat flux through mechanically driven mixing at the base of the mixed layer and DDC at the base of the WW layer. Notably, excluding the contribution from DDC results in an underestimation of WW warming by 23%, highlighting the importance of adequately representing DDC in ocean models. These results further suggest that an increase in storm intensity and frequency during summer could increase the rate of warming of WW with implications for rates of upper-ocean water mass transformation.</t>
  </si>
  <si>
    <t>[Giddy, I. S.; Swart, S.] Univ Gothenburg, Dept Marine Sci, Gothenburg, Sweden; [Giddy, I. S.; Swart, S.] Univ Cape Town, Dept Oceanog, Cape Town, South Africa; [Giddy, I. S.; Nicholson, S. A.] CSIR, Southern Ocean Carbon Climate Observ, Cape Town, South Africa; [Fer, I.] Univ Bergen, Geophys Inst, Bergen, Norway; [Fer, I.] Bjerknes Ctr Climate Res, Bergen, Norway</t>
  </si>
  <si>
    <t>University of Gothenburg; University of Cape Town; Council for Scientific &amp; Industrial Research (CSIR) - South Africa; University of Bergen; Bjerknes Centre for Climate Research</t>
  </si>
  <si>
    <t>Giddy, IS (corresponding author), Univ Gothenburg, Dept Marine Sci, Gothenburg, Sweden.;Giddy, IS (corresponding author), Univ Cape Town, Dept Oceanog, Cape Town, South Africa.;Giddy, IS (corresponding author), CSIR, Southern Ocean Carbon Climate Observ, Cape Town, South Africa.</t>
  </si>
  <si>
    <t>Fer, Ilker/C-7820-2012; Swart, Sebastiaan/U-5498-2017</t>
  </si>
  <si>
    <t>Fer, Ilker/0000-0002-2427-2532; Giddy, Isabelle/0000-0002-8926-3311; Nicholson, Sarah-Anne/0000-0002-1226-1828; Swart, Sebastiaan/0000-0002-2251-8826</t>
  </si>
  <si>
    <t>NRF-SANAP [SNA170506229906]; iAtlantic Horizon 2020 grant [818123]; STINT-NRF Mobility Grant [STNT180910357293]; Oppenheimer Memorial Trust; Wallenberg Academy Fellowship [WAF 2015.0186]; Swedish Research Council [VR 2019-04400]; NRF-SANAP [SNA170522231782, SANAP200324510487]; European Union [821001]; Research Council of Norway [294396]</t>
  </si>
  <si>
    <t>NRF-SANAP; iAtlantic Horizon 2020 grant; STINT-NRF Mobility Grant; Oppenheimer Memorial Trust; Wallenberg Academy Fellowship; Swedish Research Council(Swedish Research Council); NRF-SANAP; European Union(European Union (EU)); Research Council of Norway(Research Council of Norway)</t>
  </si>
  <si>
    <t>&amp; nbsp;Author I. Giddy received support from NRF-SANAP (SNA170506229906), an iAtlantic Horizon 2020 grant (818123), the STINT-NRF Mobility Grant (STNT180910357293) and the Oppenheimer Memorial Trust. Author S. Swart was supported by a Wallenberg Academy Fellowship (WAF 2015.0186) and the Swedish Research Council (VR 2019-04400). Authors S.-A. Nicholson and S. Swart received support from NRF-SANAP (SNA170522231782 and SANAP200324510487). Swart and Nicholson also received funding from the European Union's Horizon 2020 research and innovation program under Grant Agreement 821001 (SO-CHIC). Author I. Fer received support from the Research Council of Norway, through the AROMA project (Grant 294396). The authors thank the captain and crew of the SA Agulhas II and the assistance of Sea Technology Services for the deployment, retrieval, and piloting of the Slocum. We thank Dr. Gerd Krahmann for making the glider data-processing software available and for assistance in the glider processing and Dr. Leo Middleton for sharing the spice parameterization of dissipation routines and discussions there of. We are also grateful to Prof. Lynne Talley and two anonymous reviewers for their insightful comments on the paper.</t>
  </si>
  <si>
    <t>10.1175/JPO-D-22-0259.1</t>
  </si>
  <si>
    <t>hybrid, Green Submitted</t>
  </si>
  <si>
    <t>WOS:001049099300003</t>
  </si>
  <si>
    <t>Cyriac, A; Meyer, A; Phillips, HE; Bindoff, NL</t>
  </si>
  <si>
    <t>Cyriac, Ajitha; Meyer, Amelie; Phillips, Helen E.; Bindoff, Nathaniel L.</t>
  </si>
  <si>
    <t>Observations of Internal Wave Interactions in a Southern Ocean Standing Meander</t>
  </si>
  <si>
    <t>Southern Ocean; Internal waves; Ocean dynamics; Fronts; Eddies</t>
  </si>
  <si>
    <t>ANTARCTIC CIRCUMPOLAR CURRENT; GRAVITY-WAVES; ENERGY; DYNAMICS; DISSIPATION; PROPAGATION; VARIABILITY; TRANSPORT; CAPTURE; FRONTS</t>
  </si>
  <si>
    <t>We characterize the internal wave field at a standing meander of the Antarctic Circumpolar Current (ACC) where strong winds, bathymetry, and a strong eddy field combine to form a dynamic environment for the genera-tion and dissipation of internal waves. We use Electromagnetic Autonomous Profiling Explorer float data spanning 0-1600 m depth collected from a meander near the Macquarie Ridge, south of Australia. Of the 112 internal waves identi-fied, 69% are associated with upward energy propagation. Most of the upward propagating waves (35%) are found near the Polar Front and are likely generated by mean flow-topography interactions. Generation by wind forcing at the sea sur-face is likely responsible for more than 40% of the downward propagating waves. Our results highlight advection of the waves and wave-mean flow interactions within the ACC as the dominant processes affecting the wave dynamics. The larger dissipation time scales of the waves compared to advection suggests they are likely to dissipate away from the gener-ation site. We find that about 79% (66%) of the waves in cyclonic eddies (the Subantarctic Front) are influenced by hori-zontal strain, whereas 92% of the waves in the slower Polar Front are influenced by the relative vorticity of the background flow. There is energy exchange between internal waves and the mean flow, in both directions. The mean en-ergy transfer (1.4 &amp; PLUSMN; 1.0 x 10-11 m2 s-3) is from the mean flow to the waves in all dynamic regions except in anticyclonic eddies. The strongest energy exchange (5.0 &amp; PLUSMN; 3.7 x 10-11 m2 s-3) is associated with waves in cyclonic eddies.</t>
  </si>
  <si>
    <t>[Cyriac, Ajitha; Meyer, Amelie; Phillips, Helen E.; Bindoff, Nathaniel L.] Univ Tasmania, Inst Marine &amp; Antarctic Studies, Hobart, Tas, Australia; [Cyriac, Ajitha; Meyer, Amelie; Phillips, Helen E.; Bindoff, Nathaniel L.] ARC Ctr Excellence Climate Extremes, Hobart, Tas, Australia; [Cyriac, Ajitha; Phillips, Helen E.; Bindoff, Nathaniel L.] Univ Tasmania, Inst Marine &amp; Antarctic Studies, Australian Ctr Excellence Antarctic Sci, Hobart, Tas, Australia; [Phillips, Helen E.; Bindoff, Nathaniel L.] Univ Tasmania, Inst Marine &amp; Antarctic Studies, Australian Antarctic Program Partnership, Hobart, Tas, Australia</t>
  </si>
  <si>
    <t>University of Tasmania; University of Tasmania; University of Tasmania</t>
  </si>
  <si>
    <t>Cyriac, A (corresponding author), Univ Tasmania, Inst Marine &amp; Antarctic Studies, Hobart, Tas, Australia.;Cyriac, A (corresponding author), ARC Ctr Excellence Climate Extremes, Hobart, Tas, Australia.;Cyriac, A (corresponding author), Univ Tasmania, Inst Marine &amp; Antarctic Studies, Australian Ctr Excellence Antarctic Sci, Hobart, Tas, Australia.</t>
  </si>
  <si>
    <t>ajitha.cyriac@utas.edu.au</t>
  </si>
  <si>
    <t>Cyriac, Ajitha/0000-0001-6149-740X</t>
  </si>
  <si>
    <t>Australian Government Depart-ment of the Environment and Energy National EnvironmentalScience Program Climate Systems Hub; Australian Research Council Discovery Project [DP170102162]; AC's postdoctoral Fellowship; Australia's Marine National Facility; Australian Research Council Discovery Early Career Research Award [DE200100414]; Australian Government Department of the Environment and Energy National Environmental Science Program Climate Systems Hub; Australian Government; Australian Research Council Special Research Initiative; Australian Centre for Excellence in Antarctic Science [SR200100008]; Australian Research Council Centre of Excellence in Climate Extremes [CE170100023]; Australian Research Council [DE200100414] Funding Source: Australian Research Council</t>
  </si>
  <si>
    <t>Australian Government Depart-ment of the Environment and Energy National EnvironmentalScience Program Climate Systems Hub(Australian Government); Australian Research Council Discovery Project(Australian Research Council); AC's postdoctoral Fellowship; Australia's Marine National Facility; Australian Research Council Discovery Early Career Research Award(Australian Research Council); Australian Government Department of the Environment and Energy National Environmental Science Program Climate Systems Hub; Australian Government(Australian Government); Australian Research Council Special Research Initiative(Australian Research Council); Australian Centre for Excellence in Antarctic Science; Australian Research Council Centre of Excellence in Climate Extremes(Australian Research Council); Australian Research Council(Australian Research Council)</t>
  </si>
  <si>
    <t>&amp; nbsp;We thank the scientists, student volunteers, and crew from the IN2018-V05 voyage on board R/V Investigator. We are grateful to S. Waterman and K. Polzin for valuable suggestions. The observations were funded through grants from the Australian Research Council Discovery Project (DP170102162) , which funded AC's postdoctoral Fellowship, and Australia's Marine National Facility. AM was supported by the Australian Research Council Discovery Early Career Research Award project DE200100414. AC, HEP, and NLB acknowledge support from the Australian Government Department of the Environment and Energy National Environmental Science Program Climate Systems Hub, the Australian Government as part of the Antarctic Science Collaboration Initiative and the Australian Research Council Special Research Initiative, Australian Centre for Excellence in Antarctic Science (Project Number SR200100008) . AC, AM, HEP, and NLB ac-knowledge support from the Australian Research Council Centre of Excellence in Climate Extremes (CE170100023) .</t>
  </si>
  <si>
    <t>10.1175/JPO-D-22-0157.1</t>
  </si>
  <si>
    <t>P6KW5</t>
  </si>
  <si>
    <t>WOS:001051755600001</t>
  </si>
  <si>
    <t>Migneault, A; Bennison, A; Doyle, TK; James, MC</t>
  </si>
  <si>
    <t>Migneault, Amy; Bennison, Ashley; Doyle, Thomas K.; James, Michael C.</t>
  </si>
  <si>
    <t>High-resolution diving data collected from foraging area reveal that leatherback turtles dive faster to forage longer</t>
  </si>
  <si>
    <t>ECOSPHERE</t>
  </si>
  <si>
    <t>biologging; Dermochelys coriacea; diving behavior; endangered species; energy expenditure; feeding ecology; jellyfish; leatherback turtle; marine reptile; telemetry</t>
  </si>
  <si>
    <t>DERMOCHELYS-CORIACEA; SEA-TURTLES; ST-CROIX; BEHAVIOR; PATTERNS; JELLYFISH; ATLANTIC; PROVIDE; SURFACE; GEAR</t>
  </si>
  <si>
    <t>Despite multiple studies examining the diving behavior of leatherback sea turtles (Dermochelys coriacea) at coarse resolution over broad distances, there is still a paucity of high-resolution diving data collected in areas where foraging has been confirmed. Short-term (similar to 1-3 h) deployments of suction cup tags with time-depth recorders (TDRs) on 10 free-swimming leatherback turtles in a foraging area off Nova Scotia, Canada during August and September (2007-2014), captured a total of 161 dives. High-resolution (1-5 s sampling rate) dive profile data indicated variability in diving behavior between and within individuals. On average, turtles spent 55.7% of their time diving and 44.3% at the surface. Turtles generally performed short (mean duration = 250.4 s [SD = 47.9 s]) and shallow dives (mean depth = 24.3 m [SD = 5.8 m]). We recorded a mean dive descent rate of 0.32 m/s, which is faster than values recorded for leatherbacks in tropical waters. This may reflect differences in environment, behavioral mode (e.g., foraging vs. inter-nesting), and body condition. Linear mixed-effects models suggest a significant positive correlation between descent rate and mean depth, maximum depth, and integrated vertical bottom movement (IVBM). Turtles with faster descent rates dove deeper and increased their predicted foraging behavior (IVBM, or the sum of absolute differences in depth changes while at the bottom portion of their dives). Models additionally showed that dive time, bottom time, and IVBM were all positively correlated to the post-dive surfacing. This suggests that turtles required more time at the surface to recover and/or handle prey following longer dives characterized by increased vertical movement at the bottom portion of the dive. Dives were complex; the application of standard dive type/shape analysis may be over-simplified and inappropriate for leatherbacks foraging in these habitats. These results portray a novel and detailed look at the foraging dynamics of a diving marine reptile.</t>
  </si>
  <si>
    <t>[Migneault, Amy; Doyle, Thomas K.] Univ Coll Cork, Sch Biol Earth &amp; Environm Sci, Cork, Ireland; [Migneault, Amy] Ocean Wise, Whales Initiat, Vancouver, BC, Canada; [Bennison, Ashley; Doyle, Thomas K.] Univ Coll Cork, Sci Fdn Ireland Res Ctr Energy, Climate &amp; Marine Environm Res Ctr, Cork, Ireland; [Bennison, Ashley] British Antarctic Survey, Cambridge, England; [James, Michael C.] Fisheries &amp; Oceans Canada, Bedford Inst Oceanog, Dartmouth, NS, Canada</t>
  </si>
  <si>
    <t>University College Cork; University College Cork; UK Research &amp; Innovation (UKRI); Natural Environment Research Council (NERC); NERC British Antarctic Survey; Fisheries &amp; Oceans Canada; Bedford Institute of Oceanography</t>
  </si>
  <si>
    <t>Migneault, A (corresponding author), Univ Coll Cork, Sch Biol Earth &amp; Environm Sci, Cork, Ireland.;Migneault, A (corresponding author), Ocean Wise, Whales Initiat, Vancouver, BC, Canada.</t>
  </si>
  <si>
    <t>amymigneault@gmail.com</t>
  </si>
  <si>
    <t>Brophy, Deirdre/JQW-0281-2023</t>
  </si>
  <si>
    <t>~Fisheries and Oceans Canada (DFO) Species at Risk Program; National Marine Fisheries Service; Natural Sciences and Engineering Research Council of Canada</t>
  </si>
  <si>
    <t>~Fisheries and Oceans Canada (DFO) Species at Risk Program; National Marine Fisheries Service; Natural Sciences and Engineering Research Council of Canada(Natural Sciences and Engineering Research Council of Canada (NSERC)CGIAR)</t>
  </si>
  <si>
    <t>Fisheries and Oceans Canada (DFO) Species at Risk Program; National Marine Fisheries Service; Natural Sciences and Engineering Research Council of Canada</t>
  </si>
  <si>
    <t>2150-8925</t>
  </si>
  <si>
    <t>Ecosphere</t>
  </si>
  <si>
    <t>e4576</t>
  </si>
  <si>
    <t>10.1002/ecs2.4576</t>
  </si>
  <si>
    <t>O8EU7</t>
  </si>
  <si>
    <t>WOS:001046092600001</t>
  </si>
  <si>
    <t>Latour, P; van der Merwe, P; Wuttig, K; Corkill, M; Townsend, AT; Holmes, TM; Rintoul, SR; Weldrick, CK; Strzepek, RF; Gault-Ringold, M; Schlitzer, R; Bowie, AR</t>
  </si>
  <si>
    <t>Latour, P.; van der Merwe, P.; Wuttig, K.; Corkill, M.; Townsend, A. T.; Holmes, T. M.; Rintoul, S. R.; Weldrick, C. K.; Strzepek, R. F.; Gault-Ringold, M.; Schlitzer, R.; Bowie, A. R.</t>
  </si>
  <si>
    <t>Biological Uptake, Water Mass Mixing and Scavenging Limit the Transport of Manganese-Rich Waters From the East Antarctic Shelf</t>
  </si>
  <si>
    <t>manganese; biogeochemistry; East Antarctica; export; Southern Ocean; GEOTRACES</t>
  </si>
  <si>
    <t>SOUTHERN-OCEAN PHYTOPLANKTON; TRACE-METALS; ROSS SEA; DISSOLVED MANGANESE; IRON LIMITATION; ICE; PARTICLES; RESPONSES; ALUMINUM; KINETICS</t>
  </si>
  <si>
    <t>Manganese (Mn) is an essential element involved in photosynthesis, yet its concentrations in Southern Ocean open waters are very low, arising from biological uptake and limited external inputs. At southern latitudes, waters overlying the Antarctic shelf are expected to have much higher Mn concentrations due to their proximity to external sources. In this study, we investigated the potential export of Mn-rich Antarctic shelf waters toward depleted open Southern Ocean waters. Our results showed that while high Mn concentrations were observed over the shelf, biological uptake decreased dissolved Mn concentrations in surface waters north of the South Antarctic Circumpolar Current Front (&lt;0.1 nmol kg(-1)), limiting its export. Conversely, mixing between Mn-rich Antarctic Bottom Waters and Mn-depleted Lower Circumpolar Deep Waters combined with oxidative and scavenging processes led to a decrease in dissolved Mn concentrations within bottom waters, with distance from the coast. Particulate Mn concentrations also showed a decreasing trend with distance from the coast. A comparison with other Antarctic coastal regions suggests this bottom water Mn removal may be widespread and that East Antarctica may be characterized by lower Mn concentrations compared to other regions. Still, subsurface dissolved Mn maxima (0.3-0.6 nmol kg(-1)) represented a potential reservoir for surface waters. We hypothesize that these high subsurface values result from external sources near the shelf. Overall, these results suggest that the moderate lateral export of trace metal-enriched waters contributes to the extremely low and potentially limiting Mn concentrations previously reported further north in this Southern Ocean region.</t>
  </si>
  <si>
    <t>[Latour, P.; van der Merwe, P.; Corkill, M.; Bowie, A. R.] Univ Tasmania, Inst Marine &amp; Antarctic Studies, Hobart, Tas, Australia; [Latour, P.; van der Merwe, P.; Wuttig, K.; Strzepek, R. F.; Gault-Ringold, M.; Bowie, A. R.] Univ Tasmania, Antarctic Climate &amp; Ecosyst Cooperat Res Ctr ACE C, Hobart, Tas, Australia; [Latour, P.] Univ Tasmania, ARC Australian Ctr Excellence Antarctic Sci ACEAS, Hobart, Tas, Australia; [Townsend, A. T.] Univ Tasmania, Cent Sci Lab CSL, Hobart, Tas, Australia; [Holmes, T. M.; Rintoul, S. R.; Weldrick, C. K.; Strzepek, R. F.; Bowie, A. R.] Univ Tasmania, Inst Marine &amp; Antarctic Studies, Australian Antarctic Program Partnership AAPP, Hobart, Tas, Australia; [Rintoul, S. R.] Commonwealth Sci &amp; Ind Res Org CSIRO Oceans &amp; Atmo, Hobart, Tas, Australia; [Rintoul, S. R.] Ctr Southern Hemisphere Oceans Res, Hobart, Tas, Australia; [Rintoul, S. R.] Alfred Wegener Inst Polar &amp; Marine Res, Bremerhaven, Germany</t>
  </si>
  <si>
    <t>University of Tasmania; University of Tasmania; University of Tasmania; University of Tasmania; University of Tasmania; Commonwealth Scientific &amp; Industrial Research Organisation (CSIRO); Helmholtz Association; Alfred Wegener Institute, Helmholtz Centre for Polar &amp; Marine Research</t>
  </si>
  <si>
    <t>Latour, P (corresponding author), Univ Tasmania, Inst Marine &amp; Antarctic Studies, Hobart, Tas, Australia.;Latour, P (corresponding author), Univ Tasmania, Antarctic Climate &amp; Ecosyst Cooperat Res Ctr ACE C, Hobart, Tas, Australia.;Latour, P (corresponding author), Univ Tasmania, ARC Australian Ctr Excellence Antarctic Sci ACEAS, Hobart, Tas, Australia.</t>
  </si>
  <si>
    <t>pauline.latour@utas.edu.au</t>
  </si>
  <si>
    <t>Strzepek, Robert Francis/GQH-8703-2022; van der Merwe, Pier/C-9210-2015; Weldrick, Christine/N-2617-2017; Townsend, Ashley/J-7445-2014; Holmes, Thomas/J-4950-2015; Wuttig, Kathrin/F-5793-2015</t>
  </si>
  <si>
    <t>Strzepek, Robert Francis/0000-0002-6442-7121; van der Merwe, Pier/0000-0002-7428-8030; Weldrick, Christine/0000-0003-1099-438X; Townsend, Ashley/0000-0002-2972-2678; Holmes, Thomas/0000-0001-8061-4325; Wuttig, Kathrin/0000-0003-4010-5918; Corkill, Matthew/0000-0002-5847-3738</t>
  </si>
  <si>
    <t>Australian Research Council; Antarctic Climate amp; Ecosystems Cooperative Research Centre (ACE CRC); Australian Marine National Facility; Antarctic Science Collaboration Initiative through the Australian Antarctic Program Partnership (AAPP) [FT130100037, LE0989539]; Centre for Southern Hemisphere Oceans Research; Qingdao National Laboratory for Marine Science and Technology; University of Tasmania [ASCI000002]; University of New South Wales; Australian Research Council Special Research Initiative, Australian Centre for Excellence in Antarctic Science (ACEAS); [SR200100008]</t>
  </si>
  <si>
    <t>Australian Research Council(Australian Research Council); Antarctic Climate amp; Ecosystems Cooperative Research Centre (ACE CRC)(Australian GovernmentDepartment of Industry, Innovation and ScienceCooperative Research Centres (CRC) Programme); Australian Marine National Facility; Antarctic Science Collaboration Initiative through the Australian Antarctic Program Partnership (AAPP); Centre for Southern Hemisphere Oceans Research(Commonwealth Scientific &amp; Industrial Research Organisation (CSIRO)); Qingdao National Laboratory for Marine Science and Technology; University of Tasmania; University of New South Wales; Australian Research Council Special Research Initiative, Australian Centre for Excellence in Antarctic Science (ACEAS)(Australian Research Council);</t>
  </si>
  <si>
    <t>We would like to acknowledge the reviewers of this manuscript for two detailed, thoughtful and thorough reviews that improved this manuscript. We acknowledge the use of the CSIRO Marine National Facility (https://ror.org/01mae9353) and grant of sea time on RV Investigator in undertaking this research. We would also like to acknowledge the officers and crew of the RV Investigator for the deployment of all the instruments during the GEOTRACES GS01 voyage (IN2018_V01), and the hydrochemistry team who performed the macronutrients and oxygen analyses onboard. We thank Morgane Perron for her help during the trace metal sampling processing along the voyage. PL would like to personally thank Floriaan Devloo-Delva for his help and support. This work was funded through the receipt of Australian Research Council Grants FT130100037 (to ARB), LE0989539 (to ATT and ARB for analysis), by the Antarctic Climate &amp; amp; Ecosystems Cooperative Research Centre (ACE CRC) and by the Australian Marine National Facility. This work was also partly supported by the Antarctic Science Collaboration Initiative through the Australian Antarctic Program Partnership (AAPP; ASCI000002) and by the Centre for Southern Hemisphere Oceans Research, a partnership between CSIRO, the Qingdao National Laboratory for Marine Science and Technology, the University of Tasmania and the University of New South Wales. PL was supported by the Australian Research Council Special Research Initiative, Australian Centre for Excellence in Antarctic Science (ACEAS; Project Number SR200100008). Open access publishing facilitated by University of Tasmania, as part of the Wiley -University of Tasmania agreement via the Council of Australian University Librarians.</t>
  </si>
  <si>
    <t>e2022GB007613</t>
  </si>
  <si>
    <t>10.1029/2022GB007613</t>
  </si>
  <si>
    <t>P3NH9</t>
  </si>
  <si>
    <t>WOS:001049738600001</t>
  </si>
  <si>
    <t>Morozov, EG; Frey, DI; Zuev, OA; Makarenko, NI; Seliverstova, AM; Mekhova, OS; Krechik, VA</t>
  </si>
  <si>
    <t>Morozov, E. G.; Frey, D. I.; Zuev, O. A.; Makarenko, N. I.; Seliverstova, A. M.; Mekhova, O. S.; Krechik, V. A.</t>
  </si>
  <si>
    <t>Antarctic Bottom Water in the Vema Fracture Zone</t>
  </si>
  <si>
    <t>Vema Fracture Zone; Antarctic Bottom Water; underwater spillway; Low velocity zone</t>
  </si>
  <si>
    <t>MID-ATLANTIC RIDGE; FLOW; SOUTHERN; CIRCULATION; HYDROGRAPHY; TRANSPORT; CHANNEL</t>
  </si>
  <si>
    <t>A section of 46 CTD/Lowered Acoustic Doppler Current Profiler stations along the Vema Fracture Zone (VFZ) was made for the first time with a repeat of the transverse section on the main sill (at 41 degrees W) for the sixth time. Potential temperature of Antarctic Bottom Water when it flows into the fracture increases from 1.3 degrees C to 1.6 degrees C. This temperature increase is much smaller than in the Romanche Fracture Zone because in the VFZ there are not many transverse sills that force the flow to become turbulent. A zone with minimal velocities of the bottom flows exists in the western part of the VFZ up to the main sill. A current with velocities of 0.25 m/s flows above the low velocity zone at a depth of about 4,000 m. Underwater spillways with hydraulically controlled flow of bottom water down the slope from 4,500 m to 5,000 m at speeds up to 0.40 m/s were found east of the sill (in the central and southern channels). The bottom current accelerates as it flows down, but then its kinetic energy decreases. The bottom current slows down and mixes with surrounding waters. A thin (similar to 30 m) bottom flow descends further to the deep depression. In the southern channel of the VFZ, bottom water flows into a deep (5,400 m) basin. The coldest and densest water reaches this depression during rare inflows. Plain Language Summary Antarctic Bottom Water formed on Antarctic slopes slowly flows northward. The flow passes many deep basins and abyssal channels between them until it reaches the Vema Fracture Zone (VFZ). The VFZ is the main conduit in the Mid-Atlantic Ridge for the bottom water flow to the Northeast Atlantic; this flow fills the abyssal basins of the Northeast Atlantic. Unlike the Romanche and Chain fracture zones near the equator, Antarctic Bottom Water only slightly warms here while flowing through the fracture because there are not many transverse sills that can prevent the bottom flow and induce mixing with North Atlantic Deep Water occupying the overlying water. The fastest current flows over a low velocity zone with low friction. After overflowing the main sill, the water descends from 4,500 m to 5,000 m as a spillway, in which the flow partly mixes with the surrounding waters.</t>
  </si>
  <si>
    <t>[Morozov, E. G.; Frey, D. I.; Zuev, O. A.; Seliverstova, A. M.; Mekhova, O. S.; Krechik, V. A.] Russian Acad Sci, Shirshov Inst Oceanol, Moscow, Russia; [Morozov, E. G.; Frey, D. I.] Moscow Inst Phys &amp; Technol, Dolgoprudnyi, Russia; [Frey, D. I.] Russian Acad Sci, Marine Hydrophys Inst, Sevastopol, Russia; [Makarenko, N. I.] Russian Acad Sci, Lavrentiev Inst Hydrodynam, Siberian Branch, Novosibirsk, Russia; [Mekhova, O. S.] St Petersburg State Univ, St Petersburg, Russia</t>
  </si>
  <si>
    <t>Russian Academy of Sciences; Shirshov Institute of Oceanology; Moscow Institute of Physics &amp; Technology; Russian Academy of Sciences; Marine Hydrophysical Institute of RAS; Lavrentyev Institute of Hydrodynamics; Russian Academy of Sciences; Saint Petersburg State University</t>
  </si>
  <si>
    <t>Morozov, EG (corresponding author), Russian Acad Sci, Shirshov Inst Oceanol, Moscow, Russia.;Morozov, EG (corresponding author), Moscow Inst Phys &amp; Technol, Dolgoprudnyi, Russia.</t>
  </si>
  <si>
    <t>Zuev, Oleg/0000-0001-6856-4783; Seliverstova, Anna/0009-0006-1489-8933; Morozov, Eugene/0000-0002-0251-3454; Frey, Dmitry/0000-0001-8141-9513</t>
  </si>
  <si>
    <t>Russian Science Foundation [21-77-20004, 21-71-20039]</t>
  </si>
  <si>
    <t>The authors thank the crew of the R/V Akademik Boris Petrov for the assistance in field works. This study was supported by the Russian Science Foundation, Grant 21-77-20004 (data analysis and interpretation) and 21-71-20039 (field works and comparison with models).</t>
  </si>
  <si>
    <t>e2023JC019967</t>
  </si>
  <si>
    <t>10.1029/2023JC019967</t>
  </si>
  <si>
    <t>P0LF3</t>
  </si>
  <si>
    <t>WOS:001047634600001</t>
  </si>
  <si>
    <t>Mousavi, SE; Razmi, K; Patil, JG</t>
  </si>
  <si>
    <t>Mousavi, Seyed Ehsan; Razmi, Komeil; Patil, Jawahar G.</t>
  </si>
  <si>
    <t>Sex steroids have opposing effects on heart rate of juveniles, Gambusia holbrooki</t>
  </si>
  <si>
    <t>JOURNAL OF MOLECULAR ENDOCRINOLOGY</t>
  </si>
  <si>
    <t>sex steroid; heart rate; G-protein coupled receptor; nuclear estrogen receptors; liver; reaction oxygen species; sex differences</t>
  </si>
  <si>
    <t>ESTROGEN-RECEPTOR GPER; CARDIAC REPOLARIZATION; TESTOSTERONE THERAPY; GENOMIC ACTIONS; 17-BETA-ESTRADIOL; ACTIVATION; EXPRESSION; HORMONE; FEMALE; HEALTH</t>
  </si>
  <si>
    <t>Built on our recent work that heart rates (HRs) and function in Gambusia holbrooki are sexually dimorphic, this study assessed whether the species is an appropriate model to study sex-hormone effects on heart physiology. With a hypothesis that 17 beta-estradiol (E-2) and 17 alpha-methyltestosterone (MT) regulate the HR of juvenile G. holbrooki in a sex-specific manner, genetic males and females were treated with E-2 and MT, respectively, and the HR; (bpm) was measured an hour following treatment using light-cardiogram. Results showed the HRs (bpm) of both sexes were significantly (P &lt; 0.05) altered compared to controls. Specifically, the E-2 accelerated HR in the males and conversely MT decelerated the HR in the females. The normal expression levels of estrogen (era and er beta) and G protein-coupled estrogen (gper) receptor genes were significantly higher (P &lt; 0.05) in female than male hearts. Interestingly, the activity of the er beta in the heart of the MT-treated females reversed and was significantly lower (P &lt; 0.05) than those of males while er alpha and gper were non-responsive. In contrast, significant down- and up-regulation of er alpha and gper, respectively, occurred in the liver of MT-treated females. Morphological observations suggest that MT caused hepatomegaly, somewhat resembling an inflating balloon, perhaps induced by the accumulation of unexpelled gases. E-2-induced ventricular angiogenesis in males was likely due to an influx of blood supply caused by the increased HRs. Collectively, the results demonstrate that the juvenile G. holbrooki heart readily responds to E-2/MT in a sex-specific manner.</t>
  </si>
  <si>
    <t>[Mousavi, Seyed Ehsan; Razmi, Komeil; Patil, Jawahar G.] Univ Tasmania, Inst Marine &amp; Antarctic Studies, Lab Mol Biol, Taroona, Tasmania, Australia; [Mousavi, Seyed Ehsan] Univ Tasmania, Tasmanian Sch Med, Hobart, Tasmania, Australia</t>
  </si>
  <si>
    <t>Mousavi, SE (corresponding author), Univ Tasmania, Inst Marine &amp; Antarctic Studies, Lab Mol Biol, Taroona, Tasmania, Australia.;Mousavi, SE (corresponding author), Univ Tasmania, Tasmanian Sch Med, Hobart, Tasmania, Australia.</t>
  </si>
  <si>
    <t>ehsan.mousavi@utas.edu.au</t>
  </si>
  <si>
    <t>Mousavi, Seyed Ehsan/AAG-3771-2021</t>
  </si>
  <si>
    <t>Mousavi, Seyed Ehsan/0000-0002-7099-6355; Razmi, Komeil/0000-0002-8002-9078; Patil, Jawahar G/0000-0002-2154-4627</t>
  </si>
  <si>
    <t>Australian Research Council [LP140100428]; Australian Research Council [LP140100428] Funding Source: Australian Research Council</t>
  </si>
  <si>
    <t>Australian Research Council(Australian Research Council); Australian Research Council(Australian Research Council)</t>
  </si>
  <si>
    <t>This work was supported by the Australian Research Council (LP140100428).</t>
  </si>
  <si>
    <t>BIOSCIENTIFICA LTD</t>
  </si>
  <si>
    <t>STARLING HOUSE, 1600 BRISTOL PARKWAY N, BRISTOL, ENGLAND</t>
  </si>
  <si>
    <t>0952-5041</t>
  </si>
  <si>
    <t>1479-6813</t>
  </si>
  <si>
    <t>J MOL ENDOCRINOL</t>
  </si>
  <si>
    <t>J. Mol. Endocrinol.</t>
  </si>
  <si>
    <t>AUG 1</t>
  </si>
  <si>
    <t>e230021</t>
  </si>
  <si>
    <t>10.1530/JME-23-0021</t>
  </si>
  <si>
    <t>Endocrinology &amp; Metabolism</t>
  </si>
  <si>
    <t>O2ES0</t>
  </si>
  <si>
    <t>WOS:001042008200005</t>
  </si>
  <si>
    <t>Volkov, DL; Negahdaripour, S</t>
  </si>
  <si>
    <t>Volkov, Denis L.; Negahdaripour, Shahriar</t>
  </si>
  <si>
    <t>Implementation of the Optical Flow to Estimate the Propagation of Eddies in the South Atlantic Ocean</t>
  </si>
  <si>
    <t>mesoscale eddies; eddy propagation; Rossby waves; optical flow; computer vision; sea surface height; satellite altimetry; South Atlantic Ocean</t>
  </si>
  <si>
    <t>ROSSBY-WAVE PROPAGATION; ALTIMETER; CIRCULATION; TOPEX/POSEIDON; VARIABILITY; IDENTIFICATION; ALGORITHM</t>
  </si>
  <si>
    <t>The ocean is filled with mesoscale eddies that account for most of the oceanic kinetic energy. The importance of eddies in transporting properties and energy across the ocean basins has led to numerous efforts to track their motion. Here, we implement a computer vision technique-the optical flow-to map the pathways of mesoscale eddies in the South Atlantic Ocean. The optical flow is applied to the pairs of consecutive sea surface height maps produced from a nearly 30-year-long satellite altimetry record. In contrast to other methods to estimate the eddy propagation velocity, the optical flow can reveal the temporal evolution of eddy motion, which is particularly useful in the regions of strong currents. We present the time-dependent estimates of the speed and direction of eddy propagation in the Eulerian frame of reference. In an excellent agreement with earlier studies, the obtained pattern of eddy propagation reveals the interaction of eddies with the background flow and the bottom topography. We show that in the Antarctic Circumpolar Current, the variability of the eddy propagation velocity is correlated with the variability of the surface geostrophic velocity, demonstrating the robustness of the optical flow to detect the time-variable part of eddy motion.</t>
  </si>
  <si>
    <t>[Volkov, Denis L.] Univ Miami, Cooperat Inst Marine &amp; Atmospher Studies, Miami, FL 33149 USA; [Volkov, Denis L.] NOAA, Atlantic Oceanog &amp; Meteorol Lab, Miami, FL 33149 USA; [Negahdaripour, Shahriar] Univ Miami, Coll Engn, Coral Gables, FL 33146 USA</t>
  </si>
  <si>
    <t>University of Miami; National Oceanic Atmospheric Admin (NOAA) - USA; Atlantic Oceanographic &amp; Meteorological Laboratory (AOML); University of Miami</t>
  </si>
  <si>
    <t>10.3390/rs15153894</t>
  </si>
  <si>
    <t>O7KI8</t>
  </si>
  <si>
    <t>WOS:001045551500001</t>
  </si>
  <si>
    <t>Zhang, BW; Pethybridge, H; Virtue, P; Nichols, PD; Swadling, K; Williams, A; Lee-Chang, K</t>
  </si>
  <si>
    <t>Zhang, Bowen; Pethybridge, Heidi; Virtue, Patti; Nichols, Peter D.; Swadling, Kerrie; Williams, Alan; Lee-Chang, Kim</t>
  </si>
  <si>
    <t>Evaluating Alternative and Sustainable Food Resources: A Review of the Nutritional Composition of Myctophid Fishes</t>
  </si>
  <si>
    <t>SUSTAINABILITY</t>
  </si>
  <si>
    <t>protein; omega-3 oils; contaminants; mesopelagic; lipids; fishery</t>
  </si>
  <si>
    <t>LANTERNFISH BENTHOSEMA-GLACIALE; TRANS-FATTY-ACIDS; PROXIMATE COMPOSITION; MIDWATER FISHES; AMINO-ACIDS; VITAMIN-A; ENHANCED BIOACCUMULATION; OTOLITH MICROSTRUCTURE; MERCURY CONCENTRATIONS; VERTICAL-DISTRIBUTION</t>
  </si>
  <si>
    <t>Additional and alternative sustainable food resources are needed as the global human population increases. Marine fishes have long provided essential nutrients, such as omega-3 long-chain (&amp; GE;C20) polyunsaturated fatty acids (n-3 LC-PUFA), protein, and vitamins to meet human dietary requirements and feed for agricultural production. Many current commercial fish stocks are depleted or fully exploited, but oceanic mesopelagic fishes, particularly the myctophids (lanternfishes), represent a potentially very large and unfished resource. This review analysed the literature on nutritional and biochemical compositions of myctophids as a first step towards understanding the health benefits and risks of consuming them. We found that myctophids have high levels of protein (11-23% wet weight, WW) and variable lipid content (0.5-26% WW). In most species, desirable triacylglycerols or phospholipids dominated over less-desirable wax esters, and most have abundant amounts of health-promoting n-3 LC-PUFA, such as DHA and EPA. Myctophids have low levels of heavy metals and persistent organic pollutants. Most nutritional information is available for species from the Pacific and Southern Oceans and for the genera Benthosema, Electrona, and Diaphus. Myctophids generally possess favourable nutritional profiles, but major gaps in knowledge regarding their stock assessment, ecology and the economic viability for their harvest are barriers to developing sustainable fisheries.</t>
  </si>
  <si>
    <t>[Zhang, Bowen; Virtue, Patti; Nichols, Peter D.; Swadling, Kerrie] Univ Tasmania, Inst Marine &amp; Antarctic Studies, Battery Point, Tas 7004, Australia; [Zhang, Bowen; Pethybridge, Heidi; Virtue, Patti; Nichols, Peter D.; Williams, Alan; Lee-Chang, Kim] CSIRO Environm, Battery Point, Tas 7004, Australia</t>
  </si>
  <si>
    <t>Zhang, BW (corresponding author), Univ Tasmania, Inst Marine &amp; Antarctic Studies, Battery Point, Tas 7004, Australia.;Zhang, BW (corresponding author), CSIRO Environm, Battery Point, Tas 7004, Australia.</t>
  </si>
  <si>
    <t>b.zhang@utas.edu.au; heidi.pethybridge@csiro.au; patti.virtue@utas.edu.au; peter.nichols@csiro.au; kerrie.swadling@utas.edu.au; alan.williams@csiro.au; kim.leechang@csiro.au</t>
  </si>
  <si>
    <t>Zhang, Bowen/0000-0003-0813-7127; Pethybridge, Heidi/0000-0002-7291-5766</t>
  </si>
  <si>
    <t>China Scholarship Council (CSC) from the Ministry of Education of the People's Republic of China</t>
  </si>
  <si>
    <t>China Scholarship Council (CSC) from the Ministry of Education of the People's Republic of China(China Scholarship Council)</t>
  </si>
  <si>
    <t>B. Zhang acknowledges a PhD scholarship provided by a China Scholarship Council (CSC) Grant from the Ministry of Education of the People's Republic of China and a University of Tasmania tuition fee scholarship. We are thankful for contributions from the Commonwealth Scientific and Industrial Research Organisation (CSIRO) ResearchPlus Postgraduate Top-Up Scholar-ship Grants, CSIRO Future Protein Mission and the Holsworth Wildlife Research Endowment. We also acknowledge the late Nansy Phleger for her original watercolour myctophid painting gifted to P.D.N. Four anonymous reviewers and the handling editor Theodora Felegean are thanked for their comments which assisted in improving the manuscript.</t>
  </si>
  <si>
    <t>2071-1050</t>
  </si>
  <si>
    <t>SUSTAINABILITY-BASEL</t>
  </si>
  <si>
    <t>Sustainability</t>
  </si>
  <si>
    <t>10.3390/su151512039</t>
  </si>
  <si>
    <t>Green &amp; Sustainable Science &amp; Technology; Environmental Sciences; Environmental Studies</t>
  </si>
  <si>
    <t>Science &amp; Technology - Other Topics; Environmental Sciences &amp; Ecology</t>
  </si>
  <si>
    <t>O8RZ9</t>
  </si>
  <si>
    <t>WOS:001046447000001</t>
  </si>
  <si>
    <t>Ciaramelli, C; Palmioli, A; Brioschi, M; Viglio, S; D'Amato, M; Iadarola, P; Tosi, S; Zucconi, L; Airoldi, C</t>
  </si>
  <si>
    <t>Ciaramelli, Carlotta; Palmioli, Alessandro; Brioschi, Maura; Viglio, Simona; D'Amato, Maura; Iadarola, Paolo; Tosi, Solveig; Zucconi, Laura; Airoldi, Cristina</t>
  </si>
  <si>
    <t>Antarctic Soil Metabolomics: A Pilot Study</t>
  </si>
  <si>
    <t>Antarctica; NMR spectroscopy; mass spectrometry; metabolites</t>
  </si>
  <si>
    <t>ORGANIC-MATTER; NMR</t>
  </si>
  <si>
    <t>In Antarctica, ice-free areas can be found along the coast, on mountain peaks, and in the McMurdo Dry Valleys, where microorganisms well-adapted to harsh conditions can survive and reproduce. Metabolic analyses can shed light on the survival mechanisms of Antarctic soil communities from both coastal sites, under different plant coverage stages, and inner sites where slow-growing or dormant microorganisms, low water availability, salt accumulation, and a limited number of primary producers make metabolomic profiling difficult. Here, we report, for the first time, an efficient protocol for the extraction and the metabolic profiling of Antarctic soils based on the combination of NMR spectroscopy and mass spectrometry (MS). This approach was set up on samples harvested along different localities of Victoria Land, in continental Antarctica, devoid of or covered by differently developed biological crusts. NMR allowed for the identification of thirty metabolites (mainly sugars, amino acids, and organic acids) and the quantification of just over twenty of them. UPLC-MS analysis identified more than twenty other metabolites, in particular flavonoids, medium- and long-chain fatty acids, benzoic acid derivatives, anthracenes, and quinones. Our results highlighted the complementarity of the two analytical techniques. Moreover, we demonstrated that their combined use represents the gold standard for the qualitative and quantitative analysis of little-explored samples, such as those collected from Antarctic soils.</t>
  </si>
  <si>
    <t>[Ciaramelli, Carlotta; Palmioli, Alessandro; Brioschi, Maura; Airoldi, Cristina] Univ Milano Bicocca, Dept Biotechnol &amp; Biosci, Pzza Sci 2, I-20126 Milan, Italy; [Viglio, Simona; D'Amato, Maura] Univ Pavia, Dept Mol Med, Biochem Unit, Via Forlanini 6, I-27100 Pavia, Italy; [Iadarola, Paolo] Univ Pavia, Dept Biol &amp; Biotechnol L Spallanzani, Via Adolfo Ferrata 9, I-27100 Pavia, Italy; [Tosi, Solveig] Univ Pavia, Dept Earth &amp; Environm Sci, Via S Epifanio 14, I-27100 Pavia, Italy; [Zucconi, Laura] Univ Tuscia, Dept Ecol &amp; Biol Sci, I-01100 Viterbo, Italy</t>
  </si>
  <si>
    <t>University of Milano-Bicocca; University of Pavia; University of Pavia; University of Pavia; Tuscia University</t>
  </si>
  <si>
    <t>Airoldi, C (corresponding author), Univ Milano Bicocca, Dept Biotechnol &amp; Biosci, Pzza Sci 2, I-20126 Milan, Italy.</t>
  </si>
  <si>
    <t>carlotta.ciaramelli@unimib.it; alessandro.palmioli@unimib.it; maura.brioschi@unimib.it; simona.viglio@unipv.it; maura.damato01@universitadipavia.it; paolo.iadarola@unipv.it; solveig.tosi@unipv.it; zucconi@unitus.it; cristina.airoldi@unimib.it</t>
  </si>
  <si>
    <t>Palmioli, Alessandro/A-8695-2013; Airoldi, Cristina/A-6521-2010; Zucconi, L./U-9781-2018; Brioschi, Maura/G-5687-2018</t>
  </si>
  <si>
    <t>Palmioli, Alessandro/0000-0002-5287-1663; Airoldi, Cristina/0000-0002-3670-6262; Zucconi, L./0000-0001-9793-2303; Brioschi, Maura/0000-0003-4706-4418; tosi, solveig/0000-0002-6769-6984; Viglio, Simona/0000-0001-5020-478X</t>
  </si>
  <si>
    <t>10.3390/ijms241512340</t>
  </si>
  <si>
    <t>O7LH0</t>
  </si>
  <si>
    <t>WOS:001045575700001</t>
  </si>
  <si>
    <t>Case, P; Colarco, PR; Toon, B; Aquila, V; Keller, CA</t>
  </si>
  <si>
    <t>Case, Parker; Colarco, Peter R.; Toon, Brian; Aquila, Valentina; Keller, Christoph A.</t>
  </si>
  <si>
    <t>Interactive Stratospheric Aerosol Microphysics-Chemistry Simulations of the 1991 Pinatubo Volcanic Aerosols With Newly Coupled Sectional Aerosol and Stratosphere-Troposphere Chemistry Modules in the NASA GEOS Chemistry-Climate Model (CCM)</t>
  </si>
  <si>
    <t>JOURNAL OF ADVANCES IN MODELING EARTH SYSTEMS</t>
  </si>
  <si>
    <t>volcano; aerosol; earth system model; aerosol microphysics; Pinatubo</t>
  </si>
  <si>
    <t>ANTARCTIC OZONE; MT. PINATUBO; EL-CHICHON; SIZE DISTRIBUTION; TROPICAL OZONE; ERUPTION; SO2; EVOLUTION; IMPACT; SULFUR</t>
  </si>
  <si>
    <t>We have coupled the GEOS-Chem tropospheric-stratospheric chemistry mechanism and the Community Aerosol and Radiation Model for Atmospheres (CARMA), a sectional aerosol microphysics module, within the NASA Goddard Earth Observing System Chemistry-Climate Model (GEOS CCM) in order to simulate the interactions between stratospheric chemistry and aerosol microphysics. We use observations of the 1991 Mount Pinatubo volcanic cloud to evaluate this new version of the GEOS CCM. The GEOS-Chem chemistry module is used to simulate the oxidation of sulfur dioxide (SO2) more realistically than assuming hydroxyl radical (OH) fields are constant, as OH concentrations in the plume decrease dramatically in the weeks following the eruption. CARMA simulates sulfate aerosols with dynamic microphysical and optical properties. The CARMA-calculated aerosol surface area is coupled to the chemistry module from GEOS-Chem for the calculation of heterogeneous chemistry. We use a set of observational and theoretical constraints for Pinatubo to evaluate the performance of this new version of the GEOS CCM. These simulations are specifically compared with satellite and in-situ observations and provide insights into the connections between the gas-phase chemistry and the aerosol microphysics of the early plume and how they impact the climatic and chemical changes following a large volcanic eruption. A second, smaller eruption is also included in these simulations, the 15 August 1991, eruption of Cerro Hudson in Chile, which we find essential in explaining the aerosol optical depth in the Southern Hemisphere in 1991.</t>
  </si>
  <si>
    <t>[Case, Parker; Toon, Brian] Univ Colorado Boulder, Dept Atmospher &amp; Ocean Sci, Boulder, CO 80309 USA; [Case, Parker; Colarco, Peter R.] NASA Goddard Space Flight Ctr, Atmospher Chem &amp; Dynam Lab, Greenbelt, MD 20771 USA; [Case, Parker] Oak Ridge Associated Univ, Oak Ridge, TN 37830 USA; [Toon, Brian] Univ Colorado, Lab Atmospher &amp; Space Phys, Boulder, CO USA; [Aquila, Valentina] Amer Univ, Dept Environm Sci, Washington, DC USA; [Keller, Christoph A.] Univ Space Res Assoc, Columbia, MD USA; [Keller, Christoph A.] NASA Goddard Space Flight Ctr, Global Modeling &amp; Assimilat Off, Greenbelt, MD USA; [Keller, Christoph A.] Now Morgan State Univ, Baltimore, MD USA</t>
  </si>
  <si>
    <t>University of Colorado System; University of Colorado Boulder; National Aeronautics &amp; Space Administration (NASA); NASA Goddard Space Flight Center; United States Department of Energy (DOE); Oak Ridge National Laboratory; University of Colorado System; University of Colorado Boulder; American University; Universities Space Research Association (USRA); National Aeronautics &amp; Space Administration (NASA); NASA Goddard Space Flight Center</t>
  </si>
  <si>
    <t>Case, P (corresponding author), Univ Colorado Boulder, Dept Atmospher &amp; Ocean Sci, Boulder, CO 80309 USA.;Case, P (corresponding author), NASA Goddard Space Flight Ctr, Atmospher Chem &amp; Dynam Lab, Greenbelt, MD 20771 USA.;Case, P (corresponding author), Oak Ridge Associated Univ, Oak Ridge, TN 37830 USA.</t>
  </si>
  <si>
    <t>parker.case@colorado.edu</t>
  </si>
  <si>
    <t>Colarco, Peter R/D-8637-2012</t>
  </si>
  <si>
    <t>Colarco, Peter R/0000-0003-3525-1662; Case, Parker/0000-0002-7946-4312; TOON, OWEN/0000-0002-1394-3062</t>
  </si>
  <si>
    <t>NASA FINESST; NASA; NASA High-End Computing (HEC) Program through the NASA Center for Climate Simulation (NCCS) at Goddard Space Flight Center; NASA FINESST proposal; Prediction (MAP) program Chemistry-Climate Modeling (CCM) work package; NASA High-End Computing (HEC) Program through the NASA Center for Climate Simulation (NCCS) at Goddard Space Flight Center</t>
  </si>
  <si>
    <t>NASA FINESST; NASA(National Aeronautics &amp; Space Administration (NASA)); NASA High-End Computing (HEC) Program through the NASA Center for Climate Simulation (NCCS) at Goddard Space Flight Center; NASA FINESST proposal; Prediction (MAP) program Chemistry-Climate Modeling (CCM) work package; NASA High-End Computing (HEC) Program through the NASA Center for Climate Simulation (NCCS) at Goddard Space Flight Center</t>
  </si>
  <si>
    <t>This work was supported by a NASA FINESST proposal (PI: Brian Toon) entitled Using GEOS-5/CARMA to improve interpretations of NASA satellite observations of stratospheric aerosols and the NASA Modeling, Analysis, and Prediction (MAP) program Chemistry-Climate Modeling (CCM) work package (PM: David Considine). Resources supporting this work were provided by the NASA High-End Computing (HEC) Program through the NASA Center for Climate Simulation (NCCS) at Goddard Space Flight Center.</t>
  </si>
  <si>
    <t>1942-2466</t>
  </si>
  <si>
    <t>J ADV MODEL EARTH SY</t>
  </si>
  <si>
    <t>J. Adv. Model. Earth Syst.</t>
  </si>
  <si>
    <t>e2022MS003147</t>
  </si>
  <si>
    <t>10.1029/2022MS003147</t>
  </si>
  <si>
    <t>O4MA8</t>
  </si>
  <si>
    <t>WOS:001043560700001</t>
  </si>
  <si>
    <t>Niu, YL; Xie, F; Wu, SH</t>
  </si>
  <si>
    <t>Niu, Yingli; Xie, Fei; Wu, Shaohua</t>
  </si>
  <si>
    <t>ENSO Modoki Impacts on the Interannual Variations of Spring Antarctic Stratospheric Ozone</t>
  </si>
  <si>
    <t>ENSO; Climate models; Ozone</t>
  </si>
  <si>
    <t>QUASI-BIENNIAL OSCILLATION; NINO-SOUTHERN-OSCILLATION; EL-NINO; HEMISPHERE STRATOSPHERE; TEMPERATURE TRENDS; PLANETARY-WAVES; POLAR VORTEX; WINTER; CHEMISTRY; PACIFIC</t>
  </si>
  <si>
    <t>Using observation and reanalysis data, we investigated the effect of the sea surface temperature anomalies associated with ENSO Modoki from September to October on interannual variations in Antarctic stratospheric ozone from October to November. It was found that the planetary wave anomalies generated by ENSO Modoki in the tropical troposphere propagate to the southern mid-and then high-latitude stratosphere. The planetary wave anomalies have a pro-found impact on the polar vortex, subsequently affecting the interannual variations in Antarctic stratospheric ozone. Fur-ther analysis revealed that the responses of the polar vortex and ozone to ENSO Modoki are mainly modulated by the wave-1 and wave-3 components, and the effect of wave 2 is opposite and offset by those of wave 1 and wave 3. The contri-bution of the residual waves (after removing waves 1, 2, 3, and the remaining waves) are relatively small. Furthermore, we evaluated the performance of CMIP6 models in simulating the impacts of ENSO Modoki on the southern stratospheric po-lar vortex and ozone. We selected seven models that include stratospheric processes and stratospheric chemical ozone. We found that all are capable of distinguishing between eastern Pacific ENSO and ENSO Modoki events. However, only GISS-E2-1-G and MPI-ESM-1-2-HAM can simulate the patterns of ozone, circulation, and temperature in the Southern Hemisphere in a manner that closely resembles the reanalysis results. Further analysis indicated that these two models can better simulate the propagation of planetary wave activities in the troposphere forced by ENSO Modoki, whereas the other models produce significantly different results to those obtained from observations.SIGNIFICANCE STATEMENT: This study found a significant connection between ENSO Modoki and the interannual variability of Antarctic stratospheric ozone in austral spring and investigated the underlying physical mechanisms in detail. In addition, the performances of CMIP6 models in simulating the impact of ENSO Modoki on the southern stratospheric polar vortex and ozone were evaluated. This study not only helps to further understand the characteristics of past Antarctic ozone changes but also helps developers improve the performance of models in simulating Antarctic stratospheric changes.</t>
  </si>
  <si>
    <t>[Niu, Yingli; Xie, Fei; Wu, Shaohua] Beijing Normal Univ, Fac Geog Sci, Sch Syst Sci, Beijing, Peoples R China</t>
  </si>
  <si>
    <t>Beijing Normal University</t>
  </si>
  <si>
    <t>Xie, F (corresponding author), Beijing Normal Univ, Fac Geog Sci, Sch Syst Sci, Beijing, Peoples R China.</t>
  </si>
  <si>
    <t>xiefei@bnu.edu.cn</t>
  </si>
  <si>
    <t>Xie, Fei/I-9766-2016</t>
  </si>
  <si>
    <t>Xie, Fei/0000-0003-2891-3883</t>
  </si>
  <si>
    <t>National Science Foundation of China [42122037, 41975047]; World Climate Research Programme (WCRP)</t>
  </si>
  <si>
    <t>National Science Foundation of China(National Natural Science Foundation of China (NSFC)); World Climate Research Programme (WCRP)</t>
  </si>
  <si>
    <t>Funding for this work was provided by the National Science Foundation of China (42122037, 41975047) . We acknowledge the datasets from the SWOOSH, Hadley Centre, and ERA5. We thank CMIP6 data from the World Climate Research Programme (WCRP) .</t>
  </si>
  <si>
    <t>10.1175/JCLI-D-22-0826.1</t>
  </si>
  <si>
    <t>O2XO3</t>
  </si>
  <si>
    <t>WOS:001042502500001</t>
  </si>
  <si>
    <t>Huang, L; Zhuang, W; Wu, ZL; Zhang, Y; Meng, LS; Edwing, D; Yan, XH</t>
  </si>
  <si>
    <t>Huang, Lei; Zhuang, Wei; Wu, Zelun; Zhang, Yang; Meng, Lingsheng; Edwing, Deanna; Yan, Xiao-Hai</t>
  </si>
  <si>
    <t>Quasi-Decadal Temperature Variability in the Intermediate Layer of Subtropical South Indian Ocean During the Argo Period</t>
  </si>
  <si>
    <t>intermediate layer temperature; quasi-decadal variability; South Indian Ocean; climate modes; water mass</t>
  </si>
  <si>
    <t>ANTARCTIC MODE WATER; SEA-LEVEL; HEAT-CONTENT; PACIFIC; CIRCULATION; VENTILATION; TRENDS; MASSES</t>
  </si>
  <si>
    <t>It has been reported that the subtropical South Indian Ocean (SIO) has been rapidly warming over the past two decades and can therefore be characterized as one of the major heat accumulators among the oceanic basins. However, this strong warming is not uniformly distributed in the vertical direction. In comparison to the decade-long warming in the upper layer (0-300 m) in 2004-2013, the intermediate layer (300-1,000 m) displays a shorter warming during 2004-2009 and an intense cooling during 2010-2016. By decomposing temperature variations into heaving and spice components, and performing a heat budget analysis, we show that temperature variations in the intermediate layer during these two periods are primarily contributed by isopycnal migrations driven by local wind forcing. Local wind change in the subtropical SIO can be explained by the Indian Ocean Dipole and El Nino-Southern Oscillation during 2004-2016, while Southern Annular Mode (SAM) favors anomalous wind change in mid-latitudes and the formation of basin-wide wind change in the SIO. Additionally, wind forcing in the Subantarctic Mode Water (SAMW) formation region, which is closely linked to the SAM, modulates the anomalous spreading of SAMW into the interior of the subtropical SIO. This, therefore, leads to the SAMW intrusion being of secondary importance to the quasi-decadal temperature variability. Our findings demonstrate the independence of wind-driven temperature changes on the quasi-decadal scale in the intermediate layer of the subtropical SIO under the overall warming background of SIO waters.</t>
  </si>
  <si>
    <t>[Huang, Lei; Zhuang, Wei; Wu, Zelun; Meng, Lingsheng] Xiamen Univ, Coll Ocean &amp; Earth Sci, State Key Lab Marine Environm Sci, Xiamen, Peoples R China; [Huang, Lei; Zhuang, Wei] Southern Marine Sci &amp; Engn Guangdong Lab Zhuhai, Zhuhai, Peoples R China; [Huang, Lei; Wu, Zelun; Meng, Lingsheng; Edwing, Deanna; Yan, Xiao-Hai] Xiamen Univ, Univ Delaware, Joint Ctr Ocean Remote Sensing, Newark, DE USA; [Huang, Lei; Wu, Zelun; Meng, Lingsheng; Edwing, Deanna; Yan, Xiao-Hai] Univ Delaware, Coll Earth Ocean &amp; Environm, Newark, DE USA</t>
  </si>
  <si>
    <t>Xiamen University; Southern Marine Science &amp; Engineering Guangdong Laboratory; Southern Marine Science &amp; Engineering Guangdong Laboratory (Zhuhai); University of Delaware; University of Delaware</t>
  </si>
  <si>
    <t>Zhuang, W (corresponding author), Xiamen Univ, Coll Ocean &amp; Earth Sci, State Key Lab Marine Environm Sci, Xiamen, Peoples R China.;Zhuang, W (corresponding author), Southern Marine Sci &amp; Engn Guangdong Lab Zhuhai, Zhuhai, Peoples R China.</t>
  </si>
  <si>
    <t>wzhuang@xmu.edu.cn</t>
  </si>
  <si>
    <t>meng, lingsheng/GMX-4126-2022</t>
  </si>
  <si>
    <t>meng, lingsheng/0000-0002-5395-1374; Wu, Zelun/0000-0002-9480-2738; Zhuang, Wei/0000-0002-6715-4560; Zhang, Yang/0000-0001-7718-1303</t>
  </si>
  <si>
    <t>National Key Ramp;D Program of China [2019YFA0606702]; National Natural Science Foundation of China [41776003, 91858202]; Natural Science Foundation of Fujian Province of China [2023J01021]; China Scholarship Council; NSF [IIS-2123264]; NASA [80NSSC20M0220]</t>
  </si>
  <si>
    <t>National Key Ramp;D Program of China; National Natural Science Foundation of China(National Natural Science Foundation of China (NSFC)); Natural Science Foundation of Fujian Province of China(Natural Science Foundation of Fujian Province); China Scholarship Council(China Scholarship Council); NSF(National Science Foundation (NSF)); NASA(National Aeronautics &amp; Space Administration (NASA))</t>
  </si>
  <si>
    <t>We are grateful to the two anonymous reviewers whose constructive comments/suggestions helped improve the manuscript. This work also benefits from discussions with Dr. Feili Li from Xiamen University. This study is funded by the National Key R &amp; amp;D Program of China (2019YFA0606702), the National Natural Science Foundation of China (41776003, 91858202), the Natural Science Foundation of Fujian Province of China (2023J01021), and the China Scholarship Council (L.H.). D.E. and X.-H.Y. have also been supported by NSF (IIS-2123264) and NASA (80NSSC20M0220).</t>
  </si>
  <si>
    <t>e2023JC019775</t>
  </si>
  <si>
    <t>10.1029/2023JC019775</t>
  </si>
  <si>
    <t>O0YL7</t>
  </si>
  <si>
    <t>WOS:001041163500001</t>
  </si>
  <si>
    <t>Panovska, S; Poluianov, S; Gao, JW; Korte, M; Mishev, A; Shprits, YY; Usoskin, I</t>
  </si>
  <si>
    <t>Panovska, Sanja; Poluianov, Stepan; Gao, Jiawei; Korte, Monika; Mishev, Alexander; Shprits, Yuri Y.; Usoskin, Ilya</t>
  </si>
  <si>
    <t>Effects of Global Geomagnetic Field Variations Over the Past 100,000 Years on Cosmogenic Radionuclide Production Rates in the Earth's Atmosphere</t>
  </si>
  <si>
    <t>cosmogenic isotopes; production rates; geomagnetic field; geomagnetic excursions; Laschamps event</t>
  </si>
  <si>
    <t>COSMIC-RAY; NUCLIDE PRODUCTION; CUTOFF RIGIDITIES; SOLAR MODULATION; ICE-CORE; BE-10; MODEL; MINIMUM; C-14; TIMESCALES</t>
  </si>
  <si>
    <t>The production rates of cosmogenic radionuclides, such as Be-10, C-14, and Cl-36, in the Earth's atmosphere vary with the geomagnetic field and solar activity. For the first time, the production rates of several cosmogenic nuclides are estimated for the past 100 ka based on global, time-dependent geomagnetic field models and a moderate solar-activity level. In particular, the production rates were high with no notable latitudinal dependence during the Laschamps geomagnetic excursion (41 ka BP). The mean global production of Be-10 over the Laschamps excursion was more than two times greater than the present-day one, whereas the increase was 1.9 times for the Norwegian-Greenland Sea excursion (similar to 65 ka), and only 1.3 times for the Mono Lake/Auckland excursion (similar to 34 ka). All analyzed geomagnetic field models covering the past 100 ka, including the modern and Holocene epochs, lead to hemispheric asymmetry in the production rates, persistent overall time ranges, and reflected in the time-averaged nuclide production rates. Production rates predicted by the geomagnetic field models are in good agreement with actual measurements from ice cores and sediment records. These global, long-term production rates are important for a wide range of studies that employ cosmogenic nuclides as a proxy/tracer of different Earth system processes.</t>
  </si>
  <si>
    <t>[Panovska, Sanja; Gao, Jiawei; Korte, Monika] Helmholtz Ctr Potsdam, GFZ German Res Ctr Geosci, Sect 2 3, Potsdam, Germany; [Poluianov, Stepan; Mishev, Alexander; Usoskin, Ilya] Univ Oulu, Sodankyla Geophys Observ, Oulu, Finland; [Poluianov, Stepan; Mishev, Alexander; Usoskin, Ilya] Univ Oulu, Space Phys &amp; Astron Res Unit, Oulu, Finland; [Gao, Jiawei] Chinese Acad Sci, Inst Geol &amp; Geophys, Beijing, Peoples R China; [Gao, Jiawei] Univ Chinese Acad Sci, Coll Earth &amp; Planetary Sci, Beijing, Peoples R China; [Shprits, Yuri Y.] Helmholtz Ctr Potsdam, GFZ German Res Ctr Geosci, Sect 2 7, Potsdam, Germany; [Shprits, Yuri Y.] Univ Potsdam, Inst Phys &amp; Astron, Potsdam, Germany; [Shprits, Yuri Y.] Univ Calif Los Angeles, Dept Earth Planetary &amp; Space Sci, Los Angeles, CA USA</t>
  </si>
  <si>
    <t>Helmholtz Association; Helmholtz-Center Potsdam GFZ German Research Center for Geosciences; University of Oulu; University of Oulu; Chinese Academy of Sciences; Institute of Geology &amp; Geophysics, CAS; Chinese Academy of Sciences; University of Chinese Academy of Sciences, CAS; Helmholtz Association; Helmholtz-Center Potsdam GFZ German Research Center for Geosciences; University of Potsdam; University of California System; University of California Los Angeles</t>
  </si>
  <si>
    <t>Panovska, S (corresponding author), Helmholtz Ctr Potsdam, GFZ German Res Ctr Geosci, Sect 2 3, Potsdam, Germany.</t>
  </si>
  <si>
    <t>sanja.panovska@gfz-potsdam.de</t>
  </si>
  <si>
    <t>Panovska, Sanja/JVO-5879-2024; Shprits, Yuri Y/I-2174-2014; Usoskin, Ilya/E-5089-2014</t>
  </si>
  <si>
    <t>Panovska, Sanja/0000-0003-4340-5668; Usoskin, Ilya/0000-0001-8227-9081; Shprits, Yuri/0000-0002-9625-0834; Mishev, Alexander/0000-0002-7184-9664; Korte, Monika/0000-0003-2970-9075</t>
  </si>
  <si>
    <t>Discovery Fellowship at the GFZ Potsdam, Germany; Center of Excellence ReSoLVE (University of Oulu) at the University of Oulu, Finland; China Scholarship Council [202004910583]; Academy of Finland [354280, 330064]; UO grant SARPEDON.; Projekt DEAL</t>
  </si>
  <si>
    <t>Discovery Fellowship at the GFZ Potsdam, Germany; Center of Excellence ReSoLVE (University of Oulu) at the University of Oulu, Finland; China Scholarship Council(China Scholarship Council); Academy of Finland(Research Council of Finland); UO grant SARPEDON.; Projekt DEAL</t>
  </si>
  <si>
    <t>S. Panovska gratefully acknowledges the Discovery Fellowship at the GFZ Potsdam, Germany and the support from the Center of Excellence ReSoLVE (University of Oulu) for the research stay at the University of Oulu, Finland. J. Gao acknowledges financial support from China Scholarship Council (202004910583). The University of Oulu team acknowledges support from the Academy of Finland, project GERACLIS Grant 354280 and QUASARE Grant 330064, and the UO grant SARPEDON. We would like to thank Petr Pisoft for providing the tropopause heights from the JRA55 reanalysis data over the period 1960-2018. We thank Florian Adolphi for providing the Antarctic data, and Raimund Muscheler for Greenland data. Nathaniel Lifton and one anonymous reviewer are greatly acknowledged for their helpful suggestions to improve the paper. Open Access funding enabled and organized by Projekt DEAL.</t>
  </si>
  <si>
    <t>e2022JA031158</t>
  </si>
  <si>
    <t>10.1029/2022JA031158</t>
  </si>
  <si>
    <t>O1LG4</t>
  </si>
  <si>
    <t>WOS:001041498100001</t>
  </si>
  <si>
    <t>Balaguer, J; Thoms, S; Trimborn, S</t>
  </si>
  <si>
    <t>Balaguer, Jenna; Thoms, Silke; Trimborn, Scarlett</t>
  </si>
  <si>
    <t>The physiological response of an Antarctic key phytoplankton species to low iron and manganese concentrations</t>
  </si>
  <si>
    <t>PHAEOCYSTIS-ANTARCTICA; SUPEROXIDE DISMUTASES; ENRICHMENT EXPERIMENTS; DRAKE PASSAGE; ROSS SEA; GROWTH; LIGHT; OCEAN; LIMITATION; ELECTRON</t>
  </si>
  <si>
    <t>Iron (Fe) and manganese (Mn) availability and the divergent requirements of phytoplankton species were recently shown to be potential important drivers of Southern Ocean community composition. Knowledge about Antarctic phytoplankton species requirements for Fe and Mn remains, however, scarce. By performing laboratory experiments and additional calculations of the photosynthetic electron transport, we investigated the response of the ecologically important species Phaeocystis antarctica under a combination of different Fe and Mn concentrations. Fe deprivation alone provoked typical physiological characteristics of Fe limitation in P. antarctica (e.g., lowered growth and photosynthetic efficiency). In comparison, under Mn deprivation alone, the growth and carbon production of P. antarctica were not impacted. Its tolerance to cope with low Mn concentrations resulted from an efficient photoacclimation strategy, including a higher number of active photosystems II through which fewer electrons were transported. This strategy allowed us to maintain similar high growth and carbon production rates as FeMn-enriched cells. Due to its low Mn requirement, P. antarctica performed physiologically as Fe-deprived cells under the combined depletion of Fe and Mn. Hence, our study reveals that different from other Southern Ocean phytoplankton species, P. antarctica possesses a high capacity to cope with natural low Mn concentrations, which can facilitate its dominance over others, potentially explaining its ecological success across the Southern Ocean.</t>
  </si>
  <si>
    <t>[Balaguer, Jenna] Univ Bremen, Marine Bot, Bremen, Germany; [Balaguer, Jenna; Thoms, Silke; Trimborn, Scarlett] Helmholtz Ctr Polar &amp; Marine Res, Alfred Wegener Inst, Ecol Chem, Bremerhaven, Germany</t>
  </si>
  <si>
    <t>University of Bremen; Helmholtz Association; Alfred Wegener Institute, Helmholtz Centre for Polar &amp; Marine Research</t>
  </si>
  <si>
    <t>Balaguer, J (corresponding author), Univ Bremen, Marine Bot, Bremen, Germany.;Balaguer, J (corresponding author), Helmholtz Ctr Polar &amp; Marine Res, Alfred Wegener Inst, Ecol Chem, Bremerhaven, Germany.</t>
  </si>
  <si>
    <t>jenna.balaguer@awi.de</t>
  </si>
  <si>
    <t>Trimborn, Scarlett/0000-0003-1434-9927; Balaguer, Jenna/0000-0001-9330-2275</t>
  </si>
  <si>
    <t>Deutsche Forschungsgemeinschaft (DFG) [TR 899/4-1]; Projekt DEAL</t>
  </si>
  <si>
    <t>Deutsche Forschungsgemeinschaft (DFG)(German Research Foundation (DFG)); Projekt DEAL</t>
  </si>
  <si>
    <t>&amp; nbsp;J.B. was funded by the Deutsche Forschungsgemeinschaft (DFG) in the framework of the priority program Antarctic Research with comparative investigations in Arctic ice areas, project TR 899/4-1. In addition, we would like to thank Kai Bischof and Britta Meyer-Schlosser for the pigment analysis, Kristof Moeller and Henning Hellmer for the support in the laboratory, and Christian Volkner for the dissolved and intracellular Fe and Mn analysis. Open Access funding enabled and organized by Projekt DEAL.</t>
  </si>
  <si>
    <t>10.1002/lno.12412</t>
  </si>
  <si>
    <t>S4PM8</t>
  </si>
  <si>
    <t>WOS:001040256300001</t>
  </si>
  <si>
    <t>Jackson, JA; Kennedy, AS; Bamford, CCG; Hart, I; Martin, S; MacDonald, D; Moore, MM; Carroll, EL</t>
  </si>
  <si>
    <t>Jackson, Jennifer A.; Kennedy, Amy S.; Bamford, Connor C. G.; Hart, Ian; Martin, Stephanie; MacDonald, Darryl; Moore, Michael M.; Carroll, Emma L.</t>
  </si>
  <si>
    <t>Humpback whales (Megaptera novaeangliae) return to Cumberland Bay, South Georgia, one century after the peak of whaling</t>
  </si>
  <si>
    <t>MARINE MAMMAL SCIENCE</t>
  </si>
  <si>
    <t>RELATIVE ABUNDANCE; BALEEN WHALES</t>
  </si>
  <si>
    <t>[Jackson, Jennifer A.; Bamford, Connor C. G.] British Antarctic Survey, High Cross,Madingley Rd, Cambridge, England; [Kennedy, Amy S.] Univ Washington, Cooperat Inst Climate Ocean &amp; Ecosyst Studies, Seattle, WA USA; [Hart, Ian] Laurel Cottage, Newton St Margarets, Hereford, England; [Martin, Stephanie] Tristan da Cunha Govt, Tristan Da Cunha, Scotland; [Moore, Michael M.] Woods Hole Oceanog Inst, Biol Dept, Woods Hole, MA USA; [Carroll, Emma L.] Univ Auckland, Sch Biol Sci, Auckland, New Zealand</t>
  </si>
  <si>
    <t>UK Research &amp; Innovation (UKRI); Natural Environment Research Council (NERC); NERC British Antarctic Survey; University of Washington; University of Washington Seattle; Woods Hole Oceanographic Institution; University of Auckland</t>
  </si>
  <si>
    <t>Jackson, JA (corresponding author), British Antarctic Survey, High Cross,Madingley Rd, Cambridge, England.</t>
  </si>
  <si>
    <t>jeck@bas.ac.uk</t>
  </si>
  <si>
    <t>Jackson, Jennifer A/E-7997-2013; Carroll, Emma/U-9133-2019; Moore, Michael J./E-1707-2015</t>
  </si>
  <si>
    <t>Carroll, Emma/0000-0003-3193-7288; Jackson, Jennifer/0000-0003-4158-1924; Martin, Stephanie/0009-0008-9972-619X; Moore, Michael J./0000-0003-3074-6631</t>
  </si>
  <si>
    <t>Darwin Initiative [DPLUS057]; EU BEST [1594]; Friends of South Georgia Island; Rutherford Discovery Fellowship; South Georgia Heritage Trust</t>
  </si>
  <si>
    <t>Darwin Initiative; EU BEST; Friends of South Georgia Island; Rutherford Discovery Fellowship(Royal Society of New Zealand); South Georgia Heritage Trust</t>
  </si>
  <si>
    <t>Darwin Initiative, Grant/Award Number: DPLUS057; EU BEST, Grant/Award Number: Medium Grant 1594; Friends of South Georgia Island; Rutherford Discovery Fellowship; South Georgia Heritage Trust</t>
  </si>
  <si>
    <t>0824-0469</t>
  </si>
  <si>
    <t>1748-7692</t>
  </si>
  <si>
    <t>MAR MAMMAL SCI</t>
  </si>
  <si>
    <t>Mar. Mamm. Sci.</t>
  </si>
  <si>
    <t>10.1111/mms.13050</t>
  </si>
  <si>
    <t>ER8C4</t>
  </si>
  <si>
    <t>WOS:001040219500001</t>
  </si>
  <si>
    <t>McMonigal, K; Evans, N; Jones, D; Brett, J; James, RC; Arroyo, MC; Gong, ABY; Miller, EC; Kelly, C; Middleton, J; Spear, C; Holmes, W; Lane, D</t>
  </si>
  <si>
    <t>McMonigal, Kay; Evans, Natalya; Jones, Dani; Brett, Jay; James, Reece C. C.; Arroyo, Mar C. C.; Gong, A-bel Y.; Miller, Elizabeth C. C.; Kelly, Colette; Middleton, Jule; Spear, Chris; Holmes, Wil; Lane, Dakota</t>
  </si>
  <si>
    <t>Navigating Gender at Sea</t>
  </si>
  <si>
    <t>AGU ADVANCES</t>
  </si>
  <si>
    <t>equity; fieldwork; transgender; gender diverse</t>
  </si>
  <si>
    <t>FIELDWORK</t>
  </si>
  <si>
    <t>Fieldwork, including work done at sea, is a key component of many geoscientists' careers. Recent studies have highlighted the pervasive harassment faced by women and LGBTQ+ people during fieldwork. However, transgender and gender diverse (TGD) scientists face obstacles which have not yet been thoroughly examined. We fill this gap by sharing our experiences as TGD people. We have experienced sexual harassment, misconduct, privacy issues, and legal and medical struggles as we conduct seagoing work. In this work, we provide recommendations for individuals, cruise leaders, and institutions for making seagoing work safer for our communities. Plain Language Summary Transgender and gender diverse people have unique lived experiences. Work done in the field and at sea are integral components of many geoscientists' careers. Understanding the barriers that transgender and gender diverse (TGD) people face during fieldwork is one facet of making the geoscience community more diverse, equitable, and welcoming. This commentary shares some of the lived experiences of the authors and provides recommendations for making seagoing work more welcoming to TGD people.</t>
  </si>
  <si>
    <t>[McMonigal, Kay] North Carolina State Univ, Dept Marine Earth &amp; Atmospher Sci, Raleigh, NC 27695 USA; [McMonigal, Kay] Univ Alaska Fairbanks, Now Coll Fisheries &amp; Ocean Sci, Fairbanks, AK 99775 USA; [Evans, Natalya; Middleton, Jule] Univ Calif St Barbara, Marine Sci Inst, Santa Barbara, CA USA; [Jones, Dani] UKRI, British Antarctic Survey, NERC, Cambridge, England; [Brett, Jay] Johns Hopkins Univ, Appl Phys Lab, Laurel, MD USA; [James, Reece C. C.] Univ Hawaii Manoa, Dept Oceanog, Honolulu, HI USA; [Arroyo, Mar C. C.] Univ Calif St Cruz, Dept Ocean Sci, Santa Cruz, CA USA; [Gong, A-bel Y.] Univ San Diego, San Diego, CA USA; [Kelly, Colette] Woods Hole Oceanog Inst, Woods Hole, MA USA; [Spear, Chris] Univ Chicago, Chicago, IL USA; [Lane, Dakota] Loyola Univ Chicago, Chicago, IL USA</t>
  </si>
  <si>
    <t>North Carolina State University; University of Alaska System; University of Alaska Fairbanks; UK Research &amp; Innovation (UKRI); Natural Environment Research Council (NERC); NERC British Antarctic Survey; Johns Hopkins University; Johns Hopkins University Applied Physics Laboratory; University of Hawaii System; University of Hawaii Manoa; University of San Diego; Woods Hole Oceanographic Institution; University of Chicago; Loyola University Chicago</t>
  </si>
  <si>
    <t>McMonigal, K (corresponding author), North Carolina State Univ, Dept Marine Earth &amp; Atmospher Sci, Raleigh, NC 27695 USA.;McMonigal, K (corresponding author), Univ Alaska Fairbanks, Now Coll Fisheries &amp; Ocean Sci, Fairbanks, AK 99775 USA.</t>
  </si>
  <si>
    <t>ktmcmoni@ncsu.edu</t>
  </si>
  <si>
    <t>James, Reece/0009-0000-9618-7911; Jones, Dani/0000-0002-8701-4506; Middleton, Jule T./0000-0001-6068-9266; Evans, Natalya/0000-0002-2726-8272; Brett, Genevieve/0000-0001-6170-8633; McMonigal, K/0000-0001-5722-7036; Gong, Annabel/0000-0002-1248-8854; Arroyo, Mar/0000-0002-9794-5750; Spear, Chris/0000-0003-1180-2132; Miller, Elizabeth, Liz/0009-0000-4808-5339</t>
  </si>
  <si>
    <t>2576-604X</t>
  </si>
  <si>
    <t>AGU ADV</t>
  </si>
  <si>
    <t>AGU Adv.</t>
  </si>
  <si>
    <t>e2023AV000927</t>
  </si>
  <si>
    <t>10.1029/2023AV000927</t>
  </si>
  <si>
    <t>O0IQ6</t>
  </si>
  <si>
    <t>WOS:001040748500001</t>
  </si>
  <si>
    <t>Mbigi, D; Xiao, ZN</t>
  </si>
  <si>
    <t>Mbigi, Dickson; Xiao, Ziniu</t>
  </si>
  <si>
    <t>Southern Annular Mode: A New Factor Impacts the East African Short Rains after the Early 1990s</t>
  </si>
  <si>
    <t>Africa; Rainfall; Antarctic Oscillation; ENSO; Climate variability; Interannual variability</t>
  </si>
  <si>
    <t>SEA-SURFACE TEMPERATURE; SPRING ANTARCTIC OSCILLATION; INDIAN-OCEAN; INTERANNUAL VARIABILITY; ATMOSPHERIC CIRCULATION; WINTER PRECIPITATION; RAINFALL VARIABILITY; SUMMER RAINFALL; CO-VARIABILITY; HEMISPHERE</t>
  </si>
  <si>
    <t>It is well known that the Indian Ocean dipole (IOD) and El Nino-Southern Oscillation (ENSO) are closely related to rainfall variability over East Africa. This study found that the preceding August-October (ASO) Southern An-nular Mode (SAM) can influence East African rainfall from October to December [i.e., East African short rains (EASR)], with a strong and significant relationship during the period of 1992-2019 than 1971-91. This is likely a result of the changes in SAM variations. It is further revealed that, during 1992-2019, the ASO SAM, via air-sea interactions, can excite meridi-onal dipole sea surface temperature anomalies (SSTA) and warm SSTA over the southern Indian and Atlantic Oceans, re-spectively. In contrast, during 1971-91, the SAM induces warm SSTA over the southern Indian Ocean. Further analysis indicated that these ASO SAM-related SSTA patterns persist through the following October-December and exert a con-trasting influence on the EASR. Based on the possible mechanism, the enhanced influence of SAM on EASR appears to be achieved through significant meridional circulation in the Indian Ocean basin, with anomalous sinking motion in the ex-tratropics and the rising motion in the tropical Maritime Continent (MC) region. Correspondingly, strong convection is en-hanced over the MC, altering zonal vertical circulation. This process results in anomalous westerlies in the tropical Indian Ocean, which reduces the atmospheric moisture, weakens convection, and suppresses rainfall over the central-western Indian Ocean, including the study region. Further analysis suggests that the prediction skill of the EASR related to the SAM, ENSO, and IOD was enhanced during 1992-2019. SIGNIFICANCE STATEMENT: Several studies have investigated the influence of tropical climate anomalies, such as El Nino-Southern Oscillation and the Indian Ocean dipole, on the rainfall variability over East Africa. The region continues to be plagued by numerous climate-related disasters, including flooding and drought, and the associated vary-ing impacts have been detrimental. As such, there is a need to understand further the factors and associated physical processes that cause such events and improve forecasting accuracy. This research emphasizes the role of the Southern Annular Mode (SAM), finding a strengthened lagged relationship with East African rainfall in recent decades. This im-plies that changes in the SAM should be considered in understanding present and future rainfall variability in the region.</t>
  </si>
  <si>
    <t>[Mbigi, Dickson; Xiao, Ziniu] Chinese Acad Sci, Inst Atmospher Phys, State Key Lab Numer Modeling Atmospher Sci &amp; Geoph, Beijing, Peoples R China; [Mbigi, Dickson] Univ Chinese Acad Sci, Beijing, Peoples R China; [Mbigi, Dickson] Univ Dar es Salaam, Dept Phys, Dar Es Salaam, Tanzania</t>
  </si>
  <si>
    <t>Chinese Academy of Sciences; Institute of Atmospheric Physics, CAS; Chinese Academy of Sciences; University of Chinese Academy of Sciences, CAS; University of Dar es Salaam</t>
  </si>
  <si>
    <t>Xiao, ZN (corresponding author), Chinese Acad Sci, Inst Atmospher Phys, State Key Lab Numer Modeling Atmospher Sci &amp; Geoph, Beijing, Peoples R China.</t>
  </si>
  <si>
    <t>xiaozn@lasg.iap.ac.cn</t>
  </si>
  <si>
    <t>XIAO, ZINIU/0000-0003-0509-5267; Mbigi, Dickson/0000-0002-0338-8149</t>
  </si>
  <si>
    <t>National Natural Science Foundation of China [U1902209]; Strategic Priority Research Program of the Chinese Academy of Sciences (CAS) [XDA20060501]; Alliance of International Science Organizations (ANSO)</t>
  </si>
  <si>
    <t>National Natural Science Foundation of China(National Natural Science Foundation of China (NSFC)); Strategic Priority Research Program of the Chinese Academy of Sciences (CAS); Alliance of International Science Organizations (ANSO)</t>
  </si>
  <si>
    <t>The authors are grateful to the Met Office Hadley Centre, the National Centers for Environmental Prediction-National Center for Atmospheric Research (NCEP- NCAR) , the European Centre for Medium -Range Weather Forecasts (ECMWF) , and the National Oceanic and Atmospheric Administration (NOAA) for preparing and providing datasets used in this study. Dickson Mbigi appreciates the financial support of the Alliance of International Science Organizations (ANSO) . Special thanks are given to the two anonymous reviewers for constructive comments and suggestions. Zhangqun Li ( Ph.D.) is acknowledged for helping with the empirical model formulation. This research is funded by the National Natural Science Foundation of China, U1902209, and the Strategic Priority Research Program of the Chinese Academy of Sciences (CAS) , Grant XDA20060501. The authors declare no conflict of interest.</t>
  </si>
  <si>
    <t>10.1175/JCLI-D-22-0613.1</t>
  </si>
  <si>
    <t>N3CP5</t>
  </si>
  <si>
    <t>WOS:001035837300001</t>
  </si>
  <si>
    <t>Dütsch, M; Steig, EJ; Blossey, PN; Pauling, AG</t>
  </si>
  <si>
    <t>Duetsch, Marina; Steig, Eric J.; Blossey, Peter N.; Pauling, Andrew G.</t>
  </si>
  <si>
    <t>Response of Water Isotopes in Precipitation to a Collapse of the West Antarctic Ice Sheet in High-Resolution Simulations with the Weather Research and Forecasting Model</t>
  </si>
  <si>
    <t>Antarctica; Hydrologic cycle; Paleoclimate; Isotopic analysis</t>
  </si>
  <si>
    <t>SEA-LEVEL; CHRONOLOGY AICC2012; CLIMATE; FRACTIONATION; TEMPERATURE; IMPACT; CIRCULATION; PERIODS; RECORDS; RANGES</t>
  </si>
  <si>
    <t>The West Antarctic Ice Sheet (WAIS) may have collapsed during the last interglacial period, between 132000 and 116000 years ago. The changes in topography resulting from WAIS collapse would be accompanied by signifi- cant changes in Antarctic surface climate, atmospheric circulation, and ocean conditions. Evidence of these changes may be recorded in water-isotope ratios in precipitation archived in the ice. We conduct high-resolution simulations with an isotope-enabled version of the Weather Research and Forecasting Model over Antarctica, with boundary conditions provided by climate model simulations with both present-day and lowered WAIS topography. The results show that while there is significant spatial variability, WAIS collapse would cause detectable isotopic changes at several locations where ice-core records have been obtained or could be obtained in the future. The most robust signals include elevated 818O at SkyTrain Ice Rise in West Antarctica and elevated deuterium excess and 818O at Hercules Dome in East Antarctica. A combination of records from multiple sites would provide constraints on the timing, rate, and magnitude of past WAIS collapse.</t>
  </si>
  <si>
    <t>[Duetsch, Marina] Univ Vienna, Dept Meteorol &amp; Geophys, Vienna, Austria; [Duetsch, Marina; Steig, Eric J.] Univ Washington, Dept Earth &amp; Space Sci, Seattle, WA 98195 USA; [Steig, Eric J.; Blossey, Peter N.; Pauling, Andrew G.] Univ Washington, Dept Atmospher Sci, Seattle, WA USA</t>
  </si>
  <si>
    <t>University of Vienna; University of Washington; University of Washington Seattle; University of Washington; University of Washington Seattle</t>
  </si>
  <si>
    <t>Dütsch, M (corresponding author), Univ Vienna, Dept Meteorol &amp; Geophys, Vienna, Austria.;Dütsch, M (corresponding author), Univ Washington, Dept Earth &amp; Space Sci, Seattle, WA 98195 USA.</t>
  </si>
  <si>
    <t>marina.duetsch@univie.ac.at</t>
  </si>
  <si>
    <t>Blossey, Peter/IYJ-5220-2023</t>
  </si>
  <si>
    <t>Dutsch, Marina/0000-0002-1128-4198; Blossey, Peter/0000-0002-0352-0840; Pauling, Andrew/0000-0003-4545-0809</t>
  </si>
  <si>
    <t>National Science Foundation [OPP-1602435]</t>
  </si>
  <si>
    <t>We thank David Reusch, Jordan Powers, and Kevin Manning for helpful advice on configuring WRF simulations over Antarctica. We acknowledge high-performance computing support from Cheyenne (https://doi.org/10.5065/D6RX99HX) provided by NCAR 's Computational and Infor-mation Systems Laboratory, sponsored by the National Science Foundation. We also acknowledge support from NSF Grant OPP-1602435. Early work on WRFwiso by P.N.B. was supported by NSF Grant AGS-1260368. We thank Kurt Cuffey and two anonymous reviewers for their helpful comments, which improved our manuscript.</t>
  </si>
  <si>
    <t>10.1175/JCLI-D-22-0647.1</t>
  </si>
  <si>
    <t>M7YU5</t>
  </si>
  <si>
    <t>WOS:001032343400001</t>
  </si>
  <si>
    <t>Rao, J; Garfinkel, CI; Ren, RC; Wu, TW; Lu, YX; Chu, M</t>
  </si>
  <si>
    <t>Rao, Jian; Garfinkel, Chaim I.; Ren, Rongcai; Wu, Tongwen; Lu, Yixiong; Chu, Min</t>
  </si>
  <si>
    <t>Projected Strengthening Impact of the Quasi-Biennial Oscillation on the Southern Hemisphere by CMIP5/6 Models</t>
  </si>
  <si>
    <t>Stratospheric circulation; Quasibiennial oscillation; Model comparison; Tropical variability</t>
  </si>
  <si>
    <t>QBO; WINTER; CIRCULATION; MODULATION; CLIMATE; VARIABILITY; CONVECTION; PATHWAY; DESIGN; OZONE</t>
  </si>
  <si>
    <t>Using 20 quasi-biennial oscillation (QBO)-resolving models from phases 5/6 of the Coupled Model Inter -comparison Project (CMIP5/6), this study examines the projected Southern Hemisphere (SH) extratropical response to the QBO. Nine of the 22 models simulate decelerated circumpolar westerlies during easterly QBO (EQBO) in the historical climate as is observed, though only ;30% of the observed change is reproduced in the multimodel ensemble mean (MME) of these high-skill models. These high-skill models project an enhanced stratospheric QBO teleconnection for both emissions scenarios. Further, the stratospheric wind anomaly in high latitudes is projected to move to midlatitudes in future scenarios. The climatological subtropical jet is projected to strengthen, while tropical easterlies are projected to weaken. As a consequence, upward wave activity in the future appears to become more sensitive to the QBO phase. En-hanced upward propagation of waves in mid-to high latitudes during EQBO are much stronger in future scenarios than in historical simulations. The anomalous downwelling over the Antarctic, as part of the Brewer-Dobson deep branch re-sponse to EQBO, is also projected to strengthen, corresponding to increased warm anomalies. In future scenarios, the areal extent of the deep convective response to EQBO over the Maritime Continent widens and includes a sharper reduction in outgoing longwave radiation, albeit with southward expansion from Indonesia to Australia. The enhancement and spatial shift in the stratospheric polar vortex pathway and tropical convection pathway subsequently lead to changes in the tropo-spheric QBO signal. An annular mode-like response forms in the troposphere and near-surface in the present climate, whereas this pattern shifts farther equatorward in future projections with circulation anomalies in the tropical Indian Ocean amplifying.</t>
  </si>
  <si>
    <t>[Rao, Jian; Ren, Rongcai] Nanjing Univ Informat Sci &amp; Technol, Collaborat Innovat Ctr Forecast &amp; Evaluat Meteorol, Key Lab Meteorol Disaster, Minist Educ, Nanjing, Peoples R China; [Garfinkel, Chaim I.] Hebrew Univ Jerusalem, Fredy &amp; Nadine Herrmann Inst Earth Sci, Jerusalem, Israel; [Ren, Rongcai] Chinese Acad Sci, Inst Atmospher Phys, State Key Lab Numer Modeling Atmospher Sci &amp; Geoph, Beijing, Peoples R China; [Wu, Tongwen; Lu, Yixiong; Chu, Min] China Meteorol Adm, Ctr Earth Syst Modeling &amp; Predict, Beijing, Peoples R China</t>
  </si>
  <si>
    <t>Nanjing University of Information Science &amp; Technology; Hebrew University of Jerusalem; Chinese Academy of Sciences; Institute of Atmospheric Physics, CAS; China Meteorological Administration</t>
  </si>
  <si>
    <t>Rao, J (corresponding author), Nanjing Univ Informat Sci &amp; Technol, Collaborat Innovat Ctr Forecast &amp; Evaluat Meteorol, Key Lab Meteorol Disaster, Minist Educ, Nanjing, Peoples R China.</t>
  </si>
  <si>
    <t>raojian@nuist.edu.cn</t>
  </si>
  <si>
    <t>Rao, Jian/O-3392-2019; garfinkel, chaim I/AAA-1134-2020</t>
  </si>
  <si>
    <t>Rao, Jian/0000-0001-5030-0288; garfinkel, chaim I/0000-0001-7258-666X; Lu, Yixiong/0000-0001-9823-9367</t>
  </si>
  <si>
    <t>National Natural Science Foundation of China [42175069, 42075052]; Qing Lan Project of Jiangsu Province; ISF-NSFC joint research program [3259/19]</t>
  </si>
  <si>
    <t>National Natural Science Foundation of China(National Natural Science Foundation of China (NSFC)); Qing Lan Project of Jiangsu Province; ISF-NSFC joint research program</t>
  </si>
  <si>
    <t>This work was sponsored by the National Natural Science Foundation of China (Grant 42175069 and 42075052), the Qing Lan Project of Jiangsu Province, and &amp; nbsp;the ISF-NSFC joint research program (3259/19). The authors thank the WCRP and ESGF for their freely providing the CMIP5/6 datasets. We also acknowledge ECMWF for providing the modern reanalysis.</t>
  </si>
  <si>
    <t>10.1175/JCLI-D-22-0801.1</t>
  </si>
  <si>
    <t>M7YS6</t>
  </si>
  <si>
    <t>WOS:001032341500001</t>
  </si>
  <si>
    <t>Cortés-Antiquera, R; Marquez, SL; Espina, G; Sanchez-SanMartín, J; Blamey, JM</t>
  </si>
  <si>
    <t>Cortes-Antiquera, Rodrigo; Marquez, Sebastian L.; Espina, Giannina; Sanchez-SanMartin, Jorge; Blamey, Jenny M.</t>
  </si>
  <si>
    <t>Recombinant expression and characterization of a new laccase, bioinformatically identified, from the Antarctic thermophilic bacterium Geobacillus sp. ID17</t>
  </si>
  <si>
    <t>EXTREMOPHILES</t>
  </si>
  <si>
    <t>Multicopper oxidase; Decolorization; Dye; Thermophilic</t>
  </si>
  <si>
    <t>NITRITE REDUCTASE; FUNCTIONAL-CHARACTERIZATION; ELECTRON-TRANSFER; STABLE LACCASE; COTA-LACCASE; PURIFICATION; CLONING; DECOLORIZATION; DETOXIFICATION; MECHANISM</t>
  </si>
  <si>
    <t>Geobacillus sp. ID17 is a gram-positive thermophilic bacterium isolated from Deception Island, Antarctica, which has shown to exhibit remarkable laccase activity in crude extract at high temperatures. A bioinformatic search using local databases led to the identification of three putative multicopper oxidase sequences in the genome of this microorganism. Sequence analysis revealed that one of those sequences contains the four-essential copper-binding sites present in other well characterized laccases. The gene encoding this sequence was cloned and overexpressed in Escherichia coli, partially purified and preliminary biochemically characterized. The resulting recombinant enzyme was recovered in active and soluble form, exhibiting optimum copper-dependent laccase activity at 55 &amp; DEG;C, pH 6.5 with syringaldazine substrate, retaining over 60% of its activity after 1 h at 55 and 60 &amp; DEG;C. In addition, this thermophilic enzyme is not affected by common inhibitors SDS, NaCl and l-cysteine. Furthermore, biodecolorization assays revealed that this laccase is capable of degrading 60% of malachite green, 54% of Congo red, and 52% of Remazol Brilliant Blue R, after 6 h at 55 &amp; DEG;C with aid of ABTS as redox mediator. The observed properties of this enzyme and the relatively straightforward overexpression and partial purification of it could be of great interest for future biotechnology applications.</t>
  </si>
  <si>
    <t>[Cortes-Antiquera, Rodrigo; Blamey, Jenny M.] Univ Santiago Chile, Fac Quim &amp; Biol, 3363 Estn Cent, Santiago, Chile; [Cortes-Antiquera, Rodrigo; Marquez, Sebastian L.; Espina, Giannina; Sanchez-SanMartin, Jorge; Blamey, Jenny M.] Fdn Biociencia, Jose Domingo Canas 2280, Santiago, Chile</t>
  </si>
  <si>
    <t>Universidad de Santiago de Chile</t>
  </si>
  <si>
    <t>Blamey, JM (corresponding author), Univ Santiago Chile, Fac Quim &amp; Biol, 3363 Estn Cent, Santiago, Chile.;Blamey, JM (corresponding author), Fdn Biociencia, Jose Domingo Canas 2280, Santiago, Chile.</t>
  </si>
  <si>
    <t>jenny.blamey@usach.cl</t>
  </si>
  <si>
    <t>Espina, Giannina/0000-0002-6308-7217</t>
  </si>
  <si>
    <t>Universidad de Santiago de Chile - DICYT regular [022143BA]; ANID CONICYT [022143BA_POSTDOC]; POST-DOC_DICYT, codigo by Vicerrectoria de Investigacion y Desarrollo; Fundacion Cientifica y Cultural Biociencia; [PCI NSFC190024]</t>
  </si>
  <si>
    <t>Universidad de Santiago de Chile - DICYT regular; ANID CONICYT; POST-DOC_DICYT, codigo by Vicerrectoria de Investigacion y Desarrollo; Fundacion Cientifica y Cultural Biociencia;</t>
  </si>
  <si>
    <t>This research has been supported by: Universidad de Santiago de Chile, through funding of DICYT regular 022143BA and POST-DOC_DICYT, codigo 022143BA_POSTDOC, granted by Vicerrectoria de Investigacion y Desarrollo, and also through funding by ANID CONICYT PCI NSFC190024 and Fundacion Cientifica y Cultural Biociencia.</t>
  </si>
  <si>
    <t>SPRINGER JAPAN KK</t>
  </si>
  <si>
    <t>TOKYO</t>
  </si>
  <si>
    <t>SHIROYAMA TRUST TOWER 5F, 4-3-1 TORANOMON, MINATO-KU, TOKYO, 105-6005, JAPAN</t>
  </si>
  <si>
    <t>1431-0651</t>
  </si>
  <si>
    <t>1433-4909</t>
  </si>
  <si>
    <t>Extremophiles</t>
  </si>
  <si>
    <t>10.1007/s00792-023-01299-y</t>
  </si>
  <si>
    <t>Biochemistry &amp; Molecular Biology; Microbiology</t>
  </si>
  <si>
    <t>L8QJ2</t>
  </si>
  <si>
    <t>WOS:001025852300001</t>
  </si>
  <si>
    <t>Boschat, G; Purich, A; Rudeva, I; Arblaster, J</t>
  </si>
  <si>
    <t>Boschat, Ghyslaine; Purich, Ariaan; Rudeva, Irina; Arblaster, Julie</t>
  </si>
  <si>
    <t>Impact of Zonal and Meridional Atmospheric Flow on Surface Climate and Extremes in the Southern Hemisphere</t>
  </si>
  <si>
    <t>Antarctic Oscillation; Atmospheric circulation; Fronts; Planetary waves; Climate variability</t>
  </si>
  <si>
    <t>ANNULAR MODE; ANTARCTIC PENINSULA; AUSTRALIAN RAINFALL; DAILY TEMPERATURE; HIGH-LATITUDE; ICE SHELVES; VARIABILITY; PRECIPITATION; ANOMALIES; BLOCKING</t>
  </si>
  <si>
    <t>The Southern Annular Mode (SAM) describes the annular or zonal component of the large-scale atmo-spheric circulation in the Southern Hemisphere (SH) extratropics and influences surface climate across the SH. Although this annular flow is dominant in austral summer, in other seasons considerable zonal asymmetries are evident, reflecting a zonal wave 3 (ZW3) pattern. We define an index representing asymmetric flow using the first two leading modes of meridi-onal wind variability in the SH. Two orthogonal ZW3 indices are used together to capture longitudinal shifts in the wave train and their connection to tropical convection. We compare the impacts of the SAM and ZW3 on surface climate by ex-amining composites of temperature and precipitation fields during each season. Impacts on mean and extreme surface cli-mates are assessed. We find that the SAM and ZW3 are not clearly separated modes, but rather, ZW3 modulates the impact of the SAM across the midlatitudes. The SAM influence on regional temperature and precipitation is similar for both mean impacts and extremes. The ZW3 influence on extremes is more varied across indices and does not always reflect the ZW3 impact on mean fields. Notably, amplified ZW3 activity has a significant influence on the number of midlatitude fronts and frontal rainfall, highlighting the importance of considering ZW3 when exploring the surface climate impacts of large-scale SH circulation states, particularly for nonsummer seasons.</t>
  </si>
  <si>
    <t>[Boschat, Ghyslaine; Rudeva, Irina] Bur Meteorol, Melbourne, Vic, Australia; [Boschat, Ghyslaine; Arblaster, Julie] ARC Ctr Excellence Climate Extremes, Melbourne, Vic, Australia; [Purich, Ariaan; Arblaster, Julie] Monash Univ, Sch Earth Atmosphere &amp; Environm, Melbourne, Vic, Australia; [Purich, Ariaan] ARC Special Res Initiat Securing Antarct Environm, Melbourne, Vic, Australia</t>
  </si>
  <si>
    <t>Bureau of Meteorology - Australia; Melbourne Genomics Health Alliance; Monash University; Melbourne Genomics Health Alliance; Melbourne Genomics Health Alliance</t>
  </si>
  <si>
    <t>Boschat, G (corresponding author), Bur Meteorol, Melbourne, Vic, Australia.;Boschat, G (corresponding author), ARC Ctr Excellence Climate Extremes, Melbourne, Vic, Australia.</t>
  </si>
  <si>
    <t>ghyslaine.boschat@bom.gov.au</t>
  </si>
  <si>
    <t>Arblaster, Julie/C-1342-2010</t>
  </si>
  <si>
    <t>Arblaster, Julie/0000-0002-4287-2363; Boschat, Ghyslaine/0000-0002-5174-1170; Purich, Ariaan/0000-0003-2248-5937</t>
  </si>
  <si>
    <t>Department of Environment, Land, Water and Planning through the Victorian Water and Climate Initiative; Australian Government's National Environmental Science Program; ARC [CE17010023, DP120103950, SR200100005]; Australian Government</t>
  </si>
  <si>
    <t>Department of Environment, Land, Water and Planning through the Victorian Water and Climate Initiative; Australian Government's National Environmental Science Program(Australian Government); ARC(Australian Research Council); Australian Government(Australian Government)</t>
  </si>
  <si>
    <t>&amp; nbsp;This work was partly supported by the Department of Environment, Land, Water and Planning through the Victorian Water and Climate Initiative, the Australian Government's National Environmental Science Program, and the ARC, including the ARC Centre of Excellence for Climate Extremes (CE17010023) , the ARC Discovery Grant (DP120103950) , and the ARC Special Research Initiative for Securing Antarctica's Environmental Future (SR200100005) . This research was under- taken with the assistance of resources and services from the National Computational Infrastructure, which is supported by the Australian Government. The authors would also like to thank Sugata Narsey, EunPa Lim, and Acacia Pepler for their insightful comments on the manuscript. The authors thank the three anonymous reviewers for their constructive comments on the manuscript.</t>
  </si>
  <si>
    <t>10.1175/JCLI-D-22-0251.1</t>
  </si>
  <si>
    <t>L8GD2</t>
  </si>
  <si>
    <t>WOS:001025580600001</t>
  </si>
  <si>
    <t>Gregory, CH; Holbrook, NJ; Marshall, AG; Spillman, CM</t>
  </si>
  <si>
    <t>Gregory, Catherine H.; Holbrook, Neil J.; Marshall, Andrew G.; Spillman, Claire M.</t>
  </si>
  <si>
    <t>Atmospheric Drivers of Tasman Sea Marine Heatwaves</t>
  </si>
  <si>
    <t>Antarctic Oscillation; Atmosphere-ocean interaction; Heatwave; Seasonal forecasting; Climate variability; Subseasonal variability</t>
  </si>
  <si>
    <t>SOUTHERN ANNULAR MODE; SYNOPTIC WEATHER PATTERNS; SELF-ORGANIZING MAPS; LONG-TERM TRENDS; SURFACE-TEMPERATURE; VARIABILITY; CLIMATE; ENSO; OSCILLATION; REANALYSIS</t>
  </si>
  <si>
    <t>Marine heatwaves (MHWs) can severely impact marine biodiversity, fisheries, and aquaculture. Consequently, there is an increasing desire to understand the drivers of these events to inform their predictability so that proactive decisions may be made to reduce potential impacts. In the Tasman Sea (TS), several relatively intense and broad-scale MHWs have caused significant damage to marine fisheries and aquaculture industries. To assess the potential predictability of these events, we first de-termined the main driver of each MHW event in the TS from 1993 to 2021. We found that those MHWs driven by ocean advection-approximately 45% of all events-are generally longer in duration and less intense and affected a smaller area com-pared with the remaining 55%, which are driven by air-sea heat fluxes, are shorter in duration, and are more surface intense. As ocean advection-driven events in the TS have been closely studied and reported previously, we focus here on atmospherically driven MHWs. The predictability of these events is assessed by identifying the patterns of atmospheric pressure, winds, and air- sea heat fluxes in the Southern Hemisphere that coincide with MHWs in the Tasman Sea. We found that atmospherically driven MHWs in this region are more likely to occur during the positive phase of the asymmetric Southern Annular Mode (A-SAM)-which presents as an atmospheric zonal wave-3 pattern and is more likely to occur during La Nina years. These A-SAM events are linked to low wind speeds and increased downward solar radiation in the TS, which lead to increased surface ocean tempera -tures through the reduction of mixing.</t>
  </si>
  <si>
    <t>[Gregory, Catherine H.; Holbrook, Neil J.] Univ Tasmania, Inst Marine &amp; Antarctic Studies, Hobart, Tas, Australia; [Gregory, Catherine H.; Holbrook, Neil J.; Marshall, Andrew G.; Spillman, Claire M.] Univ Tasmania, Ctr Excellence Climate Extremes, Australian Res Council, Hobart, Tas, Australia; [Marshall, Andrew G.] Bur Meteorol, Hobart, Tas, Australia; [Spillman, Claire M.] Bur Meteorol, Melbourne, Vic, Australia</t>
  </si>
  <si>
    <t>University of Tasmania; University of Tasmania; Bureau of Meteorology - Australia; Bureau of Meteorology - Australia</t>
  </si>
  <si>
    <t>Gregory, CH (corresponding author), Univ Tasmania, Inst Marine &amp; Antarctic Studies, Hobart, Tas, Australia.;Gregory, CH (corresponding author), Univ Tasmania, Ctr Excellence Climate Extremes, Australian Res Council, Hobart, Tas, Australia.</t>
  </si>
  <si>
    <t>catherine.gregory@utas.edu.au</t>
  </si>
  <si>
    <t>; Holbrook, Neil/M-7544-2013</t>
  </si>
  <si>
    <t>Gregory, Catherine/0000-0002-8867-8144; Holbrook, Neil/0000-0002-3523-6254</t>
  </si>
  <si>
    <t>ARC Centre of Excellence for Climate Extremes; ARC Centre of Excellence for Climate Extremes (CLEX) PhD scholarship; joint CSIRO-UTAS Quantitative Marine Science program; Australian Bureau of Meteorology; ARC Centre of Excellence for Climate Extremes [CE170100023]; National Environmental Science Program Climate Systems Hub</t>
  </si>
  <si>
    <t>ARC Centre of Excellence for Climate Extremes; ARC Centre of Excellence for Climate Extremes (CLEX) PhD scholarship; joint CSIRO-UTAS Quantitative Marine Science program; Australian Bureau of Meteorology; ARC Centre of Excellence for Climate Extremes; National Environmental Science Program Climate Systems Hub</t>
  </si>
  <si>
    <t>We thank the three anonymous reviewers for their comments which helped us to significantly improve our paper. Author Gregory was supported by an ARC Centre of Excellence for Climate Extremes (CLEX) PhD scholarship, and additional top-up support from the joint CSIRO-UTAS Quantitative Marine Science program and Australian Bureau of Meteorology. Author Holbrook was supported by funding from the ARC Centre of Excellence for Climate Extremes (CE170100023) and the National Environmental Science Program Climate Systems Hub. Authors Marshall and Spillman acknowledge support from the Australian Bureau of Meteorology. Gregory acknowledges significant computational support from Austral- ia 's National Computational Infrastructure (NCI) and the CLEX Computational Modelling Support (CMS) team. We thank Danielle Udy for providing code and guidance for the SOM analysis. The authors declare that there are no known competing interests, whether personal, professional, or financial, that would influence the findings of this paper.</t>
  </si>
  <si>
    <t>10.1175/JCLI-D-22-0538.1</t>
  </si>
  <si>
    <t>M0CO9</t>
  </si>
  <si>
    <t>WOS:001026864800001</t>
  </si>
  <si>
    <t>Ferreira, EMS; Garmendia, G; Gonçalves, VN; da Silva, JFM; Rosa, LH; Vero, S; Pimenta, RS</t>
  </si>
  <si>
    <t>Ferreira, Eskalath Morganna Silva; Garmendia, Gabriela; Goncalves, Vivian Nicolau; da Silva, Juliana Fonseca Moreira; Rosa, Luiz Henrique; Vero, Silvana; Pimenta, Raphael Sanzio</t>
  </si>
  <si>
    <t>Selection of Antarctic yeasts as gray mold biocontrol agents in strawberry</t>
  </si>
  <si>
    <t>Antagonist yeasts; Botrytis cinerea; Biological control; Postharvest disease; Antarctica</t>
  </si>
  <si>
    <t>POSTHARVEST DISEASES; BIOLOGICAL-CONTROL; DEBARYOMYCES-HANSENII; BLUE MOLD; ENZYMATIC-ACTIVITIES; BOTRYTIS-CINEREA; FRUIT; QUANTIFICATION; MECHANISMS; MANAGEMENT</t>
  </si>
  <si>
    <t>The postharvest disease popularly known as gray mold is considered one of the most limiting factors strawberry fruit production. The most effective way to control this disease is still the use of chemical fungicides. However, other alternative sources of control are being explored. Among these, psychrophilic yeasts adapted to extreme conditions, such as those found in the Antarctic region, may have great potential for use as biocontrol agents. Thus, the present study aimed to select psychrotolerant yeasts obtained from Antarctic region and to evaluate their potential for biocontrol under gray mold, caused by Botrytis cinerea in strawberries stored at low temperature. For this, 20 potential antagonist yeasts were evaluated in vitro (thermotolerance and enzymatic) assays. Debaryomyces hansenii, Rhodotorula mucilaginosa and Dioszegia hungarica were selected for growing in strawberry juice. However, only D. hansenii was selected for in vivo studies and showed a reduction in the incidence of gray mold by 82% for the tests performed on injury and 86% for the tests on non-injured fruits treated by immersion bath. Thus, demonstrating that the selection of this cold-adapted Antarctic yeast can be a promising strategy as a biocontrol agent used to curb the development of gray mold in strawberry fruits.</t>
  </si>
  <si>
    <t>[Ferreira, Eskalath Morganna Silva; Goncalves, Vivian Nicolau; da Silva, Juliana Fonseca Moreira; Pimenta, Raphael Sanzio] Fed Univ Tocantins, Lab Gen &amp; Appl Microbiol, Palmas, TO, Brazil; [Garmendia, Gabriela; Vero, Silvana] UdelaR, Fac Quim, Dept Biociencias, Catedra Microbiol, Montevideo, Uruguay; [Goncalves, Vivian Nicolau; Rosa, Luiz Henrique] Univ Fed Minas Gerais, Dept Microbiol, Belo Horizonte, MG, Brazil</t>
  </si>
  <si>
    <t>Universidade Federal do Tocantins (UFT); Universidad de la Republica, Uruguay; Universidade Federal de Minas Gerais</t>
  </si>
  <si>
    <t>Pimenta, RS (corresponding author), Fed Univ Tocantins, Lab Gen &amp; Appl Microbiol, Palmas, TO, Brazil.</t>
  </si>
  <si>
    <t>pimentars@uft.edu.br</t>
  </si>
  <si>
    <t>Pimenta, Raphael Sanzio/D-9195-2013</t>
  </si>
  <si>
    <t>Pimenta, Raphael Sanzio/0000-0001-7207-4437</t>
  </si>
  <si>
    <t>CYTED [121RT0110]; CAPES (Coordenacao de Aperfeicoamento de Pessoal de Nivel Superior) [23038.010315/2013-66]; Programa Antartico Brasileiro (Brazilian Antarctic Program; PROANTAR ) [407230/2013-0]; INCT (Institutos Nacionais de Ciencia e Tecnologia) Criosfera</t>
  </si>
  <si>
    <t>CYTED; CAPES (Coordenacao de Aperfeicoamento de Pessoal de Nivel Superior)(Coordenacao de Aperfeicoamento de Pessoal de Nivel Superior (CAPES)); Programa Antartico Brasileiro (Brazilian Antarctic Program; PROANTAR ); INCT (Institutos Nacionais de Ciencia e Tecnologia) Criosfera</t>
  </si>
  <si>
    <t>The authors thank Cristiane Martins Coelho for their personal collaboration. The authors acknowledge MICROAGRO network (Red 121RT0110) funded by CYTED.&amp; nbsp;Financial support from CAPES (Coordenacao de Aperfeicoamento de Pessoal de Nivel Superior) (AUXPEPRO-AMAZONIA-3312/2013/process n 23038.010315/2013-66), Programa Antartico Brasileiro (Brazilian Antarctic Program; PROANTAR process 407230/2013-0), and INCT (Institutos Nacionais de Ciencia e Tecnologia) Criosfera is acknowledged.</t>
  </si>
  <si>
    <t>10.1007/s00792-023-01298-z</t>
  </si>
  <si>
    <t>L7GP1</t>
  </si>
  <si>
    <t>WOS:001024909100001</t>
  </si>
  <si>
    <t>Dodino, S; Riccialdelli, L; Polito, MJ; Puetz, K; Rey, AR</t>
  </si>
  <si>
    <t>Dodino, Samanta; Riccialdelli, Luciana; Polito, Michael J.; Puetz, Klemens; Rey, Andrea Raya</t>
  </si>
  <si>
    <t>Variation in the trophic niche and food provisioning between the early and late chick-rearing stages in Magellanic penguins Spheniscus magellanicus at Martillo Island, Tierra del Fuego, Argentina</t>
  </si>
  <si>
    <t>MARINE BIOLOGY</t>
  </si>
  <si>
    <t>Food provisioning; Stable isotopes; Breeding season; Seabirds</t>
  </si>
  <si>
    <t>REPRODUCTIVE SUCCESS; ROCKHOPPER PENGUINS; FORAGING BEHAVIOR; STABLE-ISOTOPES; BEAGLE CHANNEL; SITE FIDELITY; INDIVIDUAL SPECIALIZATION; INTERANNUAL VARIATION; DIET; CARBON</t>
  </si>
  <si>
    <t>Variation in the foraging niche and parental provisioning behaviors of breeding seabirds have the potential to affect population dynamics (e.g. foraging success, breeding productivity, and ultimately population size). We sampled blood plasma of family' groups (females, males, and chicks) of Magellanic penguins (Spheniscus magellanicus) from Martillo Island, Argentina. We used stable isotope analyses on plasma samples to examine food provisioning, isotopic niche, trophic position, and diet composition of penguins between the early and late chick-rearing periods. We found clear differences in the isotopic niches of penguins between the two stages of the chick-rearing period related to shifts in foraging habitat and/or diet composition between stages. We found no evidence of individual consistency in isotopic niches or sex-specific selective provisioning by adults. In addition, we found high variability within family groups (accounting for 90% of the total isotopic variability). This study improves our understanding of the age, sex, individual, and breeding stage-specific trophic niches of Magellanic penguins, which may be helpful in projecting how they may respond to future environmental change (e.g., changes that affect prey availability).</t>
  </si>
  <si>
    <t>[Dodino, Samanta; Riccialdelli, Luciana; Rey, Andrea Raya] Consejo Nacl Invest Cient &amp; Tecn, Ctr Austral Invest Cient, Ecol &amp; Conservac Vida Silvestre, Ushuaia, Tierra Del Fueg, Argentina; [Polito, Michael J.] Louisiana State Univ, Dept Oceanog &amp; Coastal Sci, Baton Rouge, LA USA; [Puetz, Klemens] Antarctic Res Trust, Bremervorde, Germany; [Rey, Andrea Raya] Univ Nacl Tierra Fuego, Inst Ciencias Polares Ambiente &amp; Recursos Nat, Ushuaia, Tierra Del Fueg, Argentina; [Rey, Andrea Raya] Wildlife Conservat Soc, Buenos Aires, Argentina</t>
  </si>
  <si>
    <t>Consejo Nacional de Investigaciones Cientificas y Tecnicas (CONICET); Louisiana State University System; Louisiana State University</t>
  </si>
  <si>
    <t>Dodino, S (corresponding author), Consejo Nacl Invest Cient &amp; Tecn, Ctr Austral Invest Cient, Ecol &amp; Conservac Vida Silvestre, Ushuaia, Tierra Del Fueg, Argentina.</t>
  </si>
  <si>
    <t>sami.dodino@gmail.com</t>
  </si>
  <si>
    <t>Polito, Michael/G-9118-2012</t>
  </si>
  <si>
    <t>Polito, Michael/0000-0001-8639-4431</t>
  </si>
  <si>
    <t>0025-3162</t>
  </si>
  <si>
    <t>1432-1793</t>
  </si>
  <si>
    <t>MAR BIOL</t>
  </si>
  <si>
    <t>Mar. Biol.</t>
  </si>
  <si>
    <t>10.1007/s00227-023-04242-z</t>
  </si>
  <si>
    <t>J5EW1</t>
  </si>
  <si>
    <t>WOS:001009858000001</t>
  </si>
  <si>
    <t>Mbululo, Y; Jun, Q; Nyihirani, F; Yuan, ZX; Huang, SJ; Wang, YJ</t>
  </si>
  <si>
    <t>Mbululo, Yassin; Jun, Qin; Nyihirani, Fatuma; Yuan, Zhengxuan; Huang, Sijing; Wang, Yajuan</t>
  </si>
  <si>
    <t>Relationship between air pollutant distribution and large-scale circulation</t>
  </si>
  <si>
    <t>ENVIRONMENTAL SCIENCE-ADVANCES</t>
  </si>
  <si>
    <t>NORTH CHINA PLAIN; SOUTHERN-HEMISPHERE; CHEMICAL CHARACTERISTICS; ANTARCTIC OSCILLATION; PARTICULATE POLLUTION; SEASONAL VARIABILITY; MONSOON RAINFALL; PM2.5; HAZE; REANALYSIS</t>
  </si>
  <si>
    <t>The Antarctic Oscillation (AAO) has long been linked to the weather and climate of the Northern Hemisphere (NH); however, its linkage with pollutant distribution in China has seldom been discussed. In this study, using the boundary layer structure index (BLSI), NOAA-ESRL and NCEP/NCAR reanalysis data, the effect of boreal summer AAO on pollutant distribution was studied. Regarding the relationship between AAO and pollutant distribution, the Antarctic Oscillation Index (AAOI) was correlated with the dust surface mass concentration (DSMC) of PM2.5 over China, in which boreal summer (June and July) AAO signals (JJ-AAOI) were selected as the determinant leading factor in establishing a relationship with pollutants during boreal winter (from November to February). The results show that the average of JJ-AAOI has a significant correlation with the DSMC of PM2.5. August-October were the most significant months over the Antarctic, as indicated by their large coverage of significant areas compared to the coverage of other months. These findings imply that the signals of JJ-AAOI can be stored in Antarctic sea ice up to August-October before they affect the atmospheric boundary layer (ABL), which ultimately affects pollutant distribution in the end. The analysis of the relationship between the DSMC of PM2.5 and large-scale circulation first involved the use of the empirical orthogonal function (EOF) of the decomposed winter DSMC of PM2.5. The time series from the EOF1 analysis showed a wave train of four years of positive and negative (+, -, +), followed by a decadal negative value. Moreover, the analysis of the composite difference of meridional circulation between the years of high and low JJ-AAOI shows significant ascending and southerly anomalies at around 25 degrees N and 35 degrees N during the higher JJ-AAOI years. These results act as a good starting point for the effort to develop a comprehensive forecasting model for pollutant distribution. The leading mode of the singular value decomposition (SVD) of geopotential height (GPH) and boundary layer structure index (BLSI).</t>
  </si>
  <si>
    <t>[Mbululo, Yassin] Coll Nat &amp; Appl Sci, Dept Geog &amp; Environm Studies, POB 3038, Morogoro, Tanzania; [Mbululo, Yassin; Jun, Qin; Yuan, Zhengxuan; Huang, Sijing; Wang, Yajuan] China Univ Geosci Wuhan, Sch Environm Studies, Dept Atmospher Sci, Wuhan 430074, Hubei, Peoples R China; [Nyihirani, Fatuma] Mzumbe Univ, Inst Dev Studies, Ctr Environm Poverty &amp; Sustainable Dev, Morogoro, Tanzania</t>
  </si>
  <si>
    <t>Mbululo, Y (corresponding author), Coll Nat &amp; Appl Sci, Dept Geog &amp; Environm Studies, POB 3038, Morogoro, Tanzania.;Mbululo, Y (corresponding author), China Univ Geosci Wuhan, Sch Environm Studies, Dept Atmospher Sci, Wuhan 430074, Hubei, Peoples R China.</t>
  </si>
  <si>
    <t>ymbululo@sua.ac.tz</t>
  </si>
  <si>
    <t>huang, sijing/IYS-1040-2023</t>
  </si>
  <si>
    <t>2754-7000</t>
  </si>
  <si>
    <t>ENVIRON SCI-ADV</t>
  </si>
  <si>
    <t>Environ. Sci.-Adv.</t>
  </si>
  <si>
    <t>JUL 31</t>
  </si>
  <si>
    <t>10.1039/d3va00060e</t>
  </si>
  <si>
    <t>Y8HB8</t>
  </si>
  <si>
    <t>WOS:001107604700001</t>
  </si>
  <si>
    <t>Dedden, AV; Kemper, CM; Truong, G; McCurry, MR; van Ruth, PD; Rogers, TL</t>
  </si>
  <si>
    <t>Dedden, Adelaide V. V.; Kemper, Catherine M. M.; Truong, Gary; McCurry, Matthew R. R.; van Ruth, Paul D. D.; Rogers, Tracey L. L.</t>
  </si>
  <si>
    <t>Stable isotopes infer the diet and habitat of the enigmatic pygmy right whale (Caperea marginata) off southern Australia</t>
  </si>
  <si>
    <t>&amp; delta;N-15; &amp; delta;C-13; baleen; Bonney upwelling; Great Australian Bight; feeding; migration</t>
  </si>
  <si>
    <t>ANTARCTIC FUR SEALS; BALAENA-MYSTICETUS; NITROGEN ISOTOPES; FORAGING ECOLOGY; SEASONAL-CHANGES; FIN WHALE; BALEEN; CARBON; PICOPHYTOPLANKTON; MIGRATION</t>
  </si>
  <si>
    <t>In the Southern Hemisphere, baleen whales generally undertake migrations between productive feeding grounds at high latitudes and breeding grounds at lower latitudes. Pygmy right whales (Caperea marginata) (PRW) are the smallest and most enigmatic baleen whale, that likely forgo long-distance migrations, and instead inhabit temperate and subantarctic waters year-round. Previous research has relied on limited data from sighting and stranding records to infer the habitat use and diet of PRWs, however the absence of long-term and consistent data has left uncertainty surrounding these parameters. We utilized bulk stable isotopes of carbon (d C-13) and nitrogen (d N-15) in baleen from Australian PRWs (n = 14) to infer their diet and habitat use. Stable isotope values from 1980-2019 were then matched to remote sensed data from known upwelling regions (where they likely feed) to examine if their dietary patterns are related to changes in food web dynamics. We found that PRWs remained in mid-latitude waters year-round and showed no evidence of feeding in Antarctic waters. Rather, their isotopic record suggests they remain between coastal waters off southern Australia and the Subtropical Convergence, feeding on krill and copepods. Additionally, there was a weak positive relationship between PRW nitrogen stable isotope values and sea surface temperature (SST) from the eastern Great Australian Bight (GAB) and Bonney Upwelling. This suggests seasonal changes in their diet is possibly correlated to oceanographic changes which drive food-web dynamics in these regions. Unlike larger species of baleen whales that migrate further to highly productive waters in the Southern Ocean to meet their energetic demands, the small PRW, who only reach 6.5m, may sustain both feeding and breeding requirements at mid-latitudes. This is the first study to analyze long-term dietary and movement patterns of the PRW, providing an important contribution to our understanding of the species.</t>
  </si>
  <si>
    <t>[Dedden, Adelaide V. V.; Truong, Gary; Rogers, Tracey L. L.] Univ New South Wales, Evolut &amp; Ecol Res Ctr, Sch Biol Earth &amp; Environm Sci, Sydney, NSW, Australia; [Dedden, Adelaide V. V.; Truong, Gary; Rogers, Tracey L. L.] Univ New South Wales, Ctr Marine Sci &amp; Innovat, Sch Biol Earth &amp; Environm Sci, Sydney, NSW, Australia; [Kemper, Catherine M. M.] South Australian Museum, Adelaide, SA, Australia; [McCurry, Matthew R. R.] Australian Museum Res Inst, Sydney, NSW, Australia; [McCurry, Matthew R. R.] Univ New South Wales, Earth &amp; Sustainabil Sci Res Ctr, Sch Biol Earth &amp; Environm Sci, Sydney, NSW, Australia; [McCurry, Matthew R. R.] Smithsonian Inst, Natl Museum Nat Hist, Paleobiol, Washington, DC USA; [van Ruth, Paul D. D.] Univ Tasmania, Integrated Marine Observing Syst, Hobart, Tas, Australia</t>
  </si>
  <si>
    <t>University of New South Wales Sydney; University of New South Wales Sydney; South Australian Museum; Australian Museum; University of New South Wales Sydney; Smithsonian Institution; Smithsonian National Museum of Natural History; University of Tasmania</t>
  </si>
  <si>
    <t>Dedden, AV (corresponding author), Univ New South Wales, Evolut &amp; Ecol Res Ctr, Sch Biol Earth &amp; Environm Sci, Sydney, NSW, Australia.;Dedden, AV (corresponding author), Univ New South Wales, Ctr Marine Sci &amp; Innovat, Sch Biol Earth &amp; Environm Sci, Sydney, NSW, Australia.</t>
  </si>
  <si>
    <t>a.dedden@unsw.edu.au</t>
  </si>
  <si>
    <t>Winifred Scott Foundation</t>
  </si>
  <si>
    <t>We thank David Stemmer, the Collection Manager from the South Australian Museum for loaning baleen for stable isotope analysis and preparing the baleen and specimens for further study. We thank the many volunteers and State agency personnel who helped to collect the baleen. We are grateful to the mammal lab at UNSW for providing comments and feedback on draft manuscripts. We also thank Leanne and Lewis at the Bioanalytical Mass Spectrometry Facility at UNSW for their assistance in processing samples for stable isotope analysis. SST and chlorophyll a data was sourced from Australia's Integrated Marine Observing System (IMOS) - IMOS is enabled by the National Collaborative Research Infrastructure Strategy (NCRIS). Stable isotope analysis was funded by the Winifred Scott Foundation.</t>
  </si>
  <si>
    <t>10.3389/fmars.2023.1190623</t>
  </si>
  <si>
    <t>P0ZO1</t>
  </si>
  <si>
    <t>WOS:001048009000001</t>
  </si>
  <si>
    <t>Granata, A; Bergamasco, A; Zagami, G; Guglielmo, R; Bonanzinga, V; Minutoli, R; Geraci, A; Pagano, L; Swadling, K; Battaglia, P; Guglielmo, L</t>
  </si>
  <si>
    <t>Granata, Antonia; Bergamasco, Alessandro; Zagami, Giacomo; Guglielmo, Rosanna; Bonanzinga, Vincenzo; Minutoli, Roberta; Geraci, Andrea; Pagano, Luca; Swadling, Kerrie; Battaglia, Pietro; Guglielmo, Letterio</t>
  </si>
  <si>
    <t>Daily vertical distribution and diet of Cyclothone braueri (Gonostomatidae) in the Polcevera submarine canyon (Ligurian Sea, north-western Mediterranean)</t>
  </si>
  <si>
    <t>DEEP-SEA RESEARCH PART I-OCEANOGRAPHIC RESEARCH PAPERS</t>
  </si>
  <si>
    <t>Cyclothone braueri; Depth distribution; Diet; Copepods; Submarine canyon</t>
  </si>
  <si>
    <t>MESOPELAGIC FISHES; FEEDING ECOLOGY; ZOOPLANKTON COMMUNITY; STOMACH CONTENTS; TROPHIC ECOLOGY; PISCES MYCTOPHIDAE; SCATTERING LAYERS; TYRRHENIAN SEA; SPRING BLOOM; EASTERN GULF</t>
  </si>
  <si>
    <t>Despite its abundance, the role of Cyclothone braueri in intermediate mesopelagic food webs has been poorly investigated, notably its trophic behaviour in areas characterized by peculiar oceanographic and ecological features, such as submarine canyons. In this study, we investigated the diel feeding pattern of C. braueri in the Polcevera submarine canyon, in the Ligurian Sea. Stratified sampling from the surface to 1300 m was undertaken with a BIONESS every 6 h during a 24 h period. Stomach contents of 244 C. braueri specimens from 11.6 to 27.5 mm SL were examined. Calanoid copepods were the dominant taxa in the fish stomachs (98% of all copepods), with Pleuromamma abdominalis, Neocalanus gracilis, Pleuromamma gracilis and Euchaeta acuta being the main preys. Among the 20 identified copepod prey species, about 20% were typical of the epipelagic zone, while the remaining 80% usually live in mesopelagic waters. The low number of prey per stomach (average = 1.4) and high vacuity index (53%) indicated that this species had very low metabolic requirements (trophic level in this study was 3.03). Most of the full stomachs were found during the morning and afternoon in the upper mesopelagic zone (200-400 m), indicating two main periods of feeding activity per day. This study confirmed high abundance and biomass of C. braueri in Polcevera canyon compared to those of open ocean waters and raised the question of how the presence of the canyon affects migratory and trophic behaviours of this mesopelagic fish. Further analyses aimed at investigating the link between the hydrodynamic regime of the Polcevera canyon and the behaviour and trophic ecology of C. braueri are needed to address this question.</t>
  </si>
  <si>
    <t>[Granata, Antonia; Zagami, Giacomo; Bonanzinga, Vincenzo; Minutoli, Roberta; Geraci, Andrea] Univ Messina, Dept Chem Biol Pharmaceut &amp; Environm Sci, I-98166 Messina, Italy; [Bergamasco, Alessandro] Natl Res Council CNR ISMAR, Inst Marine Sci, Sect Venice, Castello 2737-F, I-30122 Venice, Italy; [Guglielmo, Rosanna] Ischia Marine Ctr, Dept Res Infrastruct Marine Biol Resources RIMAR, Stn Zool Anton Dohrn, I-80077 Naples, Italy; [Pagano, Luca; Battaglia, Pietro] Sicily Marine Ctr, Dept Integrat Marine Ecol, SZN, Stn Zool Anton Dohrn, Contrada Porticatello 29, I-98167 Messina, Italy; [Swadling, Kerrie] Univ Tasmania, Inst Marine &amp; Antarctic Studies, Hobart, Tas, Australia; [Swadling, Kerrie] Univ Tasmania, Inst Marine &amp; Antarctic Studies, Australian Antarctic Program Partnership, Hobart, Tas, Australia; [Guglielmo, Letterio] Integrat Marine Ecol Dept, Stn Zool Anton Dohrn, I-80121 Naples, Italy</t>
  </si>
  <si>
    <t>University of Messina; Consiglio Nazionale delle Ricerche (CNR); Istituto di Scienze Marine (ISMAR-CNR); Stazione Zoologica Anton Dohrn di Napoli; Stazione Zoologica Anton Dohrn di Napoli; University of Tasmania; University of Tasmania; Stazione Zoologica Anton Dohrn di Napoli</t>
  </si>
  <si>
    <t>Bergamasco, A (corresponding author), Natl Res Council CNR ISMAR, Inst Marine Sci, Sect Venice, Castello 2737-F, I-30122 Venice, Italy.</t>
  </si>
  <si>
    <t>alessandro.bergamasco@ve.ismar.cnr.it</t>
  </si>
  <si>
    <t>Battaglia, Pietro/X-2180-2019; Bergamasco, Alessandro/ABB-5648-2021</t>
  </si>
  <si>
    <t>Battaglia, Pietro/0000-0003-1822-7775; Bergamasco, Alessandro/0000-0003-3138-8418; GRANATA, Antonia/0000-0001-7016-6418</t>
  </si>
  <si>
    <t>0967-0637</t>
  </si>
  <si>
    <t>1879-0119</t>
  </si>
  <si>
    <t>DEEP-SEA RES PT I</t>
  </si>
  <si>
    <t>Deep-Sea Res. Part I-Oceanogr. Res. Pap.</t>
  </si>
  <si>
    <t>10.1016/j.dsr.2023.104113</t>
  </si>
  <si>
    <t>JUL 2023</t>
  </si>
  <si>
    <t>Q0TQ0</t>
  </si>
  <si>
    <t>WOS:001054730200001</t>
  </si>
  <si>
    <t>Yirmibesoglu, S; Ozsoy, B</t>
  </si>
  <si>
    <t>Yirmibesoglu, Sinan; Ozsoy, Burcu</t>
  </si>
  <si>
    <t>First observations of emperor penguins on Horseshoe Island, Antarctica</t>
  </si>
  <si>
    <t>Aptenodytes forsteri; sea ice; Antarctic Peninsula; Maguerite Island; moult; ice-dependent species</t>
  </si>
  <si>
    <t>APTENODYTES-FORSTERI; LOCATION; HABITAT; TRAVEL; MOLT; SEA</t>
  </si>
  <si>
    <t>This note reports observations of two moulting emperor penguins (Aptenodytes forsteri) on Horseshoe Island, West Antarctica, during the Seventh Turkish Antarctic Expedition in February 2023. This is the first time this species has been documented on this island. Emperor penguins largely depend on fast-ice to breed and moult. The Antarctic Peninsula hosts few emperor penguin colo-nies. Horseshoe Island has become one of the northernmost points along the western Antarctic Peninsula where emperor penguins are documented to moult.</t>
  </si>
  <si>
    <t>[Yirmibesoglu, Sinan; Ozsoy, Burcu] Sci &amp; Technol Res Council Turkiye, Polar Res Inst, Baris Mah 1, TR-41470 Gebze, Kocaeli, Turkiye; [Yirmibesoglu, Sinan; Ozsoy, Burcu] Istanbul Tech Univ, Maritime Fac, Istanbul, Turkiye</t>
  </si>
  <si>
    <t>Yirmibesoglu, S (corresponding author), Sci &amp; Technol Res Council Turkiye, Polar Res Inst, Baris Mah 1, TR-41470 Gebze, Kocaeli, Turkiye.</t>
  </si>
  <si>
    <t>yirmibesoglu16@itu.edu.tr</t>
  </si>
  <si>
    <t>Ozsoy, Burcu/AAH-5348-2020; Yirmibesoglu, Sinan/IQX-1187-2023</t>
  </si>
  <si>
    <t>Ozsoy, Burcu/0000-0003-4320-1796; Yirmibesoglu, Sinan/0000-0002-2328-5243</t>
  </si>
  <si>
    <t>Presidency of the Republic of Tuerkiye; Ministry of Industry and Technology and under the coordination of the Scientific and Technological Research Council of Turkiye, Polar Research Institute</t>
  </si>
  <si>
    <t>&amp; nbsp;This study was carried under the auspices of Presidency of the Republic of Tuerkiye, under the responsibility of the Ministry of Industry and Technology and under the coordination of the Scientific and Technological Research Council of Turkiye, Polar Research Institute. The authors thank Drs Burak Karacik and Atilla Yilmaz for their discovery on the island. They would like to thank the Norwegian Polar Institute for offering the Quantarctica programme free of charge. The authors appreciate the open data policy of NASA Worldview and Copernicus Sentinel-2.</t>
  </si>
  <si>
    <t>10.33265/polar.v42.9556</t>
  </si>
  <si>
    <t>P4YT2</t>
  </si>
  <si>
    <t>WOS:001050742000001</t>
  </si>
  <si>
    <t>Singh, A; Fietz, S; Thomalla, SJ; Sanchez, N; Ardelan, MV; Moreau, S; Kauko, HM; Fransson, A; Chierici, M; Samanta, S; Mtshali, TN; Roychoudhury, AN; Ryan-Keogh, TJ</t>
  </si>
  <si>
    <t>Singh, Asmita; Fietz, Susanne; Thomalla, Sandy J.; Sanchez, Nicolas; Ardelan, Murat V.; Moreau, Sebastien; Kauko, Hanna M.; Fransson, Agneta; Chierici, Melissa; Samanta, Saumik; Mtshali, Thato N.; Roychoudhury, Alakendra N.; Ryan-Keogh, Thomas J.</t>
  </si>
  <si>
    <t>Absence of photophysiological response to iron addition in autumnphytoplankton in the Antarctic sea-ice zone</t>
  </si>
  <si>
    <t>SOUTHERN-OCEAN PHYTOPLANKTON; PHOTOSYNTHETIC ELECTRON-TRANSPORT; EXPORT EXPERIMENT CROZEX; DISSOLVED IRON; COMMUNITY STRUCTURE; LIGHT INTERACTIONS; FERTILIZATION EXPERIMENT; SEASONAL CYCLE; LIMITATION; GROWTH</t>
  </si>
  <si>
    <t>The high nutrient-low chlorophyll condition of the Southern Ocean is generally thought to be caused by the low bioavailability of micronutrients, particularly iron, which plays an integral role in phytoplankton photosynthesis. Nevertheless, the Southern Ocean experiences seasonal blooms that generally initiate in austral spring, peak in summer, and extend into autumn. This seasonal increase in primary productivity is typically linked to the seasonal characteristics of nutrient and light supply. To better understand the potential limitations on productivity in the Antarctic sea-ice zone (SIZ), the photophysiological response of phytoplankton to iron addition (2.0 nM FeCl3) was investigated during autumn along the Antarctic coast off Dronning Maud Land. Five short-term (24 h) incubation experiments were conducted around Astrid Ridge (68 &amp; LCIRC; S) and along a 6 &amp; LCIRC; E transect, where an autumn bloom was identified in the region of the western SIZ. Surface iron concentrations ranged from 0.27 to 1.39 nM around Astrid Ridge, and 0.56 to 0.63 nM along the 6 &amp; LCIRC; E transect. Contrary to expectation, the photophysiological response of phytoplankton to iron addition, measured through the photosynthetic efficiency and the absorption cross-section for photosystem II, showed no significant responses. It is thus proposed that since the autumn phytoplankton in the SIZ exhibited a lack of an iron limitation at the time of sampling, the ambient iron concentrations may have been sufficient to fulfil the cellular requirements. This provides new insights into extended iron replete post-bloom conditions in the typically assumed iron deficient high nutrient-low chlorophyll Southern Ocean.</t>
  </si>
  <si>
    <t>[Singh, Asmita; Fietz, Susanne; Samanta, Saumik; Roychoudhury, Alakendra N.] Univ Stellenbosch, Dept Earth Sci, Stellenbosch, South Africa; [Singh, Asmita; Thomalla, Sandy J.; Ryan-Keogh, Thomas J.] CSIR, Southern Ocean Carbon Climate Observ, Cape Town, South Africa; [Sanchez, Nicolas; Ardelan, Murat V.] Norwegian Univ Sci &amp; Technol NTNU, Dept Chem, Trondheim, Norway; [Moreau, Sebastien; Kauko, Hanna M.; Fransson, Agneta] Norwegian Polar Inst NPI, Tromso, Norway; [Moreau, Sebastien] Arctic Univ Norway, Ctr Ice Cryosphere Carbon &amp; Climate, Dept Geosci, UiT, Tromso, Norway; [Chierici, Melissa] Inst Marine Res, Fram Ctr, Tromso, Norway; [Mtshali, Thato N.] Oceans &amp; Coasts, Dept Forestry Fisheries &amp; Environm, Cape Town, South Africa; [Thomalla, Sandy J.] Univ Cape Town, Marine &amp; Antarctic Res Innovat &amp; Sustainabil, Cape Town, South Africa</t>
  </si>
  <si>
    <t>Stellenbosch University; Council for Scientific &amp; Industrial Research (CSIR) - South Africa; Norwegian University of Science &amp; Technology (NTNU); Norwegian Polar Institute; UiT The Arctic University of Tromso; Institute of Marine Research - Norway; University of Cape Town</t>
  </si>
  <si>
    <t>Ryan-Keogh, TJ (corresponding author), CSIR, Southern Ocean Carbon Climate Observ, Cape Town, South Africa.</t>
  </si>
  <si>
    <t>tryankeogh@csir.co.za</t>
  </si>
  <si>
    <t>Samanta, Saumik/GYQ-8988-2022; Fietz, Susanne/A-8695-2012</t>
  </si>
  <si>
    <t>Fietz, Susanne/0000-0003-0896-8385; Moreau, Sebastien/0000-0001-9446-812X; Thomalla, Sandy/0000-0002-6802-520X</t>
  </si>
  <si>
    <t>National Research Foundation (NRF), South Africa [UID 118715]; Research Council of Norway (RCN) [288370]; Norwegian Polar Institute (NPI); Norwegian Ministry of Foreign Affairs; CSIR's Southern Ocean Carbon-Climate Observatory (SOCCO) Programme; Department of Science and Innovation [DST/CON 0182/2017]; CSIR's Parliamentary Grant; National Research Foundation, South Africa [110731, 91313, 118751, 110729]</t>
  </si>
  <si>
    <t>National Research Foundation (NRF), South Africa(National Research Foundation - South Africa); Research Council of Norway (RCN)(Research Council of Norway); Norwegian Polar Institute (NPI); Norwegian Ministry of Foreign Affairs; CSIR's Southern Ocean Carbon-Climate Observatory (SOCCO) Programme; Department of Science and Innovation; CSIR's Parliamentary Grant; National Research Foundation, South Africa(National Research Foundation - South AfricaSouth African Medical Research Council)</t>
  </si>
  <si>
    <t>The research expedition, Dronning Maud Land Ecosystem Cruise 2019, and the research conducted on the R/V Kronprins Haakon were part of a South African-Norwegian collaboration (SANOCEAN SOPHY-CO2), funded by the National Research Foundation (NRF), South Africa (grant UID 118715); the Research Council of Norway (RCN; project number 288370); and the Norwegian Polar Institute (NPI), as well as additional financial support from the Norwegian Ministry of Foreign Affairs. Asmita Singh, Sandy J. Thomalla, and Thomas J. Ryan-Keogh were supported through the CSIR's Southern Ocean Carbon-Climate Observatory (SOCCO) Programme (http://socco.org.za/, last access: 25 July 2023) funded by the Department of Science and Innovation (DST/CON 0182/2017) and the CSIR's Parliamentary Grant. Funding was received from a number of grants from the National Research Foundation, South Africa: grant numbers 110731 (Su-sanne Fietz), 91313 (Susanne Fietz), 118751 (Sandy J. Thomalla), and 110729 (Sandy J. Thomalla).</t>
  </si>
  <si>
    <t>10.5194/bg-20-3073-2023</t>
  </si>
  <si>
    <t>N9UM3</t>
  </si>
  <si>
    <t>WOS:001040376900001</t>
  </si>
  <si>
    <t>Descalzo, M; Daneri, GA; Harrington, A; Negrete, J; Negri, A; Corbalan, A; Barrera-Oro, E</t>
  </si>
  <si>
    <t>Descalzo, Mariana; Daneri, Gustavo A.; Harrington, Ana; Negrete, Javier; Negri, Agustina; Corbalan, Aldo; Barrera-Oro, Esteban</t>
  </si>
  <si>
    <t>The relevance of fish in the summer diet of the Antarctic fur seal (Arctocephalus gazella) at Hope Bay, Antarctic Peninsula and Stranger Point, South Shetland Islands (vol 46, 819, 2023)</t>
  </si>
  <si>
    <t>[Descalzo, Mariana; Daneri, Gustavo A.; Negri, Agustina; Barrera-Oro, Esteban] Consejo Nacl Invest Cient &amp; Tecn CONICET, Museo Argentino Ciencias Nat Bernardino Rivadavia, Av Angel Gallardo 470, Buenos Aires, Argentina; [Harrington, Ana] Univ Buenos Aires, Consejo Nacl Invest Cient &amp; Tecn CONICET, Inst Invest Prod Anim INPA, Av Chorroarin 280, Buenos Aires, Argentina; [Negrete, Javier; Corbalan, Aldo] Inst Antartico Argentino, Dept Biol Predadores Tope, Av 25 Mayo 1143, RA-1143 Buenos Aires, San Martin, Argentina; [Negrete, Javier] Univ Nacl La Plata, Fac Ciencias Nat &amp; Museo, Casco Urbano B1900, La Plata, Argentina</t>
  </si>
  <si>
    <t>Museo Argentino de Ciencias Naturales Bernardino Rivadavia (MACN); Consejo Nacional de Investigaciones Cientificas y Tecnicas (CONICET); University of Buenos Aires; Consejo Nacional de Investigaciones Cientificas y Tecnicas (CONICET); Instituto Antartico Argentino; National University of La Plata; Museo La Plata</t>
  </si>
  <si>
    <t>Descalzo, M (corresponding author), Consejo Nacl Invest Cient &amp; Tecn CONICET, Museo Argentino Ciencias Nat Bernardino Rivadavia, Av Angel Gallardo 470, Buenos Aires, Argentina.</t>
  </si>
  <si>
    <t>meldes@gmail.com</t>
  </si>
  <si>
    <t>Negrete, Javier/0000-0001-6853-8307; Daneri, Gustavo/0000-0003-0366-5828; Negri, Agustina/0000-0002-8694-5296</t>
  </si>
  <si>
    <t>10.1007/s00300-023-03183-z</t>
  </si>
  <si>
    <t>WOS:001040829100001</t>
  </si>
  <si>
    <t>Aoki, S; Yamazaki, K; Hirano, D; Nomura, D; Murase, H</t>
  </si>
  <si>
    <t>Aoki, Shigeru; Yamazaki, Kaihe; Hirano, Daisuke; Nomura, Daiki; Murase, Hiroto</t>
  </si>
  <si>
    <t>Distribution of stable oxygen isotope in seawater and implication on freshwater cycle off the coast from Wilkes to George V Land, East Antarctica</t>
  </si>
  <si>
    <t>Stable oxygen isotope; Southern Ocean; East Antarctica; Antarctic Slope Current; Antarctic Circumpolar Current; Circumpolar Deep Water; Sea ice melt; Meteoric water</t>
  </si>
  <si>
    <t>ICE SHELVES; MASS-LOSS; SEA; VARIABILITY; OCEAN; BALANCE; DRIVEN; RISE; BAY</t>
  </si>
  <si>
    <t>To investigate the cross-slope freshwater exchange in the Australian-Antarctic Basin between 80 and 150 degrees E, the stable oxygen isotopic ratio (818O) was evaluated based on top-to-bottom hydrographic sections by R/V KaiyoMaru in 2018/2019 summer. The southern flank of the Antarctic Circumpolar Current (ACC) flows eastward in the north and the Antarctic Slope Current (ASC) flows westward along the continental slope in the south of the analysis domain. Continental shelf regions including the area off Sabrina Coast were also studied. We obtained the spatial 818O structure characteristics of water masses that were transformed by freshwater input from the highest Circumpolar Deep-Water value. 818O-salinity relationship in the near-surface layer revealed a regional difference between the upper and lower continental slopes. The fractions of sea ice melt and meteoric water were estimated using mass-balance calculations assuming constant endmembers with no spatial and temporal variabilities. The fraction of sea ice meltwater was usually highest at the surface and rapidly decreased to the temperature minimum layer, while the meteoric water fraction was also highest at the surface, gradually decreasing to the temperature maximum layer. The meteoric water fraction is usually high on the upper slope and continental shelf. The area-average of sea ice meltwater integrated above the temperature minimum is about 0.7 m water-equivalent, with large accumulation off and downstream of the coastal polynyas. Given the projected future glacial ice discharge and sea ice cover changes, repeated 818O measurement is crucial to implicate the future response of the freshwater cycle closer to the Antarctic continental shelf.</t>
  </si>
  <si>
    <t>[Aoki, Shigeru] Hokkaido Univ, Inst Low Temp Sci, Sapporo, Japan; [Yamazaki, Kaihe; Hirano, Daisuke] Natl Inst Polar Res, Tachikawa, Japan; [Nomura, Daiki] Hokkaido Univ, Fac Grad Fisheries Sci, Hakodate, Japan; [Nomura, Daiki] Hokkaido Univ, Field Sci Ctr Northern Biosphere, Hakodate, Japan; [Nomura, Daiki] Hokkaido Univ, Arctic Res Ctr, Sapporo, Japan; [Murase, Hiroto] Tokyo Univ Marine Sci &amp; Technol, Tokyo, Japan</t>
  </si>
  <si>
    <t>Hokkaido University; Research Organization of Information &amp; Systems (ROIS); National Institute of Polar Research (NIPR) - Japan; Hokkaido University; Hokkaido University; Hokkaido University; Tokyo University of Marine Science &amp; Technology</t>
  </si>
  <si>
    <t>Aoki, S (corresponding author), Hokkaido Univ, Inst Low Temp Sci, Sapporo, Japan.</t>
  </si>
  <si>
    <t>shigeru@lowtem.hokudai.ac.jp</t>
  </si>
  <si>
    <t>Yamazaki, Kaihe/0000-0003-3631-5365</t>
  </si>
  <si>
    <t>JSPS KAKENHI [21H04918]</t>
  </si>
  <si>
    <t>JSPS KAKENHI(Ministry of Education, Culture, Sports, Science and Technology, Japan (MEXT)Japan Society for the Promotion of ScienceGrants-in-Aid for Scientific Research (KAKENHI))</t>
  </si>
  <si>
    <t>This study was conducted as part of a multidisciplinary ecosystem survey in the eastern Indian sector of the Antarctic (CCAMLR [Commission for the Conservation of Antarctic Marine Living Resources] Division 58.4.1) with a focus on Antarctic krill. We thank the officers, crew, and researchers onboard R/V Kaiyo-Maru (2942 GT, Fisheries Agency of Japan) for their assistance with this survey. KY1804 (acronym for the fourth survey of R/V Kaiyo-Maru during the Japanese fiscal year 2018) survey was supported by the Institute of Cetacean Research, Japan Fisheries Research and Education Agency, and Fisheries Agencyof Japan. We also thank Megumi Kitagawa for conducting the sample analysis. This work was funded by JSPS KAKENHI (Grant Number 21H04918) . The scripts utilized for the analysis and figure generation are available with the corresponding author upon reasonable request. 618O data are available from the National Institute of Polar Research repository (https://ads.nipr.ac.jp/dataset/A20230718-001) . The authors declare that they have no conflicts of interest.</t>
  </si>
  <si>
    <t>10.1016/j.pocean.2023.103101</t>
  </si>
  <si>
    <t>P7AJ6</t>
  </si>
  <si>
    <t>WOS:001052160300001</t>
  </si>
  <si>
    <t>Barragán-Barrera, DC; Riet-Sapriza, FG; Mojica-Moncada, DF; Negrete, J; Curtosi, A; Bustamante, P; Caballero, S; Luna-Acosta, A</t>
  </si>
  <si>
    <t>Barragan-Barrera, Dalia C.; Riet-Sapriza, Federico G.; Mojica-Moncada, Diego F.; Negrete, Javier; Curtosi, Antonio; Bustamante, Paco; Caballero, Susana; Luna-Acosta, Andrea</t>
  </si>
  <si>
    <t>Sex-specific mercury levels in skin samples of southern elephant seals (Mirounga leonina) at Isla 25 de Mayo (King George Island), Antarctic Peninsula</t>
  </si>
  <si>
    <t>Antarctica; contamination; elephant seal; heavy metals; Hg; mercury; pinnipeds; South Shetland Islands</t>
  </si>
  <si>
    <t>DOLPHINS TURSIOPS-TRUNCATUS; ADMIRALTY BAY; ENHANCED BIOACCUMULATION; SMALL CETACEANS; HAIR; SELENIUM; HABITS; WHALES; IMPACT</t>
  </si>
  <si>
    <t>The southern elephant seal (SES; Mirounga leonina) has a circumpolar distribution, breeding mainly on sub-Antarctic islands and making long trips between breeding or molting and foraging areas. Most individuals from colonies in the South Shetland Islands (western Antarctic Peninsula; WAP) are distributed in Antarctic Specially Protected Areas (ASPA). Despite these protected habitats, pollutants can reach such remote areas far away from emission sources, affecting local fauna. To assess possible mercury (Hg) contamination in SES, we analyzed skin samples collected from free-ranging molting individuals using the remote biopsy PAXARMS system in Isla 25 de Mayo/King George Island (62 &amp; DEG;15 &amp; PRIME;S, 58 &amp; DEG;39 &amp; PRIME;W; ASPA 132). Hairless skin samples were analyzed to determine total-Hg (THg) concentrations, which ranged between 145 ng/g and 1,915 ng/g (M = 730, SD = 388 ng/g), showing significant differences between sexes, with adult-females having higher concentrations (range = 306-1,915, M = 859, SD = 427 ng/g dw) than subadult-males (range = 145-1,645, M = 629, SD = 329 ng/g dw). These differences may be explained mainly by feeding-niche partitioning between sexes. Females prefer mesopelagic prey or prey associated with sea-ice in the WAP, which are enriched in methylmercury. These results provide insight regarding Hg contamination in top Antarctic predators like SES, and the need to monitor for potential effects of Hg contamination in Antarctic marine mammals.</t>
  </si>
  <si>
    <t>[Barragan-Barrera, Dalia C.; Luna-Acosta, Andrea] Pontificia Univ Javeriana, Inst Javeriano Agua, Bogota, Colombia; [Barragan-Barrera, Dalia C.] Ctr Invest Oceanograf &amp; Hidrograf Caribe CIOH, Direcc Gen Maritima, Cartagena De Indias, Colombia; [Barragan-Barrera, Dalia C.; Riet-Sapriza, Federico G.; Caballero, Susana] Univ Los Andes, Dept Ciencias Biol, Lab Ecol Mol Vertebrados Acuat LEMVA, Bogota, Colombia; [Barragan-Barrera, Dalia C.] R&amp;E Ocean Community Conservat, Oakville, ON, Canada; [Barragan-Barrera, Dalia C.] Fdn Macuat Colombia, Medellin, Colombia; [Barragan-Barrera, Dalia C.; Mojica-Moncada, Diego F.; Caballero, Susana; Luna-Acosta, Andrea] Comis Colombiana Oceano, Programa Antart Colombiano, Bogota, Colombia; [Riet-Sapriza, Federico G.] Vida Silvestre Uruguay, Montevideo, Uruguay; [Mojica-Moncada, Diego F.] Assoc Polar Early Career Scientists Colombia APECS, Bogota, Colombia; [Negrete, Javier] Inst Antart Argentino, Dept Biol Predadores Tope, Buenos Aires, Argentina; [Negrete, Javier] Consejo Nacl Invest Cient &amp; Tecn CONICET, Buenos Aires, Argentina; [Curtosi, Antonio] Inst Antartico Argentino, Direcc Nacl Antart, Buenos Aires, Argentina; [Bustamante, Paco] La Rochelle Univ, LIttoral Environm &amp; Soc LIENSs, La Rochelle, France; [Bustamante, Paco] Inst Univ France IUF, Paris, France; [Luna-Acosta, Andrea] Pontificia Univ Javeriana, Fac Estudios Ambientales &amp; Rurales, Dept Ecol &amp; Terr, Bogota, Colombia; [Barragan-Barrera, Dalia C.] Pontificia Univ Javeriana, Inst Javerianodel Agua, Carrera 7 40-62, Bogota, Colombia</t>
  </si>
  <si>
    <t>Pontificia Universidad Javeriana; Universidad de los Andes (Colombia); Instituto Antartico Argentino; Consejo Nacional de Investigaciones Cientificas y Tecnicas (CONICET); Instituto Antartico Argentino; Institut Universitaire de France; Pontificia Universidad Javeriana; Pontificia Universidad Javeriana</t>
  </si>
  <si>
    <t>Barragán-Barrera, DC (corresponding author), Pontificia Univ Javeriana, Inst Javerianodel Agua, Carrera 7 40-62, Bogota, Colombia.</t>
  </si>
  <si>
    <t>daliac.barraganbarrera@gmail.com</t>
  </si>
  <si>
    <t>Bustamante, Paco/G-5833-2011</t>
  </si>
  <si>
    <t>Bustamante, Paco/0000-0003-3877-9390; Caballero, Susana/0000-0002-9285-3873; Barragan-Barrera, Dalia C./0000-0003-4023-9908</t>
  </si>
  <si>
    <t>Facultad de Ciencias, Universidad de los Andes; Instituto Antartico Argentino; Scientific Committee on Antarctic Research - SCAR; Society for Marine Mammalogy</t>
  </si>
  <si>
    <t>Facultad de Ciencias, Universidad de los Andes; Instituto Antartico Argentino;Scientific Committee on Antarctic Research - SCAR; Society for Marine Mammalogy</t>
  </si>
  <si>
    <t>10.1111/mms.13058</t>
  </si>
  <si>
    <t>WOS:001039399000001</t>
  </si>
  <si>
    <t>Koo, MH; Kim, EJ; Lee, JH; Han, SJ; Lee, YM; Lee, SL; Youn, UJ</t>
  </si>
  <si>
    <t>Koo, Man Hyung; Kim, Eun Jae; Lee, Jun Hyuck; Han, Se Jong; Lee, Yung Mi; Lee, Seulah; Youn, Ui Joung</t>
  </si>
  <si>
    <t>Cyclic dipeptides and alkaloids from the rare actinobacteria Streptacidiphilus carbonis isolated from Sphaerophorus globosus (Huds.) Vain.</t>
  </si>
  <si>
    <t>BIOCHEMICAL SYSTEMATICS AND ECOLOGY</t>
  </si>
  <si>
    <t>Streptacidiphilus carbonis; Actinobacteria; Cyclic dipeptide; Streptomycetaceae; Antarctic bacteria</t>
  </si>
  <si>
    <t>STREPTOMYCES; DIKETOPIPERAZINE; METABOLITES; BACTERIA</t>
  </si>
  <si>
    <t>Eight compounds were isolated from the rare actinobacteria Streptacidiphilus carbonis isolated from the lichen Sphaerophorus globosus (Huds.) Vain. collected from the Antarctic. The isolated compounds include four cyclic dipeptides (1-4) and four alkaloids (5-8), and the structures of these compounds were determined by spectro-scopic analysis of NMR and MS, and by comparing with the reported data. All of the isolates (1-8) were reported for the first time from S. carbonis. The chemotaxonomical significance of the isolated constituents is also discussed.</t>
  </si>
  <si>
    <t>[Koo, Man Hyung; Lee, Jun Hyuck] Korea Polar Res Inst, Res Unit Cryogen Novel Mat, Incheon 21990, South Korea; [Kim, Eun Jae; Han, Se Jong; Lee, Yung Mi; Youn, Ui Joung] Korea Polar Res Inst, Div Life Sci, Incheon 21990, South Korea; [Lee, Jun Hyuck; Han, Se Jong; Youn, Ui Joung] Univ Sci &amp; Technol, Dept Polar Sci, Incheon 21990, South Korea; [Lee, Seulah] Kyung Hee Univ, Coll Life Sci, Dept Oriental Med Biotechnol, Yongin 17104, South Korea</t>
  </si>
  <si>
    <t>Korea Polar Research Institute (KOPRI); Korea Polar Research Institute (KOPRI); Kyung Hee University</t>
  </si>
  <si>
    <t>Youn, UJ (corresponding author), Korea Polar Res Inst, Div Life Sci, Incheon 21990, South Korea.;Lee, SL (corresponding author), Kyung Hee Univ, Coll Life Sci, Dept Oriental Med Biotechnol, Yongin 17104, South Korea.</t>
  </si>
  <si>
    <t>lee.seulah@khu.ac.kr; ujyoun@kopri.re.kr</t>
  </si>
  <si>
    <t>Korea Institute of Marine amp; Technology Promotion (KIMST) - Ministry of Oceans and Fish- eries, Korea [KIMST PM23030]</t>
  </si>
  <si>
    <t>Korea Institute of Marine amp; Technology Promotion (KIMST) - Ministry of Oceans and Fish- eries, Korea</t>
  </si>
  <si>
    <t>This work was supported by Korea Institute of Marine &amp; Technology Promotion (KIMST) grant funded by the Ministry of Oceans and Fish- eries, Korea (KIMST PM23030) .</t>
  </si>
  <si>
    <t>0305-1978</t>
  </si>
  <si>
    <t>1873-2925</t>
  </si>
  <si>
    <t>BIOCHEM SYST ECOL</t>
  </si>
  <si>
    <t>Biochem. Syst. Ecol.</t>
  </si>
  <si>
    <t>10.1016/j.bse.2023.104709</t>
  </si>
  <si>
    <t>Biochemistry &amp; Molecular Biology; Ecology; Evolutionary Biology</t>
  </si>
  <si>
    <t>Biochemistry &amp; Molecular Biology; Environmental Sciences &amp; Ecology; Evolutionary Biology</t>
  </si>
  <si>
    <t>O9IF0</t>
  </si>
  <si>
    <t>WOS:001046875800001</t>
  </si>
  <si>
    <t>de Lima, RC; de Albernaz, TL; Secchi, ER; Cebuhar, JD; Botta, S</t>
  </si>
  <si>
    <t>de Lima, Renan C. C.; de Albernaz, Thaise L. L.; Secchi, Eduardo R. R.; Cebuhar, Julieta D. D.; Botta, Silvina</t>
  </si>
  <si>
    <t>Feeding habits of South American and sub-Antarctic fur seals during their nonbreeding season in the southwestern Atlantic Ocean</t>
  </si>
  <si>
    <t>Arctocephalus australis; Arctocephalus tropicalis; diet; feeding ecology; long-term analysis; marine debris; stomach contents</t>
  </si>
  <si>
    <t>MARINE DEBRIS INGESTION; BRAZIL-MALVINAS CONFLUENCE; GENDER-RELATED VARIATION; SUBTROPICAL SHELF FRONT; ARCTOCEPHALUS-GAZELLA; FORAGING STRATEGIES; PLASTIC INGESTION; DIET; ECOLOGY; COAST</t>
  </si>
  <si>
    <t>Stomach contents of South American (Arctocephalus australis) (n = 219) (SAFS) and sub-Antarctic (A. tropicalis) (n = 37) (SFS) fur seals were opportunistically sampled from 1980 to 2021 to examine their feeding habits and resource partitioning in southern Brazil while in their nonreproductive periods. SAFSs mainly consumed abundant coastal pelagic species, such as Anchoa marinii and Doryteuthis sanpaulensis, resulting in high sexual trophic niche overlap. The frequency of occurrence (%FO) of fish prey, especially the overexploited Micropogonias furnieri, decreased between 1980-1992 and 2007-2021, while squid increased. For SFSs, offshore squids such as Ommastrephes bartramii and Illex argentinus were the most important prey considering both sexes in the long-term. The interspecific trophic niche overlap was low, but it is likely underestimated since it increased with the inclusion of scat samples from SFSs. This sample-size effect was also observed in Shannon's diversity index, which was lower for underrepresented SFSs. Marine debris ingestion was detected in both species (SAFS %FO = 2.7; SFS %FO = 8.3), with only flexible plastic material found. This study brings novel information on feeding habits of fur seal species in the extreme south of Brazil, as well as unprecedented information about their ecology during the nonreproductive period.</t>
  </si>
  <si>
    <t>[de Lima, Renan C. C.; Cebuhar, Julieta D. D.] Univ Fed Rio Grande, Inst Oceanog, Lab Ecol &amp; Conservacao Megafauna Marinha, Ave Italia Km8 S-N, BR-96203900 Rio Grande, Brazil; [de Lima, Renan C. C.; Secchi, Eduardo R. R.; Cebuhar, Julieta D. D.; Botta, Silvina] Univ Fed Rio Grande, Programa Posgrad Oceanog Biol, Inst Oceanog, Rio Grande, Brazil; [de Albernaz, Thaise L. L.] Inst Australis, Itapiruba, Brazil; [de Albernaz, Thaise L. L.] Univ Fed Santa Catarina, Programa Posgrad Ecol, Florianopolis, Brazil</t>
  </si>
  <si>
    <t>Universidade Federal do Rio Grande; Universidade Federal do Rio Grande; Universidade Federal de Santa Catarina (UFSC)</t>
  </si>
  <si>
    <t>de Lima, RC (corresponding author), Univ Fed Rio Grande, Inst Oceanog, Lab Ecol &amp; Conservacao Megafauna Marinha, Ave Italia Km8 S-N, BR-96203900 Rio Grande, Brazil.</t>
  </si>
  <si>
    <t>renancdl@gmail.com</t>
  </si>
  <si>
    <t>Lima, Renan/ISS-9775-2023; Secchi, Eduardo/D-5038-2013</t>
  </si>
  <si>
    <t>Lima, Renan/0000-0002-9311-7085; Secchi, Eduardo/0000-0001-9087-9909</t>
  </si>
  <si>
    <t>Fundo Brasileiro para a Biodiversidade (FUNBIO); Society for Marine Mammalogy Small Grants in Aid of Research; Yaqu Pacha</t>
  </si>
  <si>
    <t>10.1111/mms.13049</t>
  </si>
  <si>
    <t>WOS:001039040300001</t>
  </si>
  <si>
    <t>Loizaga, R; García, NA; Durante, CA; Vales, DG; Crespo, EA</t>
  </si>
  <si>
    <t>Loizaga, Rocio; Garcia, Nestor A.; Durante, Cristian A.; Vales, Damian G.; Crespo, Enrique A.</t>
  </si>
  <si>
    <t>Killer whales at northern Patagonia, Argentina: Evidence of different foraging groups from stable isotopes</t>
  </si>
  <si>
    <t>cetaceans; feeding ecology; marine mammals; Orcinus orca; southwestern Atlantic Ocean; stable isotopes; top predator</t>
  </si>
  <si>
    <t>BEAKED COMMON DOLPHINS; SOUTHERN SEA LION; ORCINUS-ORCA; MARINE MAMMALS; FOOD-WEB; FEEDING ECOLOGY; DIET; POPULATION; RATIOS; CARBON</t>
  </si>
  <si>
    <t>Killer whales (Orcinus orca) are highly mobile, large marine apex predators that inhabit all oceans. Despite being the most conspicuous top predator, little is known about their ecology along Patagonia, Argentina. Here, we used carbon (&amp; delta;C-13) and nitrogen (&amp; delta;N-15) isotope analysis of bone and dentine collagen from killer whales (n = 13) stranded in northern Patagonia during the period 1970-2014 to assess their trophic ecology. A model-based clustering analysis identified three distinct groups related with three large marine ecosystems: the Patagonia (P), Subtropical (ST), and Antarctica (A) groups. Group P (n = 8) is characterized by individuals with high &amp; delta;C-13 and &amp; delta;N-15 values fitting within the isotopic ratios observed over the Patagonian shelf. Group ST (n = 3) is composed of individuals with high &amp; delta;C-13 and low &amp; delta;N-15 values, similar to those reported for conspecifics in southern Brazil. Group A (n = 2) is composed of individuals with low &amp; delta;C-13 and &amp; delta;N-15 values, typical from high latitude areas like sub-Antarctic/Antarctic waters. The finding of different killer whales' isotopic groups over the Patagonian shelf suggests the existence of individuals or groups exploiting different habitats. Our results expand the limited ecological knowledge for the species while presenting the basis to infer more complex ecological hypotheses.</t>
  </si>
  <si>
    <t>[Loizaga, Rocio; Garcia, Nestor A.; Durante, Cristian A.; Vales, Damian G.; Crespo, Enrique A.] Ctr Estudio Sistemas Marinos CESIMAR CONICET, Lab Mamiferos Marinos, Puerto Madryn, Chubut, Argentina; [Loizaga, Rocio] Ctr Estudio Sistemas Marinos CESIMAR CONICET, Lab Mamiferos Marinos, Blvd 2915 U9120ACD, Puerto Madryn, Chubut, Argentina</t>
  </si>
  <si>
    <t>Loizaga, R (corresponding author), Ctr Estudio Sistemas Marinos CESIMAR CONICET, Lab Mamiferos Marinos, Blvd 2915 U9120ACD, Puerto Madryn, Chubut, Argentina.</t>
  </si>
  <si>
    <t>rocio@cenpat-conicet.gob.ar</t>
  </si>
  <si>
    <t>; Crespo, Enrique/Q-5487-2018</t>
  </si>
  <si>
    <t>Vales, Damian G./0000-0002-6252-1616; Crespo, Enrique/0000-0001-9216-7817; Durante, Cristian Alberto/0000-0003-3879-6529; Loizaga, Rocio/0000-0001-5270-7401; Garcia, Nestor Anibal/0000-0002-3178-7534</t>
  </si>
  <si>
    <t>Chubut, Argentina [11679, 33934]; Mohamed Bin Zayed Species Conservation Fund; PICTs [11679, 33934, 2110, 2063]; PIP CONICET</t>
  </si>
  <si>
    <t>Chubut, Argentina; Mohamed Bin Zayed Species Conservation Fund; PICTs; PIP CONICET(Consejo Nacional de Investigaciones Cientificas y Tecnicas (CONICET))</t>
  </si>
  <si>
    <t>We are indebted to all who collaborated in sampling: Juan Carlos Lopez, Marcelo Carrera, Rafael Benegas, Guillermo Harris, Manolo Arias, Matias Romero Zapiola, Guillermo Pats, and Eduardo Secchi (Universidade Federal do Rio Grande, Rio Grande, RS, Brazil). We also thank the staff of the Laboratorio de Mamiferos Marinos (CESIMAR-CONICET) for their help during field work. The collection of dolphins was approved by the Direccion de Flora, Fauna Silvestre (No. 25/2017-DFyFS) and the Subsecretaria de Conservacion y Areas Protegidas (No. 155 SsCyAP/17) of Chubut, Argentina. Also, we want to thank the Administracion de Parques Nacionales and staff from Parque Interjurisdiccional Marino Costero Patagonia Austral. Financial support: The Mohamed Bin Zayed Species Conservation Fund and PICTs 11679, 33934, 2110 y 2063, PIP CONICET. The skulls of two killer whales have already been deposited in the Osteological Marine Mammal Collection (CESIMAR - CONICET, Puerto Madryn, Argentina), Puerto Madryn, Chubut, Argentina under accession number: Kw1 CNPMAMM 1000936; Kw2 CNPMAMM100937) and the remaining skulls will be once they have been processed.</t>
  </si>
  <si>
    <t>10.1111/mms.13048</t>
  </si>
  <si>
    <t>U1OE8</t>
  </si>
  <si>
    <t>WOS:001039066200001</t>
  </si>
  <si>
    <t>Yin, H; Perera-Castro, AV; Randall, KL; Turnbull, JD; Waterman, MJ; Dunn, J; Robinson, SA</t>
  </si>
  <si>
    <t>Yin, Hao; Perera-Castro, Alicia V.; Randall, Krystal L.; Turnbull, Johanna D.; Waterman, Melinda J.; Dunn, Jodie; Robinson, Sharon A.</t>
  </si>
  <si>
    <t>Basking in the sun: how mosses photosynthesise and survive in Antarctica</t>
  </si>
  <si>
    <t>PHOTOSYNTHESIS RESEARCH</t>
  </si>
  <si>
    <t>Antarctica; &amp; beta;-carotene; Climate change; Photosynthesis; Microclimate; Moss; Nutrients; Ozone depletion; Temperature; Ultraviolet-B radiation; UV-B; Water; Zeaxanthin</t>
  </si>
  <si>
    <t>LIVERWORT CEPHALOZIELLA-VARIANS; ULTRAVIOLET-B RADIATION; STRATOSPHERIC OZONE; ENERGY-DISSIPATION; WINDMILL ISLANDS; PIGMENT COMPOSITION; UV-B; DESICCATION TOLERANCE; TEMPERATURE RESPONSES; GRIMMIA-ANTARCTICI</t>
  </si>
  <si>
    <t>The Antarctic environment is extremely cold, windy and dry. Ozone depletion has resulted in increasing ultraviolet-B radiation, and increasing greenhouse gases and decreasing stratospheric ozone have altered Antarctica's climate. How do mosses thrive photosynthetically in this harsh environment? Antarctic mosses take advantage of microclimates where the combination of protection from wind, sufficient melt water, nutrients from seabirds and optimal sunlight provides both photosynthetic energy and sufficient warmth for efficient metabolism. The amount of sunlight presents a challenge: more light creates warmer canopies which are optimal for photosynthetic enzymes but can contain excess light energy that could damage the photochemical apparatus. Antarctic mosses thus exhibit strong photoprotective potential in the form of xanthophyll cycle pigments. Conversion to zeaxanthin is high when conditions are most extreme, especially when water content is low. Antarctic mosses also produce UV screening compounds which are maintained in cell walls in some species and appear to protect from DNA damage under elevated UV-B radiation. These plants thus survive in one of the harshest places on Earth by taking advantage of the best real estate to optimise their metabolism. But survival is precarious and it remains to be seen if these strategies will still work as the Antarctic climate changes.</t>
  </si>
  <si>
    <t>[Yin, Hao; Randall, Krystal L.; Turnbull, Johanna D.; Waterman, Melinda J.; Dunn, Jodie; Robinson, Sharon A.] Univ Wollongong, Securing Antarcticas Environm Future, Wollongong, NSW 2522, Australia; [Yin, Hao; Randall, Krystal L.; Turnbull, Johanna D.; Waterman, Melinda J.; Dunn, Jodie; Robinson, Sharon A.] Univ Wollongong, Ctr Sustainable Ecosyst Solut, Sch Earth Atmospher &amp; Life Sci, Wollongong, NSW 2522, Australia; [Perera-Castro, Alicia V.] Univ La Laguna, San Cristobal la Laguna, Canary Islands, Spain</t>
  </si>
  <si>
    <t>University of Wollongong; University of Wollongong; Universidad de la Laguna</t>
  </si>
  <si>
    <t>Robinson, SA (corresponding author), Univ Wollongong, Securing Antarcticas Environm Future, Wollongong, NSW 2522, Australia.;Robinson, SA (corresponding author), Univ Wollongong, Ctr Sustainable Ecosyst Solut, Sch Earth Atmospher &amp; Life Sci, Wollongong, NSW 2522, Australia.</t>
  </si>
  <si>
    <t>sharonr@uow.edu.au</t>
  </si>
  <si>
    <t>Perera Castro, Alicia V./C-4856-2019; Randall, Krystal L./KHY-2384-2024; Robinson, Sharon/B-2683-2008</t>
  </si>
  <si>
    <t>Perera Castro, Alicia V./0000-0001-8451-6052; Randall, Krystal L./0000-0003-2507-1000; Waterman, Melinda/0000-0001-5907-4512; Robinson, Sharon/0000-0002-7130-9617; Turnbull, Johanna/0000-0002-4214-1675; Yin, Hao/0000-0002-4608-3257</t>
  </si>
  <si>
    <t>CAUL and its Member Institutions; Australian Research Council SRIEAS [SR200100005]; ARC [DP200100223]; ~Australian Antarctic Science [4046, 4516]; China Scholarship Council Scholarship [CSC201906620038]; Australian Government Research Training Program; Antarctic Science Foundation; Australian Research Council [DP200100223] Funding Source: Australian Research Council</t>
  </si>
  <si>
    <t>CAUL and its Member Institutions; Australian Research Council SRIEAS(Australian Research Council); ARC(Australian Research Council); ~Australian Antarctic Science; China Scholarship Council Scholarship(China Scholarship Council); Australian Government Research Training Program(Australian Government); Antarctic Science Foundation; Australian Research Council(Australian Research Council)</t>
  </si>
  <si>
    <t>Open Access funding enabled and organized by CAUL and its Member Institutions. This work was supported by the Australian Research Council SRIEAS Grant SR200100005 Securing Antarctica's Environmental Future; ARC Grant DP200100223 (SAR), and Australian Antarctic Science Grants 4046 (SAR) and 4516 (MJW). HY is supported by a China Scholarship Council Scholarship (CSC201906620038) and KLR acknowledges scholarship support from the Australian Government Research Training Program and from the Antarctic Science Foundation.</t>
  </si>
  <si>
    <t>0166-8595</t>
  </si>
  <si>
    <t>1573-5079</t>
  </si>
  <si>
    <t>PHOTOSYNTH RES</t>
  </si>
  <si>
    <t>Photosynth. Res.</t>
  </si>
  <si>
    <t>10.1007/s11120-023-01040-y</t>
  </si>
  <si>
    <t>AH2M5</t>
  </si>
  <si>
    <t>WOS:001040049100001</t>
  </si>
  <si>
    <t>Iwamoto, K; Suenaga, N; Yoshioka, S; Ortega-Culaciati, F; Miller, M; Ruiz, J</t>
  </si>
  <si>
    <t>Iwamoto, Kaya; Suenaga, Nobuaki; Yoshioka, Shoichi; Ortega-Culaciati, Francisco; Miller, Matthew; Ruiz, Javier</t>
  </si>
  <si>
    <t>3-D thermal structure and dehydration near the Chile Triple Junction and its relation to slab window, tectonic tremors, and volcanoes</t>
  </si>
  <si>
    <t>GEOSCIENCE LETTERS</t>
  </si>
  <si>
    <t>Letter</t>
  </si>
  <si>
    <t>Chile Triple Junction; Thermal structure; Dehydration; Ridge subduction; Slab window; Tectonic tremors; Volcanoes</t>
  </si>
  <si>
    <t>RIDGE SUBDUCTION; HEAT-FLOW; TRANSPORTATION</t>
  </si>
  <si>
    <t>The southern Chile subduction zone is a complex tectonic environment, where the Chile Ridge, the Nazca (NZ) and Antarctic (AN) plates subduct underneath the South American (SA) plate. The intersection between the NZ, AN and SA plates is referred to as the Chile Triple Junction (CTJ). In this region, a gap, often referred to as a slab window, has been formed between the NZ and AN slabs due to the divergence in their plate motion velocities, with volcanoes existing mainly above the subducted NZ and AN plates. In this study, we constructed a three-dimensional thermomechanical model associated with simultaneous subduction of the NZ and AN plates near the CTJ. The results show that the current temperature distributions on the upper surface of the slabs are higher closer to the Chile Ridge, and the AN plate has a distribution of elevated temperatures relative to the NZ plate at the same depth due to the northward migration of the CTJ and the slower convergence rate of the AN plate. Moreover, we calculated the water content and dehydration gradient from the temperature distribution near the upper surface of the slab and discussed their relationship to the distribution of volcanoes. In the northern part of the model domain, high dehydration gradients were obtained below the volcanic chain. Therefore, we suggest that the water released from the slab and the mantle wedge decreased the melting point of the mantle wedge just above the slab and produced melts, which may have contributed to form the overlying volcanoes.</t>
  </si>
  <si>
    <t>[Iwamoto, Kaya; Yoshioka, Shoichi] Kobe Univ, Nada Ward, Grad Sch Sci, Dept Planetol, Rokkodai Cho 1-1, Kobe 6578501, Japan; [Suenaga, Nobuaki; Yoshioka, Shoichi] Kobe Univ, Nada Ward, Res Ctr Urban Safety &amp; Secur, Rokkodai Cho 1-1, Kobe 6578501, Japan; [Ortega-Culaciati, Francisco; Ruiz, Javier] Univ Chile, Fac Phys &amp; Math Sci, Dept Geophys, Santiago, Chile; [Miller, Matthew] Univ Concepcion, Fac Phys &amp; Math Sci, Dept Geophys, Concepcion, Chile; [Ortega-Culaciati, Francisco] Data Observ Fdn, ANID Technol Ctr DO210001, Santiago, Chile</t>
  </si>
  <si>
    <t>Kobe University; Kobe University; Universidad de Chile; Universidad de Concepcion</t>
  </si>
  <si>
    <t>Iwamoto, K (corresponding author), Kobe Univ, Nada Ward, Grad Sch Sci, Dept Planetol, Rokkodai Cho 1-1, Kobe 6578501, Japan.</t>
  </si>
  <si>
    <t>215s403s@gsuite.kobe-u.ac.jp</t>
  </si>
  <si>
    <t>Ruiz, Javier/I-6304-2016; Ortega Culaciati, Francisco Hernán/A-2587-2014</t>
  </si>
  <si>
    <t>Ortega Culaciati, Francisco Hernán/0000-0002-2983-8646; Yoshioka, Shoichi/0000-0002-0238-1033; Miller, Matt/0000-0002-4846-3173</t>
  </si>
  <si>
    <t>Data Observatory Foundation; ANID Technology Center; [DO210001]</t>
  </si>
  <si>
    <t>Data Observatory Foundation; ANID Technology Center;</t>
  </si>
  <si>
    <t>We thank P. Takley for sharing the source codes of Stag3d by Tackley and Xie (2003) for the thermal convection models and P. E. van Keken and B. R. Hacker for providing the data for the turbidite phase diagram. We also thank the Editor Kenji Satake, and two anonymous reviewers for their constructive comments to improve the manuscript.&amp; nbsp;F.O-C. acknowledges support from &amp; nbsp;Data Observatory Foundation, ANID Technology Center No. DO210001.</t>
  </si>
  <si>
    <t>2196-4092</t>
  </si>
  <si>
    <t>GEOSCI LETT</t>
  </si>
  <si>
    <t>Geosci. Lett.</t>
  </si>
  <si>
    <t>JUL 29</t>
  </si>
  <si>
    <t>10.1186/s40562-023-00289-4</t>
  </si>
  <si>
    <t>N9VT6</t>
  </si>
  <si>
    <t>WOS:001040410300001</t>
  </si>
  <si>
    <t>Manney, GL; Santee, ML; Lambert, A; Millán, LF; Minschwaner, K; Werner, F; Lawrence, ZD; Read, WG; Livesey, NJ; Wang, T</t>
  </si>
  <si>
    <t>Manney, Gloria L.; Santee, Michelle L.; Lambert, Alyn; Millan, Luis F.; Minschwaner, Ken; Werner, Frank; Lawrence, Zachary D.; Read, William G.; Livesey, Nathaniel J.; Wang, Tao</t>
  </si>
  <si>
    <t>Siege in the Southern Stratosphere: Hunga Tonga-Hunga Ha'apai Water Vapor Excluded From the 2022 Antarctic Polar Vortex</t>
  </si>
  <si>
    <t>Hunga Tonga eruption; stratospheric polar vortex; transport; water vapor; polar chemical processing; satellite data</t>
  </si>
  <si>
    <t>TRANSPORT; EVOLUTION; DYNAMICS; AREA</t>
  </si>
  <si>
    <t>We use Aura Microwave Limb Sounder (MLS) trace gas measurements to investigate whether water vapor (H2O) injected into the stratosphere by the Hunga Tonga-Hunga Ha'apai (HTHH) eruption affected the 2022 Antarctic stratospheric vortex. Other MLS-measured long-lived species are used to distinguish high HTHH H2O from that descending in the vortex from the upper-stratospheric H2O peak. HTHH H2O reached high southern latitudes in June-July but was effectively excluded from the vortex by the strong transport barrier at its edge. MLS H2O, nitric acid, chlorine species, and ozone within the 2022 Antarctic polar vortex were near average; the vortex was large, strong, and long-lived, but not exceptionally so. There is thus no clear evidence of HTHH influence on the 2022 Antarctic vortex or its composition. Substantial impacts on the stratospheric polar vortices are expected in succeeding years since the H2O injected by HTHH has spread globally.</t>
  </si>
  <si>
    <t>[Manney, Gloria L.] NorthWest Res Associates, Socorro, NM 98105 USA; [Manney, Gloria L.; Minschwaner, Ken] New Mexico Inst Min &amp; Technol, Socorro, NM 87801 USA; [Santee, Michelle L.; Lambert, Alyn; Millan, Luis F.; Werner, Frank; Read, William G.; Livesey, Nathaniel J.; Wang, Tao] CALTECH, Jet Prop Lab, Pasadena, CA USA; [Lawrence, Zachary D.] Univ Colorado, Cooperat Inst Res Environm Sci CIRES, Boulder, CO USA; [Lawrence, Zachary D.] Univ Colorado, NOAA Phys Sci Lab PSL, Boulder, CO USA; [Lawrence, Zachary D.] NorthWest Res Associates, Boulder, CO USA</t>
  </si>
  <si>
    <t>NorthWest Research Associates; New Mexico Institute of Mining Technology; National Aeronautics &amp; Space Administration (NASA); NASA Jet Propulsion Laboratory (JPL); California Institute of Technology; University of Colorado System; University of Colorado Boulder; University of Colorado System; University of Colorado Boulder; NorthWest Research Associates</t>
  </si>
  <si>
    <t>Manney, GL (corresponding author), NorthWest Res Associates, Socorro, NM 98105 USA.;Manney, GL (corresponding author), New Mexico Inst Min &amp; Technol, Socorro, NM 87801 USA.</t>
  </si>
  <si>
    <t>manney@nwra.com</t>
  </si>
  <si>
    <t>Frank, Werner/AGH-1772-2022</t>
  </si>
  <si>
    <t>Werner, Frank/0000-0002-7141-0934; Lambert, Alyn/0000-0003-3182-1824; Manney, Gloria/0000-0003-4489-4811</t>
  </si>
  <si>
    <t>Thanks to the MLS team at JPL for data processing and analysis support, especially Brian Knosp for data management, Ryan Fuller for development and production of the MLS L3 products, Lucien Froidevaux and Michael Schwartz for helpful discussions. Thanks to [1521127]; Jet Propulsion Laboratory (JPL) Microwave Limb Sounder team under JPL [80NM0018D0004]; National Aeronautics and Space Administration</t>
  </si>
  <si>
    <t>Thanks to the MLS team at JPL for data processing and analysis support, especially Brian Knosp for data management, Ryan Fuller for development and production of the MLS L3 products, Lucien Froidevaux and Michael Schwartz for helpful discussions. Thanks to; Jet Propulsion Laboratory (JPL) Microwave Limb Sounder team under JPL; National Aeronautics and Space Administration(National Aeronautics &amp; Space Administration (NASA))</t>
  </si>
  <si>
    <t>Thanks to the MLS team at JPL for data processing and analysis support, especially Brian Knosp for data management, Ryan Fuller for development and production of the MLS L3 products, Lucien Froidevaux and Michael Schwartz for helpful discussions. Thanks to two anonymous reviewers for their helpful comments. Thanks to the ACE science team for making the ACE-FTS data available, especially Kaley Walker and Patrick Sheese for advice on data quality and usage. Thanks to the GMAO for providing the MERRA-2 data set. G.L. Manney was supported by the Jet Propulsion Laboratory (JPL) Microwave Limb Sounder team under JPL subcontract #1521127 to NWRA. Work at the Jet Propulsion Laboratory, California Institute of Technology, was carried out under a contract with the National Aeronautics and Space Administration (80NM0018D0004).</t>
  </si>
  <si>
    <t>JUL 28</t>
  </si>
  <si>
    <t>e2023GL103855</t>
  </si>
  <si>
    <t>10.1029/2023GL103855</t>
  </si>
  <si>
    <t>W7XV2</t>
  </si>
  <si>
    <t>WOS:001093728000001</t>
  </si>
  <si>
    <t>Chen, Y; Guo, RZ; Liang, YT; Luo, L; Han, Y; Wang, HM; Zhang, H; Liu, YD; Zheng, KY; Shao, HB; Sung, YY; Mok, WJ; Wong, LL; Mcminn, A; Wang, M</t>
  </si>
  <si>
    <t>Chen, Ying; Guo, Ruizhe; Liang, Yantao; Luo, Lin; Han, Ying; Wang, Hongmin; Zhang, Hong; Liu, Yundan; Zheng, Kaiyang; Shao, Hongbing; Sung, Yeong Yik; Mok, Wen Jye; Wong, Li Lian; Mcminn, Andrew; Wang, Min</t>
  </si>
  <si>
    <t>Characterization and genomic analysis of a novel lytic phage vB_PstM_ZRG1 infecting Stutzerimonas stutzeri, representing a new viral genus, Elithevirus</t>
  </si>
  <si>
    <t>VIRUS RESEARCH</t>
  </si>
  <si>
    <t>Stutzerimonas stutzeri phage; Genomic analysis; Auxiliary metabolic genes; Phylogenetic analysis; Ecological distribution</t>
  </si>
  <si>
    <t>Stutzerimonas stutzeri is an opportunistic pathogen widely distributed in the environment and displays diverse metabolic capabilities. In this study, a novel lytic S. stutzeri phage, named vB_PstM_ZRG1, was isolated from the seawater in the East China Sea (29 degrees 09'N, 123 degrees 39'E). vB_PstM_ZRG1 was stable at temperatures ranging from-20 degrees C to 65 degrees C and across a wide range of pH values from 3 to 10. The genome of vB_PstM_ZRG1 was determined to be a double-stranded DNA with a genome size of 52,767 bp, containing 78 putative open reading frames (ORFs). Three auxiliary metabolic genes encoded by phage vB_PstM_ZRG1 were predicted, including Toll/ interleukin-1 receptor (TIR) domain, proline-alanine-alanine-arginine (PAAR) protein and SGNH (Ser-Gly-Asn-His) family hydrolase, especially TIR domain is not common in isolated phages. Phylogenic and network analysis showed that vB_PstM_ZRG1 has low similarity to other phage genomes in the GenBank and IMG/VR database, and might represent a novel viral genus, named Elithevirus. Additionally, the distribution map results indicated that vB_PstM_ZRG1 could infect both extreme colds-and warm-type hosts in the marine environment. In summary, our finding provided basic information for further research on the relationship between S. stutzeri and their phages, and expanded our understanding of genomic characteristics, phylogenetic diversity and distribution of Elithevirus.</t>
  </si>
  <si>
    <t>[Chen, Ying; Guo, Ruizhe; Liang, Yantao; Luo, Lin; Han, Ying; Wang, Hongmin; Zhang, Hong; Liu, Yundan; Zheng, Kaiyang; Shao, Hongbing; Mcminn, Andrew; Wang, Min] Ocean Univ China, Frontiers Sci Ctr Deep Ocean Multispheres &amp; Earth, Ctr Ocean Carbon Neutral, Coll Marine Life Sci,Inst Evolut &amp; Marine Biodiver, Qingdao, Peoples R China; [Liang, Yantao; Shao, Hongbing; Sung, Yeong Yik; Mok, Wen Jye; Wong, Li Lian; Wang, Min] UMT OUC Joint Acad Ctr Marine Studies, Qingdao, Peoples R China; [Sung, Yeong Yik; Mok, Wen Jye; Wong, Li Lian] Univ Malaysia Terengganu, Inst Marine Biotechnol, Kuala Terengganu, Malaysia; [Mcminn, Andrew] Univ Tasmania, Inst Marine &amp; Antarctic Studies, Hobart, Tas, Australia; [Wang, Min] Ocean Univ China, Haide Coll, Qingdao, Peoples R China; [Wang, Min] Qingdao Univ, Affiliated Hosp, Qingdao 266000, Peoples R China</t>
  </si>
  <si>
    <t>Ocean University of China; Universiti Malaysia Terengganu; University of Tasmania; Ocean University of China; Qingdao University</t>
  </si>
  <si>
    <t>Liang, YT; Wang, M (corresponding author), Ocean Univ China, Frontiers Sci Ctr Deep Ocean Multispheres &amp; Earth, Ctr Ocean Carbon Neutral, Coll Marine Life Sci,Inst Evolut &amp; Marine Biodiver, Qingdao, Peoples R China.;Liang, YT; Wang, M (corresponding author), UMT OUC Joint Acad Ctr Marine Studies, Qingdao, Peoples R China.;Wang, M (corresponding author), Ocean Univ China, Haide Coll, Qingdao, Peoples R China.;Wang, M (corresponding author), Qingdao Univ, Affiliated Hosp, Qingdao 266000, Peoples R China.</t>
  </si>
  <si>
    <t>liangyantao@ouc.edu.cn; mingwang@ouc.edu.cn</t>
  </si>
  <si>
    <t>chen, yue/JXW-9556-2024; Wang, Jinlong/KHC-3829-2024; Zhang, xiaohui/KEE-5747-2024; LI, LIXIN/KFS-0074-2024; yang, zhou/KBB-6972-2024; WONG, LI LIAN/ABE-1887-2022; Wang, Yunwen/KBR-2884-2024; Mok, Wen Jye/AAF-9229-2019; chen, bin/KBQ-8114-2024; Zhang, Xiaoyu/JXR-6386-2024; li, jixiang/JXN-7599-2024; wang, yifang/KEI-3766-2024; JIANG, Peng/KGL-3427-2024; Yu, Yan/KCL-1047-2024; he, xi/JXN-3817-2024; XIN, WANG/KGK-5385-2024; Han, Yang/JVN-5921-2024; Wang, Zichao/KHX-4954-2024; Liu, Zhiyuan/KDP-2606-2024; liu, feng/KCL-0778-2024; Chen, Liang/JXX-7887-2024; Wang, Min/AFR-9645-2022</t>
  </si>
  <si>
    <t>Wang, Yunwen/0009-0008-3083-7799; Mok, Wen Jye/0000-0002-7629-8312; chen, bin/0000-0002-3398-1314; Yu, Yan/0000-0003-2233-344X; Wang, Min/0000-0002-2357-589X; Yeong, Yik Sung/0000-0001-5897-9037</t>
  </si>
  <si>
    <t>Laoshan Laboratory [LSKJ202203202]; National Natural Science Foundation of China [42120104006, 41976117, 42176111]; Fundamental Research Funds for the Central Universities [202172002, 201812002]</t>
  </si>
  <si>
    <t>Laoshan Laboratory; National Natural Science Foundation of China(National Natural Science Foundation of China (NSFC)); Fundamental Research Funds for the Central Universities(Fundamental Research Funds for the Central Universities)</t>
  </si>
  <si>
    <t>This study was supported by the Laoshan Laboratory (No. LSKJ202203202) , the National Natural Science Foundation of China (No. 42120104006, 41976117, 42176111) , and the Fundamental Research Funds for the Central Universities (202172002, 201812002 and Andrew McMinn) .</t>
  </si>
  <si>
    <t>0168-1702</t>
  </si>
  <si>
    <t>1872-7492</t>
  </si>
  <si>
    <t>VIRUS RES</t>
  </si>
  <si>
    <t>Virus Res.</t>
  </si>
  <si>
    <t>10.1016/j.virusres.2023.199183</t>
  </si>
  <si>
    <t>Virology</t>
  </si>
  <si>
    <t>Q6KW3</t>
  </si>
  <si>
    <t>WOS:001058602900001</t>
  </si>
  <si>
    <t>Zheng, K; Li, YF; Wang, NL; Zhou, YH; Li, Z</t>
  </si>
  <si>
    <t>Zheng, Kui; Li, Yuefang; Wang, Ninglian; Zhou, Youhao; Li, Zhen</t>
  </si>
  <si>
    <t>Pollution revealed by stable lead isotopes in recent snow from the northern and central Tibetan Plateau</t>
  </si>
  <si>
    <t>ECOTOXICOLOGY AND ENVIRONMENTAL SAFETY</t>
  </si>
  <si>
    <t>Stable lead isotopes; Acidified samples; Anthropogenic sources; Snow pit; Tibetan Plateau</t>
  </si>
  <si>
    <t>ATMOSPHERIC LEAD; ANTARCTIC SNOW; ICE-CORE; MOUNTAIN GLACIERS; TRACE-ELEMENTS; ALPINE SNOW; PB; GREENLAND; DUST; RECORD</t>
  </si>
  <si>
    <t>Lead (Pb) isotopes are less fractionated than those from different sources, and thus were used to trace the sources of Pb in the environment. To investigate the sources of Pb in the atmosphere of the Tibetan Plateau, stable Pb isotopes (206Pb, 207Pb and 208Pb) in acidified snow pit samples collected from five glaciers (i.e., Qiyi-QY, Meikuang-MK, Yuzhufeng-YZF, Hariqin-HRQ and Xiaodongkemadi-XDKMD) in May 2016 of the northern and central Tibetan Plateau were measured. The results showed narrow ranges of 1.158-1.187 for 206Pb/207Pb and 2.450-2.489 for 208Pb/207Pb respectively. The 206Pb/207Pb ratios in all samples were obviously lower than the environmental background value of 1.196, indicating the primary contributions of anthropogenic sources. At least 60% of Pb was contributed by various human activities, which was supported by the Pb isotopes in the snow pit samples from the QY, MK, YZF, HRQ and XDKMD glaciers. By comparing Pb isotope data, we found that the primary anthropogenic sources are coal combustion, mining and smelting activities in northwestern China and mixed emissions from cities located in western China and close to the glaciers. These sources contributed to the Pb in the northern glaciers (QY and MK) in particular. Coal combustion in India probably contributes to the central glaciers (HRQ and XDKMD). Another potential source could be parts of central Asia (e.g., Kyrgyzstan and Uzbekistan) through long range transport. The above potential source areas of contaminants were traced further by the air mass back-trajectory tracing method.</t>
  </si>
  <si>
    <t>[Zheng, Kui; Wang, Ninglian] Shaanxi Key Lab Earth Surface Syst &amp; Environm Carr, Xian 710127, Peoples R China; [Zheng, Kui; Wang, Ninglian] Northwest Univ, Coll Urban &amp; Environm Sci, Xian 710127, Peoples R China; [Li, Yuefang; Zhou, Youhao; Li, Zhen] Chinese Acad Sci, Northwest Inst Ecoenvironm &amp; Resources, State Key Lab Cryospher Sci, Lanzhou 730000, Peoples R China; [Wang, Ninglian] Northwest Univ, Inst Earth Surface Syst &amp; Hazards, Xian 710127, Peoples R China; [Wang, Ninglian] Chinese Acad Sci, Inst Tibet Plateau Res, State Key Lab Tibetan Plateau Earth Syst Environm, Beijing 100101, Peoples R China; [Zhou, Youhao] Univ Chinese Acad Sci, Beijing 100049, Peoples R China</t>
  </si>
  <si>
    <t>Northwest University Xi'an; Chinese Academy of Sciences; Northwest University Xi'an; Chinese Academy of Sciences; Institute of Tibetan Plateau Research, CAS; Chinese Academy of Sciences; University of Chinese Academy of Sciences, CAS</t>
  </si>
  <si>
    <t>Li, YF (corresponding author), Chinese Acad Sci, Northwest Inst Ecoenvironm &amp; Resources, State Key Lab Cryospher Sci, Lanzhou 730000, Peoples R China.</t>
  </si>
  <si>
    <t>liyf@lzb.ac.cn</t>
  </si>
  <si>
    <t>Second Tibetan Plateau Scientific Expedition and Research Program [42130516]; National Natural Science Foundation of China [41276194]; [2019QZKK020102]</t>
  </si>
  <si>
    <t>Second Tibetan Plateau Scientific Expedition and Research Program; National Natural Science Foundation of China(National Natural Science Foundation of China (NSFC));</t>
  </si>
  <si>
    <t>This work was supported by the Second Tibetan Plateau Scientific Expedition and Research Program (2019QZKK020102) , the National Natural Science Foundation of China (Grant No. 42130516, 41276194) . Thanks for the hard work of the field work team on the Qinghai-Tibet Plateau in spring 2016. Our special appreciation to engineer Yao Xiunan for providing assistance during sample measurement.</t>
  </si>
  <si>
    <t>0147-6513</t>
  </si>
  <si>
    <t>1090-2414</t>
  </si>
  <si>
    <t>ECOTOX ENVIRON SAFE</t>
  </si>
  <si>
    <t>Ecotox. Environ. Safe.</t>
  </si>
  <si>
    <t>10.1016/j.ecoenv.2023.115296</t>
  </si>
  <si>
    <t>Environmental Sciences; Toxicology</t>
  </si>
  <si>
    <t>Environmental Sciences &amp; Ecology; Toxicology</t>
  </si>
  <si>
    <t>Q1AH7</t>
  </si>
  <si>
    <t>WOS:001054907400001</t>
  </si>
  <si>
    <t>Liu, Q; Yang, D; Zhang, HS; Lu, B</t>
  </si>
  <si>
    <t>Liu, Qian; Yang, Dan; Zhang, Haisheng; Lu, Bing</t>
  </si>
  <si>
    <t>Interannual and decadal variabilities of phytoplankton community in the Bering Sea and the Arctic Ocean: a case study of relationship with ENSO and Arctic Oscillation abnormity</t>
  </si>
  <si>
    <t>biomarker; phytoplankton community; ENSO; Arctic Oscillation; the Bering Sea; the Arctic Ocean; the Chukchi Sea</t>
  </si>
  <si>
    <t>ORGANIC-CARBON; SURFACE WATERS; MARINE; BIOMARKERS; SEDIMENTS; INDICATORS; ECOSYSTEM; MARKERS; DIATOMS; SUMMER</t>
  </si>
  <si>
    <t>We used molecular biomarkers (brassicasterol, dinosterol and C-37 alkenones) measured from the surface sediments of the Bering Sea, the Chukchi Sea and the western Arctic Ocean in years of 1999 and 2010 to represent the groups of phytoplankton (diatoms, dinoflagellates and coccolithophores) and reconstruct the phytoplankton composition structure and biomass. The distribution of concentrations of three biomarkers were compatible to previous studies on measured phytoplankton, which showed that the phytoplankton biomass was most abundant in the Chukchi Sea, followed by the Bering Sea and the western Arctic Ocean, and diatoms were the dominant group. It suggests that molecular biomarkers are the suitable indicators of phytoplankton composition, structure and abundance. A record of biomarkers in a sediment core (NB01) collected at the Bering Sea in 2010 presented that the biomass of three phytoplankton groups increased in past 107 years, and their variation patterns were consistent. The synchronous increase of concentrations of phytoplankton biomarkers and cholesterol, a proxy of zooplankton biomass, implied that the primary production increased intensely in the last hundreds of years, corresponding to the trend of sea-ice melting as a result of global warming. Moreover, our results suggested that the combined effect of the anormal interannual changes of the El Nino-Southern Oscillation (ENSO) and the Arctic Oscillations (AO) played a key role in regulating the interannual and decadal variations of phytoplankton biomass and community composition, giving us an insight into the impact of atmospheric circulation on phytoplankton production and carbon flux in the Arctic seas.</t>
  </si>
  <si>
    <t>[Liu, Qian; Yang, Dan; Zhang, Haisheng; Lu, Bing] Minist Nat Resources, Inst Oceanog 2, Key Lab Marine Ecosyst Dynam, Hangzhou, Peoples R China; [Liu, Qian] Minist Nat Resources, Inst Oceanog 2, State Key Lab Satellite Ocean Environm Dynam, Hangzhou, Peoples R China; [Liu, Qian] Zhejiang Univ, Ocean Coll, Hangzhou, Peoples R China</t>
  </si>
  <si>
    <t>Ministry of Natural Resources of the People's Republic of China; Ministry of Natural Resources of the People's Republic of China; Zhejiang University</t>
  </si>
  <si>
    <t>Zhang, HS (corresponding author), Minist Nat Resources, Inst Oceanog 2, Key Lab Marine Ecosyst Dynam, Hangzhou, Peoples R China.</t>
  </si>
  <si>
    <t>zhangsoa@163.com</t>
  </si>
  <si>
    <t>National Key Research and Development Program of China [2022YFC3105303]; National Natural Science Foundation of China [41276199, 42176038]; Chinese Projects for Investigations and Assessments of the Arctic and Antarctic (CHINARE 2012-2016 ); Science Foundation of Donghai Laboratory [DH-2022KF0211]; Project of State Key Laboratory of Satellite Ocean Environment Dynamics, Second Institute of Oceanography [SOEDZZ2204]</t>
  </si>
  <si>
    <t>National Key Research and Development Program of China; National Natural Science Foundation of China(National Natural Science Foundation of China (NSFC)); Chinese Projects for Investigations and Assessments of the Arctic and Antarctic (CHINARE 2012-2016 ); Science Foundation of Donghai Laboratory; Project of State Key Laboratory of Satellite Ocean Environment Dynamics, Second Institute of Oceanography</t>
  </si>
  <si>
    <t>This study was financially supported by the National Key Research and Development Program of China (No. 2022YFC3105303), the National Natural Science Foundation of China (41276199 and 42176038), Chinese Projects for Investigations and Assessments of the Arctic and Antarctic (CHINARE 2012-2016 for 03-04 and 04-03), Science Foundation of Donghai Laboratory (No. DH-2022KF0211), and the Project of State Key Laboratory of Satellite Ocean Environment Dynamics, Second Institute of Oceanography (No. SOEDZZ2204).</t>
  </si>
  <si>
    <t>10.3389/feart.2023.1204971</t>
  </si>
  <si>
    <t>O9GF0</t>
  </si>
  <si>
    <t>WOS:001046823400001</t>
  </si>
  <si>
    <t>Bahlburg, D; Thorpe, SE; Meyer, B; Berger, U; Murphy, EJ</t>
  </si>
  <si>
    <t>Bahlburg, Dominik; Thorpe, Sally J.; Meyer, Bettina; Berger, Uta; Murphy, Eugene</t>
  </si>
  <si>
    <t>An intercomparison of models predicting growth of Antarctic krill (Euphausia superba): The importance of recognizing model specificity</t>
  </si>
  <si>
    <t>SOUTH ORKNEY ISLANDS; ENERGY BUDGET; SCOTIA SEA; CLIMATE-CHANGE; LIFE-HISTORY; PHYTOPLANKTON; TEMPERATURE; RECRUITMENT; ECOSYSTEM; IMPACTS</t>
  </si>
  <si>
    <t>Antarctic krill (Euphausia superba) is a key species of the Southern Ocean, impacted by climate change and human exploitation. Understanding how these changes affect the distribution and abundance of krill is crucial for generating projections of change for Southern Ocean ecosystems. Krill growth is an important indicator of habitat suitability and a series of models have been developed and used to examine krill growth potential at different spatial and temporal scales. The available models have been developed using a range of empirical and mechanistic approaches, providing alternative perspectives and comparative analyses of the key processes influencing krill growth. Here we undertake an intercomparison of a suite of the available models to understand their sensitivities to major driving variables. This illustrates that the results are strongly determined by the model structure and technical characteristics, and the data on which they were developed and validated. Our results emphasize the importance of assessing the constraints and requirements of individual krill growth models to ensure their appropriate application. The study also demonstrates the value of the development of alternative modelling approaches to identify key processes affecting the dynamics of krill. Of critical importance for modelling the growth of krill is appropriately assessing and accounting for differences in estimates of food availability resulting from alternative methods of observation. We suggest that an intercomparison approach is particularly valuable in the development and application of models for the assessment of krill growth potential at circumpolar scales and for future projections. As another result of the intercomparison, the implementations of the models used in this study are now publicly available for future use and analyses.</t>
  </si>
  <si>
    <t>[Bahlburg, Dominik; Berger, Uta] Tech Univ Dresden, Inst Forest Growth &amp; Forest Comp Sci, Fac Environm Sci, Dresden, Sachsen, Germany; [Bahlburg, Dominik] Helmholtz Ctr Environm Res, Dept Ecol Modelling, Leipzig, Sachsen, Germany; [Thorpe, Sally J.; Murphy, Eugene] British Antarctic Survey, Ecosyst team, Cambridge, England; [Meyer, Bettina] Carl von Ossietzky Univ Oldenburg, Inst Chem &amp; Biol Marine Environm, Oldenburg, Germany; [Meyer, Bettina] Alfred Wegener Inst Polar &amp; Marine Res, Polar Biol Oceanog, Bremerhaven, Germany; [Meyer, Bettina] Helmholtz Inst Funct Marine Biodivers, Ecosyst Funct, Oldenburg, Germany; [Bahlburg, Dominik] Tech Univ Dresden, Chairof Forest Biometr &amp; Syst Anal, Tharandt, Sachsen, Germany</t>
  </si>
  <si>
    <t>Technische Universitat Dresden; Helmholtz Association; Helmholtz Center for Environmental Research (UFZ); UK Research &amp; Innovation (UKRI); Natural Environment Research Council (NERC); NERC British Antarctic Survey; Carl von Ossietzky Universitat Oldenburg; Helmholtz Association; Alfred Wegener Institute, Helmholtz Centre for Polar &amp; Marine Research; Technische Universitat Dresden</t>
  </si>
  <si>
    <t>Bahlburg, D (corresponding author), Tech Univ Dresden, Inst Forest Growth &amp; Forest Comp Sci, Fac Environm Sci, Dresden, Sachsen, Germany.;Bahlburg, D (corresponding author), Helmholtz Ctr Environm Res, Dept Ecol Modelling, Leipzig, Sachsen, Germany.;Bahlburg, D (corresponding author), Tech Univ Dresden, Chairof Forest Biometr &amp; Syst Anal, Tharandt, Sachsen, Germany.</t>
  </si>
  <si>
    <t>dominik.bahlburg@tu-dresden.de</t>
  </si>
  <si>
    <t>Bahlburg, Dominik/0000-0003-0210-0649</t>
  </si>
  <si>
    <t>German Research Foundation (DFG) [411096565]; German Academic Exchange Service [57646206]; Technical University Dresden professorship funding; NC-ALI; Alfred Wegener Institute</t>
  </si>
  <si>
    <t>German Research Foundation (DFG)(German Research Foundation (DFG)); German Academic Exchange Service(Deutscher Akademischer Austausch Dienst (DAAD)); Technical University Dresden professorship funding; NC-ALI; Alfred Wegener Institute</t>
  </si>
  <si>
    <t>UB, BM and DB were supported by the German Research Foundation (DFG, grant number 411096565). DB was also supported by the Professor Bingel Stiftung of the German Academic Exchange Service (grant number 57646206). SET and EJM &amp; nbsp;&amp; nbsp;&amp; nbsp;were supported by NC-ALI funding to the Ecosystems team at the British Antarctic Survey. UB was also supported by the Technical University Dresden professorship funding. BM was also supported by internal fundings of the Alfred Wegener Institute. The funder shad no role in study design, data collection and analysis, decision to publish, or preparation of the manuscript. There was no additional external funding received for this study.</t>
  </si>
  <si>
    <t>e0286036</t>
  </si>
  <si>
    <t>10.1371/journal.pone.0286036</t>
  </si>
  <si>
    <t>O1NC2</t>
  </si>
  <si>
    <t>WOS:001041546400006</t>
  </si>
  <si>
    <t>Saini, H; Meissner, KJ; Menviel, L; Kvale, K</t>
  </si>
  <si>
    <t>Saini, Himadri; Meissner, Katrin J.; Menviel, Laurie; Kvale, Karin</t>
  </si>
  <si>
    <t>Impact of iron fertilisation on atmospheric CO2 during the last glaciation</t>
  </si>
  <si>
    <t>SYSTEM CLIMATE MODEL; ANTARCTIC SEA-ICE; SOUTHERN-OCEAN; DOME-C; SURFACE-TEMPERATURE; INTERGLACIAL CYCLE; CARBON-DIOXIDE; CIRCULATION; VARIABILITY; UNIVERSITY</t>
  </si>
  <si>
    <t>While several processes have been identified to explain the decrease in atmospheric CO2 during glaciations, a better quantification of the contribution of each of these processes is needed. For example, enhanced aeolian iron input into the ocean during glacial times has been suggested to drive a 5 to 28 ppm atmospheric CO2 decrease. Here, we constrain this contribution by performing a set of sensitivity experiments with different aeolian iron input patterns and iron solubility factors under boundary conditions corresponding to 70 000 years before present (70 ka), a time period characterised by the first observed peak in glacial dust flux. We show that the decrease in CO2 as a function of Southern Ocean iron input follows an exponential decay relationship. This exponential decay response arises due to the saturation of the biological pump efficiency and levels out at similar to 21 ppm in our simulations. We show that the changes in atmospheric CO2 are more sensitive to the solubility of iron in the ocean than the regional distribution of the iron fluxes. If surface water iron solubility is considered constant through time, we find a CO2 drawdown of similar to 4 to similar to 8 ppm. However, there is evidence that iron solubility was higher during glacial times. A best estimate of solubility changing from 1 % during interglacials to 3 % to 5 % under glacial conditions yields a similar to 9 to 11 ppm CO2 decrease at 70 ka, while a plausible range of CO2 drawdown between 4 to 16 ppm is obtained using the wider but possible range of 1 % to 10 %. This would account for similar to 12 %-50 % of the reconstructed decrease in atmospheric CO2 (similar to 32 ppm) between 71 and 64 ka. We further find that in our simulations the decrease in atmospheric CO2 concentration is solely driven by iron fluxes south of the Antarctic polar front, while iron fertilisation elsewhere plays a negligible role.</t>
  </si>
  <si>
    <t>[Saini, Himadri; Meissner, Katrin J.; Menviel, Laurie] Univ New South Wales, Climate Change Res Ctr, Sydney, NSW 2052, Australia; [Saini, Himadri; Meissner, Katrin J.] Australian Res Council Ctr Excellence Climate Extr, Sydney, NSW 2052, Australia; [Menviel, Laurie] Univ Tasmania, Australian Ctr Excellence Antarctic Sci, Hobart, Tas 7001, Australia; [Kvale, Karin] GNS Sci, 1 Fairway Dr,POB 30368,Avalon 5010, Lower Hutt 5010, New Zealand</t>
  </si>
  <si>
    <t>University of New South Wales Sydney; University of Tasmania; GNS Science - New Zealand</t>
  </si>
  <si>
    <t>Saini, H (corresponding author), Univ New South Wales, Climate Change Res Ctr, Sydney, NSW 2052, Australia.;Saini, H (corresponding author), Australian Res Council Ctr Excellence Climate Extr, Sydney, NSW 2052, Australia.</t>
  </si>
  <si>
    <t>himadri.saini@student.unsw.edu.au</t>
  </si>
  <si>
    <t>Kvale, Karin F/A-7597-2013; Menviel, Laurie/D-6902-2013; Kvale, Karin/T-1231-2018</t>
  </si>
  <si>
    <t>Menviel, Laurie/0000-0002-5068-1591; Saini, Himadri/0000-0002-6852-8325; Kvale, Karin/0000-0001-8043-5431</t>
  </si>
  <si>
    <t>Australian Research Council [DP180100048, DP180102357, FT180100606]; Australian Research Council [FT180100606] Funding Source: Australian Research Council</t>
  </si>
  <si>
    <t>Katrin J. Meissner and Laurie Menviel acknowledge support from the Australian Research Council (grant nos. DP180100048, DP180102357, DP180102357, and FT180100606).</t>
  </si>
  <si>
    <t>10.5194/cp-19-1559-2023</t>
  </si>
  <si>
    <t>N7LF1</t>
  </si>
  <si>
    <t>WOS:001038775300001</t>
  </si>
  <si>
    <t>Knobloch, S; Kaifler, B; Dörnbrack, A; Rapp, M</t>
  </si>
  <si>
    <t>Knobloch, Stefanie; Kaifler, Bernd; Doernbrack, Andreas; Rapp, Markus</t>
  </si>
  <si>
    <t>Horizontal Wavenumber Spectra Across the Middle Atmosphere From Airborne Lidar Observations During the 2019 Southern Hemispheric SSW</t>
  </si>
  <si>
    <t>gravity waves; middle atmosphere; airborne lidar; horizontal wavenumber spectrum; SSW</t>
  </si>
  <si>
    <t>KINETIC-ENERGY SPECTRUM; TEMPERATURE; DENSITY; CASCADE; WIND; STRATOSPHERE; MODELS</t>
  </si>
  <si>
    <t>Horizontal wavenumber spectra across the middle atmosphere are investigated based on density measurements with the Airborne Lidar for Middle Atmosphere research (ALIMA) in the vicinity of the Southern Andes, the Drake passage and the Antarctic peninsula in September 2019. The probed horizontal scales range from 2000 to 25 km. Spectral slopes are close to k(-5/3) in the stratosphere and get shallower for horizontal wavelengths &lt;200 km in the mesosphere. The spectral slopes are shown to be statistically robust with the presented number of flight legs despite the unknown orientation of true wave vectors relative to the flight track using synthetic data and a Monte Carlo approach. The largest spectral amplitudes are found over the ocean rather than over topography. The 2019 sudden stratospheric warming caused a critical level for MWs and a reduction of spectral amplitudes at horizontal wavelengths of about 200 km in the mesosphere.</t>
  </si>
  <si>
    <t>[Knobloch, Stefanie; Kaifler, Bernd; Doernbrack, Andreas; Rapp, Markus] Deutsch Zentrum Luft &amp; Raumfahrt, Inst Phys Atmosphare, Oberpfaffenhofen, Germany; [Rapp, Markus] Ludwig Maximilians Univ Munchen, Meteorol Inst Munchen, Munich, Germany</t>
  </si>
  <si>
    <t>Helmholtz Association; German Aerospace Centre (DLR); University of Munich</t>
  </si>
  <si>
    <t>Knobloch, S (corresponding author), Deutsch Zentrum Luft &amp; Raumfahrt, Inst Phys Atmosphare, Oberpfaffenhofen, Germany.</t>
  </si>
  <si>
    <t>stefanie.knobloch@dlr.de</t>
  </si>
  <si>
    <t>Kaifler, Bernd/AAK-7237-2021; 1294, HALO SPP/AAA-7658-2021; Rapp, Markus/K-6081-2015</t>
  </si>
  <si>
    <t>Kaifler, Bernd/0000-0002-5891-242X; Knobloch, Stefanie/0000-0002-8947-4629; Rapp, Markus/0000-0003-1508-5900</t>
  </si>
  <si>
    <t>German Federal Ministry for Education and Research [01 LG 1907A]; German Science Foundation (DFG) [PACOG/RA 1400/6-1]; German Aerospace Center; Karlsruhe Institute of Technology; Forschungszentrum Juelich; DFG; Projekt DEAL; [316646266]</t>
  </si>
  <si>
    <t>German Federal Ministry for Education and Research(Federal Ministry of Education &amp; Research (BMBF)); German Science Foundation (DFG)(German Research Foundation (DFG)); German Aerospace Center(Helmholtz AssociationGerman Aerospace Centre (DLR)); Karlsruhe Institute of Technology(Helmholtz Association); Forschungszentrum Juelich; DFG(German Research Foundation (DFG)); Projekt DEAL;</t>
  </si>
  <si>
    <t>This work was partly funded by the German Federal Ministry for Education and Research under Grant 01 LG 1907A (project WASCLIM) in the frame of the Role of the Middle Atmosphere in Climate (ROMIC)-program. Further support for the SOUTHTRAC mission came from internal funds of the German Aerospace Center, the Karlsruhe Institute of Technology, Forschungszentrum Juelich, and the German Science Foundation (DFG) through the HALO-SPP (DFG-project number 316646266). Further support by DFG under Grant PACOG/RA 1400/6-1 in the frame of the DFG-research group MS-GWAVES is acknowledged. We further thank Erich Becker and one anonymous reviewer for excellent comments that improved the quality of our paper. Open Access funding enabled and organized by Projekt DEAL.</t>
  </si>
  <si>
    <t>e2023GL104357</t>
  </si>
  <si>
    <t>10.1029/2023GL104357</t>
  </si>
  <si>
    <t>M8DT6</t>
  </si>
  <si>
    <t>WOS:001032473500001</t>
  </si>
  <si>
    <t>Sheehan, PMF; Heywood, KJ; Thompson, AF; Flexas, MM; Schodlok, MP</t>
  </si>
  <si>
    <t>Sheehan, Peter M. F.; Heywood, Karen J.; Thompson, Andrew F.; Flexas, M. Mar; Schodlok, Michael P.</t>
  </si>
  <si>
    <t>Sources and Pathways of Glacial Meltwater in the Bellingshausen Sea, Antarctica</t>
  </si>
  <si>
    <t>Antarctica; Bellingshausen Sea; meltwater</t>
  </si>
  <si>
    <t>ICE SHELVES; AMUNDSEN; WATER; CIRCULATION; IMPACT</t>
  </si>
  <si>
    <t>Meltwater content and pathways determine the impact of Antarctica's melting ice shelves on ocean circulation and climate. Using ocean glider observations, we quantify meltwater distribution and transport within the Bellingshausen Sea's Belgica Trough. Meltwater is present at different densities and with different turbidities: both are indicative of a layer's ice shelf of origin. To investigate how ice-shelf origin separates meltwater into different export pathways, we compare these observations with high-resolution tracer-release model simulations. Meltwater filaments branch off the Antarctic Coastal Current into the southwestern trough. Meltwater also enters the Belgica Trough in the northwest via an extended western pathway, hence the greater observed southward (0.50 mSv) than northward (0.17 mSv) meltwater transport. Together, the observations and simulations reveal meltwater retention within a cyclonic in-trough gyre, which has the potential to promote climactically important feedbacks on circulation and future melting.</t>
  </si>
  <si>
    <t>[Sheehan, Peter M. F.; Heywood, Karen J.] Univ East Anglia, Ctr Ocean &amp; Atmospher Sci, Sch Environm Sci, Norwich, England; [Thompson, Andrew F.; Flexas, M. Mar] CALTECH, Environm Sci &amp; Engn, Pasadena, CA USA; [Schodlok, Michael P.] CALTECH, Jet Prop Lab, Pasadena, CA USA</t>
  </si>
  <si>
    <t>University of East Anglia; California Institute of Technology; California Institute of Technology; National Aeronautics &amp; Space Administration (NASA); NASA Jet Propulsion Laboratory (JPL)</t>
  </si>
  <si>
    <t>Sheehan, PMF (corresponding author), Univ East Anglia, Ctr Ocean &amp; Atmospher Sci, Sch Environm Sci, Norwich, England.</t>
  </si>
  <si>
    <t>p.sheehan@uea.ac.uk</t>
  </si>
  <si>
    <t>; Heywood, Karen/L-1757-2016</t>
  </si>
  <si>
    <t>Sheehan, Peter/0000-0002-4906-5724; Heywood, Karen/0000-0001-9859-0026</t>
  </si>
  <si>
    <t>COMPASS project [741120]; European Research Council; NSF [OPP-1644172]; NASA Jet Propulsion Laboratory's Research and Technical Development Earth 2050 project; NASA Cryospheric Sciences Program</t>
  </si>
  <si>
    <t>COMPASS project; European Research Council(European Research Council (ERC)); NSF(National Science Foundation (NSF)); NASA Jet Propulsion Laboratory's Research and Technical Development Earth 2050 project; NASA Cryospheric Sciences Program(National Aeronautics &amp; Space Administration (NASA))</t>
  </si>
  <si>
    <t>PMFS and KJH were supported by the COMPASS project (Grant 741120), which was funded by the European Research Council under the Horizon 2020 program. AFT and MMF were supported by NSF award OPP-1644172 and NASA Jet Propulsion Laboratory's Research and Technical Development Earth 2050 project. The work of MPS was carried out at the Jet Propulsion Laboratory under a contract with NASA. We gratefully acknowledge support from the NASA Cryospheric Sciences Program. High-end computing resources were provided by the NASA Advanced Supercomputing Division of the Ames Research Center.</t>
  </si>
  <si>
    <t>e2023GL102785</t>
  </si>
  <si>
    <t>10.1029/2023GL102785</t>
  </si>
  <si>
    <t>M7EJ0</t>
  </si>
  <si>
    <t>WOS:001031807500001</t>
  </si>
  <si>
    <t>Moran, AL; McLachlan, RH; Thurber, AR</t>
  </si>
  <si>
    <t>Moran, Amy L.; McLachlan, Rowan H.; Thurber, Andrew R.</t>
  </si>
  <si>
    <t>Sea star wasting syndrome reaches the high Antarctic: Two recent outbreaks in McMurdo Sound</t>
  </si>
  <si>
    <t>ODONTASTER-VALIDUS; RESPIRATION; ECOSYSTEMS; DISEASES; EMBRYOS; SHIFTS</t>
  </si>
  <si>
    <t>Sea star wasting syndrome (SSWS) can cause widespread mortality in starfish populations as well as long-lasting changes to benthic community structure and dynamics. SSWS symptoms have been documented in numerous species and locations around the world, but to date there is only one record of SSWS from the Antarctic and this outbreak was associated with volcanically-driven high temperature anomalies. Here we report outbreaks of SSWS-like symptoms that affected similar to 30% of individuals of Odontaster validus at two different sites in McMurdo Sound, Antarctica in 2019 and 2022. Unlike many SSWS events in other parts of the world, these outbreaks were not associated with anomalously warm temperatures. Instead, we suggest they may have been triggered by high nutrient input events on a local scale. Although the exact cause of these outbreaks is not known, these findings are of great concern because of the keystone role of O. validus and the slow recovery rate of Antarctic benthic ecosystems to environmental stressors.</t>
  </si>
  <si>
    <t>[Moran, Amy L.] Univ Hawaii Manoa, Sch Life Sci, Manoa, HI USA; [McLachlan, Rowan H.; Thurber, Andrew R.] Oregon State Univ, Dept Microbiol, Coll Sci, Corvallis, OR USA; [Thurber, Andrew R.] Oregon State Univ, Coll Earth Ocean &amp; Atmospher Sci, Corvallis, OR USA</t>
  </si>
  <si>
    <t>University of Hawaii System; University of Hawaii Manoa; Oregon State University; Oregon State University</t>
  </si>
  <si>
    <t>Moran, AL (corresponding author), Univ Hawaii Manoa, Sch Life Sci, Manoa, HI USA.</t>
  </si>
  <si>
    <t>morana@hawaii.edu</t>
  </si>
  <si>
    <t>McLachlan, Rowan/E-4099-2019</t>
  </si>
  <si>
    <t>Moran, Amy/0000-0002-0604-5096</t>
  </si>
  <si>
    <t>United States National Science Foundation Office of Polar Programs [NSF-OPP-1745130, NSF-OPP-2046800]</t>
  </si>
  <si>
    <t>United States National Science Foundation Office of Polar Programs(National Science Foundation (NSF))</t>
  </si>
  <si>
    <t>Funded by NSF-OPP-1745130 to ALM and NSF-OPP-2046800 to ART. United States National Science Foundation Office of Polar Programs, https://www.nsf.gov/div/index.jsp?div= OPP. The funders had no role in study design, data collection and analysis, decision to publish, or preparation of the manuscript.</t>
  </si>
  <si>
    <t>JUL 27</t>
  </si>
  <si>
    <t>e0282550</t>
  </si>
  <si>
    <t>10.1371/journal.pone.0282550</t>
  </si>
  <si>
    <t>R7OX2</t>
  </si>
  <si>
    <t>WOS:001066222400006</t>
  </si>
  <si>
    <t>Bourreau, L; Pauthenet, E; Le Ster, L; Picard, B; Portela, E; Sallée, JB; McMahon, CR; Harcourt, R; Hindell, M; Guinet, C; Bestley, S; Charrassin, JB; DuVivier, A; Sylvester, Z; Krumhardt, K; Jenouvrier, S; Labrousse, S</t>
  </si>
  <si>
    <t>Bourreau, Lucie; Pauthenet, Etienne; Le Ster, Loic; Picard, Baptiste; Portela, Esther; Sallee, Jean-Baptiste; McMahon, Clive R.; Harcourt, Robert; Hindell, Mark; Guinet, Christophe; Bestley, Sophie; Charrassin, Jean-Benoit; DuVivier, Alice; Sylvester, Zephyr; Krumhardt, Kristen; Jenouvrier, Stephanie; Labrousse, Sara</t>
  </si>
  <si>
    <t>First description of in situ chlorophyll fluorescence signal within East Antarctic coastal polynyas during fall and winter</t>
  </si>
  <si>
    <t>sea ice; Antarctic polynya; biotelemetry; chlorophyll-a; CTD</t>
  </si>
  <si>
    <t>SOUTHERN ELEPHANT SEALS; VERTICAL-DISTRIBUTION; MIROUNGA-LEONINA; SEASONAL CYCLE; ICE FORMATION; IRON; TILETAMINE; PROFILES; BIOMASS; BAY</t>
  </si>
  <si>
    <t>Antarctic coastal polynyas are persistent and recurrent regions of open water located between the coast and the drifting pack-ice. In spring, they are the first polar areas to be exposed to light, leading to the development of phytoplankton blooms, making polynyas potential ecological hotspots in sea-ice regions. Knowledge on polynya oceanography and ecology during winter is limited due to their inaccessibility. This study describes i) the first in situ chlorophyll fluorescence signal (a proxy for chlorophyll-a concentration and thus presence of phytoplankton) in polynyas between the end of summer and winter, ii) assesses whether the signal persists through time and iii) identifies its main oceanographic drivers. The dataset comprises 698 profiles of fluorescence, temperature and salinity recorded by southern elephant seals in 2011, 2019-2021 in the Cape-Darnley (CDP;67S-69E) and Shackleton (SP;66S-95E) polynyas between February and September. A significant fluorescence signal was observed until April in both polynyas. An additional signal occurring at 130m depth in August within CDP may result from in situ growth of phytoplankton due to potential adaptation to low irradiance or remnant chlorophyll-a that was advected into the polynya. The decrease and deepening of the fluorescence signal from February to August was accompanied by the deepening of the mixed layer depth and a cooling and salinification of the water column in both polynyas. Using Principal Component Analysis as an exploratory tool, we highlighted previously unsuspected drivers of the fluorescence signal within polynyas. CDP shows clear differences in biological and environmental conditions depending on topographic features with higher fluorescence in warmer and saltier waters on the shelf compared with the continental slope. In SP, near the ice-shelf, a significant fluorescence signal in April below the mixed layer (around 130m depth), was associated with fresher and warmer waters. We hypothesize that this signal could result from potential ice-shelf melting from warm water intrusions onto the shelf leading to iron supply necessary to fuel phytoplankton growth. This study supports that Antarctic coastal polynyas may have a key role for polar ecosystems as biologically active areas throughout the season within the sea-ice region despite inter and intra-polynya differences in environmental conditions.</t>
  </si>
  <si>
    <t>[Bourreau, Lucie; Jenouvrier, Stephanie] Woods Hole Oceanog Inst, Dept Biol, Woods Hole, MA 02543 USA; [Bourreau, Lucie; Sallee, Jean-Baptiste; Charrassin, Jean-Benoit; Labrousse, Sara] Sorbonne Univ, LOCEAN, UMR 7159, CNRS,MNHN,IRD,IPSL, Paris, France; [Pauthenet, Etienne; Portela, Esther; Guinet, Christophe] Univ Brest, LOPS, Ifremer, CNRS,IRD,IUEM, Plouzane, France; [Le Ster, Loic; Picard, Baptiste] CNRS UPR 1934, CEBC, Villiers En Bois, France; [Le Ster, Loic] Sorbonne Univ, CNRS, Lab Oceanog Villefranche, LOV, Villefranche Sur Mer, France; [Portela, Esther; Hindell, Mark; Bestley, Sophie] Univ Tasmania, Inst Marine &amp; Antarctic Studies, Hobart, Tas, Australia; [Portela, Esther] Univ East Anglia, Fac Sci, Ctr Ocean &amp; Atmospher Sci, Norwich, England; [McMahon, Clive R.] Sydney Inst Marine Sci, IMOS Anim Tagging, Mosman, NSW, Australia; [Harcourt, Robert] Macquarie Univ, Sch Nat Sci, Sydney, NSW, Australia; [Hindell, Mark; Bestley, Sophie] Univ Tasmania, Australian Ctr Excellence Antarctic Sci, Hobart, Tas, Australia; [DuVivier, Alice; Krumhardt, Kristen] Natl Ctr Atmospher Res, Climate &amp; Global Dynam Lab, Boulder, CO USA; [Sylvester, Zephyr] Univ Colorado, Environm Studies Program, Boulder, CO USA</t>
  </si>
  <si>
    <t>Woods Hole Oceanographic Institution; Centre National de la Recherche Scientifique (CNRS); CNRS - National Institute for Earth Sciences &amp; Astronomy (INSU); Museum National d'Histoire Naturelle (MNHN); Sorbonne Universite; Institut de Recherche pour le Developpement (IRD); Ifremer; Universite de Bretagne Occidentale; Institut Universitaire Europeen de la Mer (IUEM); Institut de Recherche pour le Developpement (IRD); Centre National de la Recherche Scientifique (CNRS); Centre National de la Recherche Scientifique (CNRS); Centre National de la Recherche Scientifique (CNRS); Sorbonne Universite; University of Tasmania; University of East Anglia; Sydney Institute of Marine Science; Macquarie University; University of Tasmania; National Center Atmospheric Research (NCAR) - USA; University of Colorado System; University of Colorado Boulder</t>
  </si>
  <si>
    <t>Bourreau, L (corresponding author), Woods Hole Oceanog Inst, Dept Biol, Woods Hole, MA 02543 USA.;Bourreau, L (corresponding author), Sorbonne Univ, LOCEAN, UMR 7159, CNRS,MNHN,IRD,IPSL, Paris, France.</t>
  </si>
  <si>
    <t>lucie.bourreau.1@ulaval.ca</t>
  </si>
  <si>
    <t>DuVivier, Alice K./JJC-1516-2023; McMahon, Clive R/D-5713-2013; sallée, jean-baptiste/A-5837-2010</t>
  </si>
  <si>
    <t>DuVivier, Alice K./0000-0001-6920-5926; McMahon, Clive R/0000-0001-5241-8917; Labrousse, Sara/0000-0002-8099-3254; Pauthenet, Etienne/0000-0002-0531-3810; Sylvester, Zephyr/0000-0002-2057-3741</t>
  </si>
  <si>
    <t>NASA [80NSSC20K1289, 80NSSC21K1132]; Centre d'Etudes Biologiques de Chize; University of Tasmania and the Integrated Marine Observing System (IMOS); French Polar Institute; National Collaborative Research Infrastructure Strategy (NCRIS); Australian Research Council [DP180101667, DP230101368]</t>
  </si>
  <si>
    <t>NASA(National Aeronautics &amp; Space Administration (NASA)); Centre d'Etudes Biologiques de Chize; University of Tasmania and the Integrated Marine Observing System (IMOS); French Polar Institute; National Collaborative Research Infrastructure Strategy (NCRIS)(Australian GovernmentDepartment of Industry, Innovation and Science); Australian Research Council(Australian Research Council)</t>
  </si>
  <si>
    <t>This project was supported by NASA award No 80NSSC21K1132 and NASA award No 80NSSC20K1289. The seal CTD-SRDL tags and deployments were funded and supported through a collaboration between the Centre d'Etudes Biologiques de Chize, the University of Tasmania and the Integrated Marine Observing System (IMOS). The data acquisition of this project was financially and logistically supported by the French Polar Institute (program 109: PI. C. Barbraud and 1201: PI. C. Gilbert and C. Guinet), SNO-MEMO, CNRS and CNES-TOSCA and IMOS. IMOS is enabled by the National Collaborative Research Infrastructure Strategy (NCRIS). It is operated by a consortium of institutions with the University of Tasmania as Lead Agent (https://imos.org.au/). The Australian Research Council provided financial support through Discovery Project DP180101667 and this work also represents a contribution to DP230101368.</t>
  </si>
  <si>
    <t>10.3389/fmars.2023.1186403</t>
  </si>
  <si>
    <t>P0VX5</t>
  </si>
  <si>
    <t>WOS:001047914400001</t>
  </si>
  <si>
    <t>Dewar-Fowler, V; Robinson, C; Saunders, RA; Tarling, GA</t>
  </si>
  <si>
    <t>Dewar-Fowler, Victoria; Robinson, Carol; Saunders, Ryan A.; Tarling, Geraint A.</t>
  </si>
  <si>
    <t>Detection of foray behaviour in zooplankton of the Antarctic Polar Front region</t>
  </si>
  <si>
    <t>Polar Ocean; Pelagic; DVM; Behaviour; Satiation sinking; Unsynchronised vertical migration</t>
  </si>
  <si>
    <t>DIEL VERTICAL MIGRATION; OITHONA-SIMILIS; FECAL PELLETS; ADAPTIVE SIGNIFICANCE; SCOTIA SEA; COPEPODS; CARBON; EXPORT; PHYTOPLANKTON; STRATEGIES</t>
  </si>
  <si>
    <t>In addition to diel vertical migration, individual zooplankton may also make a number of shorter-term migrations, or forays, into the surface layers from deeper depths. Direct observation of these forays is limited, particularly in the open ocean, which hinders our understanding of carbon flux via the biological carbon pump (BCP). We designed a novel net device capable of trapping zooplankton during such forays. The motion-compensated upward and downward looking (MUDL) net device consisted of 2 conical nets, one looking upwards and the other looking downwards, designed for stationary deployment at a set depth, into which migrating individuals must swim to be captured. The device was deployed at different time points within the diel cycle and at contrasting environments across the Antarctic Polar Front region in the southwestern Atlantic sector of the Southern Ocean. A range of zooplankton species were captured, with differences in abundance and species composition between times of day, net directions and sites. Of particular note was the large contribution of the copepod Oithona spp. to catches of both the upward and downward looking nets. Our study demonstrates the utility of our MUDL net for future ecosystem studies in the open ocean, particularly in relation to quantifying vertical carbon flux via the BCP.</t>
  </si>
  <si>
    <t>[Dewar-Fowler, Victoria; Saunders, Ryan A.; Tarling, Geraint A.] British Antarctic Survey, High Cross,Madingley Rd, Cambridge CB3 0ET, England; [Robinson, Carol] Univ East Anglia, Sch Environm Sci, Norwich NR4 7TJ, Norfolk, England</t>
  </si>
  <si>
    <t>UK Research &amp; Innovation (UKRI); Natural Environment Research Council (NERC); NERC British Antarctic Survey; University of East Anglia</t>
  </si>
  <si>
    <t>Tarling, GA (corresponding author), British Antarctic Survey, High Cross,Madingley Rd, Cambridge CB3 0ET, England.</t>
  </si>
  <si>
    <t>gant@bas.ac.uk</t>
  </si>
  <si>
    <t>Robinson, Carol/F-7649-2011</t>
  </si>
  <si>
    <t>Robinson, Carol/0000-0003-3033-4565</t>
  </si>
  <si>
    <t>NERC; EnvEast Doctoral Training Partnership</t>
  </si>
  <si>
    <t>NERC(UK Research &amp; Innovation (UKRI)Natural Environment Research Council (NERC)); EnvEast Doctoral Training Partnership</t>
  </si>
  <si>
    <t>We are grateful to the officers and crew of the RRS 'James Clark Ross' for ably assisting with deployment of the MUDL net during cruise JR16003. Engineers Scott Palfrey, Dan Ashurst and Peter Enderlein helped design and construct the net and assisted with deployments. Peter Ward provided invaluable taxonomic training to V.D.-F. and further quality control on the identification of zooplankton captured by the MUDL net. The contribution of G.A.T. and R.A.S. was supported by the NERC National Capability for sustained observations POETS programme carried out by the Ecosystems team at the British Antarctic Survey. V.D.-F. was funded by the EnvEast Doctoral Training Partnership.</t>
  </si>
  <si>
    <t>10.3354/meps14355</t>
  </si>
  <si>
    <t>P9AP7</t>
  </si>
  <si>
    <t>WOS:001053531600002</t>
  </si>
  <si>
    <t>Li, JM; Li, WH; Shum, CK; Li, F; Zhang, SK; Lei, JT</t>
  </si>
  <si>
    <t>Li, Jingming; Li, Wenhao; Shum, C. K.; Li, Fei; Zhang, Shengkai; Lei, Jintao</t>
  </si>
  <si>
    <t>Unraveling the contributions of atmospheric rivers on Antarctica crustal deformation and its spatiotemporal distribution during the past decade</t>
  </si>
  <si>
    <t>GEOPHYSICAL JOURNAL INTERNATIONAL</t>
  </si>
  <si>
    <t>Global change from geodesy; Satellite geodesy; Antarctica</t>
  </si>
  <si>
    <t>EXTREME PRECIPITATION</t>
  </si>
  <si>
    <t>Atmospheric rivers (ARs) are efficient mechanisms for transporting atmospheric moisture from low latitudes to the Antarctic continent. AR events induce intense snowfall episodes, which increase crustal deformation. Here, we used an AR detection algorithm, via a spatial matrix operation to quantify the contribution of AR-induced snowfall in the Antarctic continent, 2010-2019. Our results reveal that the AR snowfall contribution to Antarctica primarily ranged from 9.28 to 29.73 per cent from 2010 to 2019, and there was an evident increasing trend from 2015 to 2019 (20.66 per cent in 2015 to 29.30 per cent in 2019). AR-induced snowfall is one of the factors influencing the surface deformation of the Antarctic continent, based on the hourly AR snowfall deformation calculations for the Antarctic continent, both the average and maximum crustal deformation or displacement tends to be greatest near the coastline, while the displacement is less affected by AR further inland.</t>
  </si>
  <si>
    <t>[Li, Jingming; Li, Wenhao] State Key Lab Geoinformat Engn, Xian 710054, Peoples R China; [Li, Jingming] Southwest Forestry Univ, Sch Civil Engn, Kunming 650224, Yunnan, Peoples R China; [Li, Wenhao] Nanjing Tech Univ, Sch Geomat Sci &amp; Technol, Nanjing 211816, Peoples R China; [Li, Wenhao; Shum, C. K.] Chinese Acad Sci, Innovat Acad Precis Measurement Sci &amp; Technol, State Key Lab Geodesy &amp; Earths Dynam, Wuhan 430010, Peoples R China; [Shum, C. K.] Ohio State Univ, Sch Earth Sci, Div Geodet Sci, Columbus, OH 43210 USA; [Li, Fei; Zhang, Shengkai] Wuhan Univ, Chinese Antarctic Ctr Surveying &amp; Mapping, Wuhan 430079, Peoples R China; [Li, Fei] Wuhan Univ, State Key Lab Informat Engn Surveying Mapping &amp; Re, Wuhan 430079, Peoples R China; [Lei, Jintao] Guangxi Univ, Sch Civil Engn &amp; Architecture, Nanning 530004, Peoples R China</t>
  </si>
  <si>
    <t>Southwest Forestry University - China; Nanjing Tech University; Chinese Academy of Sciences; Innovation Academy for Precision Measurement Science &amp; Technology, CAS; University System of Ohio; Ohio State University; Wuhan University; Wuhan University; Guangxi University</t>
  </si>
  <si>
    <t>Li, WH (corresponding author), State Key Lab Geoinformat Engn, Xian 710054, Peoples R China.</t>
  </si>
  <si>
    <t>wh_li@whu.edu.cn</t>
  </si>
  <si>
    <t>Li, Jingming/0000-0002-7390-8066</t>
  </si>
  <si>
    <t>National Natural Science Foundation of China [42 074 006]; National Key Research and Development Program of China [2017YFA0603104]; State Key Program of the National Natural Science Foundation of China [41 531 069]</t>
  </si>
  <si>
    <t>National Natural Science Foundation of China(National Natural Science Foundation of China (NSFC)); National Key Research and Development Program of China; State Key Program of the National Natural Science Foundation of China(National Natural Science Foundation of China (NSFC))</t>
  </si>
  <si>
    <t>This research was funded by the National Natural Science Foundation of China (42 074 006), the National Key Research and Development Program of China (2017YFA0603104) and The State Key Program of the National Natural Science Foundation of China (41 531 069).</t>
  </si>
  <si>
    <t>0956-540X</t>
  </si>
  <si>
    <t>1365-246X</t>
  </si>
  <si>
    <t>GEOPHYS J INT</t>
  </si>
  <si>
    <t>Geophys. J. Int.</t>
  </si>
  <si>
    <t>10.1093/gji/ggad306</t>
  </si>
  <si>
    <t>O6BZ4</t>
  </si>
  <si>
    <t>WOS:001044653100002</t>
  </si>
  <si>
    <t>Pasquier, B; Holzer, M; Chamberlain, MA; Matear, RJ; Bindoff, NL; Primeau, FW</t>
  </si>
  <si>
    <t>Pasquier, Benoit; Holzer, Mark; Chamberlain, Matthew A.; Matear, Richard J.; Bindoff, Nathaniel L.; Primeau, Francois W.</t>
  </si>
  <si>
    <t>Optimal parameters for the ocean's nutrient, carbon, and oxygen cycles compensate for circulation biases but replumb the biological pump</t>
  </si>
  <si>
    <t>ORGANIC-MATTER; GAS-EXCHANGE; WIND-SPEED; MODEL; TEMPERATURE; PHOSPHORUS; TRANSPORT; STOICHIOMETRY; GROWTH; EXPORT</t>
  </si>
  <si>
    <t>Accurate predictive modeling of the ocean's global carbon and oxygen cycles is challenging because of uncertainties in both biogeochemistry and ocean circulation. Advances over the last decade have made parameter optimization feasible, allowing models to better match observed biogeochemical fields. However, does fitting a biogeochemical model to observed tracers using a circulation with known biases robustly capture the inner workings of the biological pump? Here we embed a mechanistic model of the ocean's coupled nutrient, carbon, and oxygen cycles into two circulations for the current climate. To assess the effects of biases, one circulation (ACCESS-M) is derived from a climate model and the other from data assimilation of observations (OCIM2). We find that parameter optimization compensates for circulation biases at the expense of altering how the biological pump operates. Tracer observations constrain pump strength and regenerated inventories for both circulations, but ACCESS-M export production optimizes to twice that of OCIM2 to compensate for ACCESS-M having lower sequestration efficiencies driven by less efficient particle transfer and shorter residence times. Idealized simulations forcing complete Southern Ocean nutrient utilization show that the response of the optimized system is sensitive to the embedding circulation. In ACCESS-M, Southern Ocean nutrient and dissolved inorganic carbon (DIC) trapping is partially short circuited by unrealistically deep mixed layers. For both circulations, intense Southern Ocean production deoxygenates Southern-Ocean-sourced deep waters, muting the imprint of circulation biases on oxygen. Our findings highlight that the biological pump's plumbing needs careful assessment to predict the biogeochemical response to ecological changes, even when optimally matching observations.</t>
  </si>
  <si>
    <t>[Pasquier, Benoit; Holzer, Mark] Univ New South Wales, Sch Math &amp; Stat, Sydney, NSW, Australia; [Chamberlain, Matthew A.; Matear, Richard J.] Commonwealth Sci &amp; Ind Res Org, Hobart, Tas, Australia; [Bindoff, Nathaniel L.] Univ Tasmania, Inst Marine &amp; Antarctic Studies, Hobart, Tas, Australia; [Primeau, Francois W.] Univ Calif Irvine, Dept Earth Syst Sci, Irvine, CA USA</t>
  </si>
  <si>
    <t>University of New South Wales Sydney; Commonwealth Scientific &amp; Industrial Research Organisation (CSIRO); University of Tasmania; University of California System; University of California Irvine</t>
  </si>
  <si>
    <t>Pasquier, B (corresponding author), Univ New South Wales, Sch Math &amp; Stat, Sydney, NSW, Australia.</t>
  </si>
  <si>
    <t>b.pasquier@unsw.edu.au</t>
  </si>
  <si>
    <t>Primeau, Francois W/A-7310-2011; Bindoff, Nathaniel/C-8050-2011; Holzer, Mark/E-8735-2011</t>
  </si>
  <si>
    <t>Pasquier, Benoit/0000-0002-3838-5976; Bindoff, Nathaniel/0000-0001-5662-9519; Chamberlain, Matthew/0000-0002-3287-3282; Holzer, Mark/0000-0002-9568-1763</t>
  </si>
  <si>
    <t>Australian Research Council [DP210101650]</t>
  </si>
  <si>
    <t>Australian Research Council(Australian Research Council)</t>
  </si>
  <si>
    <t>&amp; nbsp;This research has been supported by the Australian Research Council (grant no. DP210101650).</t>
  </si>
  <si>
    <t>JUL 26</t>
  </si>
  <si>
    <t>10.5194/bg-20-2985-2023</t>
  </si>
  <si>
    <t>P0WL9</t>
  </si>
  <si>
    <t>WOS:001047928800001</t>
  </si>
  <si>
    <t>Kerkar, AU; Tripathy, SC; Sabu, P</t>
  </si>
  <si>
    <t>Kerkar, Anvita U.; Tripathy, Sarat Chandra; Sabu, P.</t>
  </si>
  <si>
    <t>Concurrent measurements of phytoplankton productivity and light absorption from a global carbon hotspot: Variability, features, and causes</t>
  </si>
  <si>
    <t>GLOBAL AND PLANETARY CHANGE</t>
  </si>
  <si>
    <t>Bio-Optics; Phytoplankton Production; Southern Ocean; Time Series</t>
  </si>
  <si>
    <t>INDIAN-OCEAN SECTOR; SOUTHERN-OCEAN; BIOOPTICAL PROPERTIES; MARINE-PHYTOPLANKTON; MEDITERRANEAN SEA; AUSTRAL SUMMER; ANTARCTIC ZONE; STABLE C-13; IRON; ABUNDANCE</t>
  </si>
  <si>
    <t>Precise evaluation of in-situ bio-optical variables is crucial to better understand the biogeochemical facets of every ocean. Despite its global ecological importance, such observations are scarce in the Southern Ocean (SO) to date. Considering this caveat, the present study addresses two fundamental processes of the oceanic Carbon (C) cycle: primary productivity (PP) and phytoplankton light absorption (aph) through a 72 h time-series experiment in coastal Antarctica during the austral summer 2018. The 13C-based estimates PP measured onboard were higher than the 14C counterparts at all the sampling points. The persistent negative relationship between chlorophyll-a (Chl-a)-specific aph at 675 nm (a*ph (675)) and Chl-a at each timepoint indicated impact of pigment packaging on the absorption. Given the conventional link between the pigment packaging effect and the larger phytoplankton, we attempted a derivation of phytoplankton size fractions through two optical approaches. First of which (i.e., the spectral ratio of aph at blue to red (B/R)) band implied a clear predominance of microphytoplankton (with ratios 1.4-2.4, 77% of the total) followed by picophytoplankton (2.7-5.3), and nanophytoplankton (2.6-3.0). The second approach (i.e., a global absorption-based model) revealed the presence of the picophytoplankton community at 10, nanophytoplankton at 13, and the existence of microphytoplankton at 15 timepoints. We highlight the necessity of a thorough assessment of phytoplankton absorption and the magnitude of pigment packaging effect before applying any bio-optical algorithm to global datasets. This study, therefore, improves the current understanding of deviations in global bio-optical approaches contemplative of phytoplankton absorption.</t>
  </si>
  <si>
    <t>[Kerkar, Anvita U.; Tripathy, Sarat Chandra; Sabu, P.] Minist Earth Sci, ESSO Natl Ctr Polar &amp; Ocean Res NCPOR, Vasco Da Gama 403804, Goa, India; [Kerkar, Anvita U.] Florida Atlantic Univ, Harbor Branch Oceanog Inst, Ft Pierce, FL 34946 USA</t>
  </si>
  <si>
    <t>Ministry of Earth Sciences (MoES) - India; National Centre for Polar and Ocean Research (NCPOR); Harbor Branch Oceanographic Institute Foundation; State University System of Florida; Florida Atlantic University</t>
  </si>
  <si>
    <t>Tripathy, SC (corresponding author), Minist Earth Sci, ESSO Natl Ctr Polar &amp; Ocean Res NCPOR, Vasco Da Gama 403804, Goa, India.</t>
  </si>
  <si>
    <t>akerkar@fau.edu; sarat@ncpor.res.in</t>
  </si>
  <si>
    <t>Tripathy, Dr. Sarat Chandra/0000-0002-2437-8660</t>
  </si>
  <si>
    <t>Ministry of Earth Sciences, Government of India; Department of Science and Technology</t>
  </si>
  <si>
    <t>Ministry of Earth Sciences, Government of India(Ministry of Earth Science (MoES), Government of India); Department of Science and Technology(Department of Science &amp; Technology (India))</t>
  </si>
  <si>
    <t>Thanks are due to the Ministry of Earth Sciences, Government of India for financial support, and the Director, NCPOR, and Group Director, Ocean Sciences, for their encouragement. We appreciate the valuable help of the Captain and crew during the field campaign. Sincere thanks to Viola Rodrigues and Nikhil Baranval for their help. Laboratory facility provided by Dr. Manguesh Gauns is gratefully acknowledged. AUK sincerely thank the Department of Science and Technology for DST-INSPIRE doctoral research fellowship and Goa University, Goa for the administrative facilities. We highly appreciate the anonymous reviewers for providing constuctive comments to improve this manuscript, and the effot put in by the handling Editor during the review process. This is NCPOR contribution number J-18/2023-24.</t>
  </si>
  <si>
    <t>0921-8181</t>
  </si>
  <si>
    <t>1872-6364</t>
  </si>
  <si>
    <t>GLOBAL PLANET CHANGE</t>
  </si>
  <si>
    <t>Glob. Planet. Change</t>
  </si>
  <si>
    <t>10.1016/j.gloplacha.2023.104193</t>
  </si>
  <si>
    <t>P4IY0</t>
  </si>
  <si>
    <t>WOS:001050310500001</t>
  </si>
  <si>
    <t>Castillo, J; Tonon, AC; Hidalgo, MP; Silva, A; Tassino, B</t>
  </si>
  <si>
    <t>Castillo, Julieta; Tonon, Andre C.; Hidalgo, Maria Paz; Silva, Ana; Tassino, Bettina</t>
  </si>
  <si>
    <t>Individual light history matters to deal with the Antarctic summer</t>
  </si>
  <si>
    <t>HUMAN CIRCADIAN-RHYTHMS; PHASE RESPONSE CURVE; MORNINGNESS-EVENINGNESS QUESTIONNAIRE; DIM LIGHT; MELATONIN SUPPRESSION; PHYSICAL-ACTIVITY; GANGLION-CELLS; REST-ACTIVITY; SLEEP; BRIGHT</t>
  </si>
  <si>
    <t>The effect of light, main zeitgeber of the circadian system, depends on the time of day it is received. A brief trip to the Antarctic summer (ANT) allowed us to explore the impact of a sudden and synchronized increase in light exposure on activity-rest rhythms and sleep patterns of 11 Uruguayan university students, and to assess the significance of light history in determining individual circadian phase shift. Measurements collected in the peri-equinox in Montevideo, Uruguay (baseline situation, MVD) and in ANT, included sleep logs, actigraphy, and salivary melatonin to determine dim-light melatonin onset (DLMO), the most reliable marker of circadian phase. The increase in light exposure in ANT with respect to MVD (affecting both light-sensitive windows with opposite effects on the circadian phase) resulted in no net change in DLMO among participants as some participants advanced their DLMO and some others delayed it. The ultimate cause of each participant's distinctive circadian phase shift relied on the unique change in light exposure each individual was subjected to between their MVD and ANT. This study shows an association between the individual light history and the circadian phase shift.</t>
  </si>
  <si>
    <t>[Castillo, Julieta; Silva, Ana; Tassino, Bettina] Univ Republica, Grp Cronobiol, Comis Sectorial Invest Cient, Montevideo, Uruguay; [Tonon, Andre C.; Hidalgo, Maria Paz] Univ Fed Rio Grande do Sul, Hosp Clin Porto Alegre, Lab Cronobiol &amp; Sono, Porto Alegre, Brazil; [Silva, Ana] Univ Republica, Fac Ciencias, Lab Neurociencias, Montevideo, Uruguay; [Tassino, Bettina] Univ Republica, Fac Ciencias, Secc Etol, Igua 4225, Montevideo 11400, Uruguay</t>
  </si>
  <si>
    <t>Universidad de la Republica, Uruguay; Universidade Federal do Rio Grande do Sul; Universidad de la Republica, Uruguay; Universidad de la Republica, Uruguay</t>
  </si>
  <si>
    <t>Tassino, B (corresponding author), Univ Republica, Grp Cronobiol, Comis Sectorial Invest Cient, Montevideo, Uruguay.;Tassino, B (corresponding author), Univ Republica, Fac Ciencias, Secc Etol, Igua 4225, Montevideo 11400, Uruguay.</t>
  </si>
  <si>
    <t>tassino@fcien.edu.uy</t>
  </si>
  <si>
    <t>Silva, João/KBB-2844-2024; Silva, Ana/JGM-6679-2023; Hidalgo, MARIA PAZ Loayza/V-5612-2019</t>
  </si>
  <si>
    <t>Hidalgo, MARIA PAZ Loayza/0000-0002-7886-770X</t>
  </si>
  <si>
    <t>Comision Sectorial de Investigacion Cientifica [CSIC I+D_2016/623]; Agencia Nacional de Investigacion e Innovacion, Uruguay; Facultad de Ciencias, Universidad de la Republica, Montevideo, Uruguay; [CSIC Grupos 2018 #92]</t>
  </si>
  <si>
    <t>Comision Sectorial de Investigacion Cientifica; Agencia Nacional de Investigacion e Innovacion, Uruguay; Facultad de Ciencias, Universidad de la Republica, Montevideo, Uruguay;</t>
  </si>
  <si>
    <t>We wish to thank the students of the Second Summer School on Introduction to Antarctic Research, who kindly volunteered as participants of this study. We are especially thankful to the Instituto Antartico Uruguayo for the logistic support. Financial support was provided by Comision Sectorial de Investigacion Cientifica (CSIC I+D_2016/623 and CSIC Grupos 2018 #92) and Facultad de Ciencias, Universidad de la Republica, Montevideo, Uruguay. Julieta Castillo was supported by a scholarship from Agencia Nacional de Investigacion e Innovacion, Uruguay.</t>
  </si>
  <si>
    <t>10.1038/s41598-023-39315-y</t>
  </si>
  <si>
    <t>N7IB5</t>
  </si>
  <si>
    <t>WOS:001038693100004</t>
  </si>
  <si>
    <t>Gallagher, KL; Dinniman, MS; Lynch, HJ</t>
  </si>
  <si>
    <t>Gallagher, Katherine L.; Dinniman, Michael S.; Lynch, Heather J.</t>
  </si>
  <si>
    <t>Quantifying Antarctic krill connectivity across the West Antarctic Peninsula and its role in large-scale Pygoscelis penguin population dynamics</t>
  </si>
  <si>
    <t>LARVAL EUPHAUSIA-SUPERBA; CIRCUMPOLAR DEEP-WATER; RANDOM-WALK MODELS; CHINSTRAP PENGUINS; CLIMATE-CHANGE; SEA-ICE; INTERANNUAL VARIABILITY; SCOTIA SEA; TRANSPORT; BRANSFIELD</t>
  </si>
  <si>
    <t>Antarctic krill (Euphausia superba) are considered a keystone species for higher trophic level predators along the West Antarctic Peninsula (WAP) during the austral summer. The connectivity of krill may play a critical role in predator biogeography, especially for central-place foragers such as the Pygoscelis spp. penguins that breed along the WAP during the austral summer. Antarctic krill are also heavily fished commercially; therefore, understanding population connectivity of krill is critical to effective management. Here, we used a physical ocean model to examine adult krill connectivity in this region using simulated krill with realistic diel vertical migration behaviors across four austral summers. Our results indicate that krill north and south of Low Island and the southern Bransfield Strait are nearly isolated from each other and that persistent current features play a role in this lack of inter-region connectivity. Transit and entrainment times were not correlated with penguin populations at the large spatial scales examined. However, long transit times and reduced entrainment correlate spatially with the areas where krill fishing is most intense, which heightens the risk that krill fishing may lead to limited krill availability for predators.</t>
  </si>
  <si>
    <t>[Gallagher, Katherine L.; Lynch, Heather J.] Suny Stony Brook, Inst Adv Computat Sci, Stony Brook, NY 11794 USA; [Dinniman, Michael S.] Old Dominion Univ, Dept Ocean &amp; Earth Sci, Norfolk, VA 23529 USA; [Lynch, Heather J.] Suny Stony Brook, Dept Ecol &amp; Evolut, Stony Brook, NY 11790 USA</t>
  </si>
  <si>
    <t>State University of New York (SUNY) System; State University of New York (SUNY) Stony Brook; Old Dominion University; State University of New York (SUNY) System; State University of New York (SUNY) Stony Brook</t>
  </si>
  <si>
    <t>Gallagher, KL (corresponding author), Suny Stony Brook, Inst Adv Computat Sci, Stony Brook, NY 11794 USA.</t>
  </si>
  <si>
    <t>Katherine.L.Hudson@stonybrook.edu</t>
  </si>
  <si>
    <t>Gallagher, Katherine/0000-0002-3076-8016</t>
  </si>
  <si>
    <t>National Science Foundation (NSF) [1927880]; Advanced Cyberinfrastructure Coordination Ecosystem: Services amp; Support (ACCESS) program; NSF [2138259, 2138286, 2138307, 2137603, 2138296]; NSF Office of Polar Programs Postdoctoral Research Fellowship [2138277]</t>
  </si>
  <si>
    <t>National Science Foundation (NSF)(National Science Foundation (NSF)); Advanced Cyberinfrastructure Coordination Ecosystem: Services amp; Support (ACCESS) program; NSF(National Science Foundation (NSF)); NSF Office of Polar Programs Postdoctoral Research Fellowship</t>
  </si>
  <si>
    <t>The authors would like to thank Stony Brook Research Computing and Cyberinfrastructure, and the Institute for Advanced Computational Science at Stony Brook University for access to the innovative high-performance Ookami computing system, which was made possible by a $5M National Science Foundation (NSF) grant (#1927880). Resources on Ookami were provided by allocation EES220028 from the Advanced Cyberinfrastructure Coordination Ecosystem: Services &amp; Support (ACCESS) program, which is supported by NSF awards #2138259, #2138286, #2138307, #2137603, and #2138296. We also thank Eva Seigmann at Stony Brook University for her assistance in tuning ROMS for Ookami. K.L.G. is supported by the NSF Office of Polar Programs Postdoctoral Research Fellowship (Award #2138277).</t>
  </si>
  <si>
    <t>10.1038/s41598-023-39105-6</t>
  </si>
  <si>
    <t>WOS:001038693100024</t>
  </si>
  <si>
    <t>Chen, Y; Lei, RB; Zhao, X; Wu, SL; Liu, Y; Fan, P; Ji, Q; Zhang, P; Pang, XP</t>
  </si>
  <si>
    <t>Chen, Ying; Lei, Ruibo; Zhao, Xi; Wu, Shengli; Liu, Yue; Fan, Pei; Ji, Qing; Zhang, Peng; Pang, Xiaoping</t>
  </si>
  <si>
    <t>A new sea ice concentration product in the polar regions derived from the FengYun-3 MWRI sensors</t>
  </si>
  <si>
    <t>SSM/I; ALGORITHMS; MORPHOLOGY; REDUCTION; SECTOR</t>
  </si>
  <si>
    <t>Sea ice concentration (SIC) is the main geophysical variable for quantifying change in sea ice in the polar regions. A continuous SIC product is key to informing climate and ecosystem studies in the polar regions. Our study generates a new SIC product covering the Arctic and Antarctic from November 2010 to December 2019. It is the first long-term SIC product derived from the Microwave Radiation Imager (MWRI) sensors on board the Chinese FengYun-3B, FengYun-3C, and FengYun-3D satellites, after a recent re-calibration of brightness temperature. We modified the previous Arctic Radiation and Turbulence Interaction Study Sea Ice (ASI) dynamic tie point algorithm mainly by changing input brightness temperature and initial tie points. The MWRI-ASI SIC was compared to the existing ASI SIC products and validated using ship-based SIC observations. Results show that the MWRI-ASI SIC mostly coincides with the ASI SIC obtained from the Special Sensor Microwave Imager series sensors, with overall biases of - 1 +/- 2 % in the Arctic and 0.5 +/- 2 % in the Antarctic, respectively. The overall mean absolute deviation between the MWRI-ASI SIC and ship-based SIC is 16 % and 17 % in the Arctic and Antarctic, respectively, which is close to the existing ASI SIC products. The trend of sea ice extent (SIE) derived from the MWRI-ASI SIC closely agrees with the trends of the Sea Ice Index SIEs provided by the Ocean and Sea Ice Satellite Application Facility (OSI SAF) and the National Snow and Ice Data Center (NSIDC). Therefore, the MWRI-ASI SIC is comparable with other SIC products and may be applied alternatively. The MWRI-ASI SIC dataset is available at https://doi.org/10.1594/PANGAEA.945188 (Chen et al., 2022b).</t>
  </si>
  <si>
    <t>[Chen, Ying; Lei, Ruibo; Liu, Yue; Fan, Pei; Ji, Qing; Pang, Xiaoping] Wuhan Univ, Chinese Antarctic Ctr Surveying &amp; Mapping, Wuhan 430079, Peoples R China; [Lei, Ruibo] Polar Res Inst China, Key Lab Polar Sci, Minist Nat Resources, Shanghai, Peoples R China; [Zhao, Xi] Sun Yat Sen Univ &amp; Southern Marine Sci, Sch Geospatial Engn &amp; Sci, Engn Guangdong Lab, Zhuhai, Peoples R China; [Wu, Shengli; Zhang, Peng] China Meteorol Adm, Natl Satellite Meteorol Ctr, Natl Ctr Space Weather, Key Lab Radiometr Calibrat &amp; Validat Environm Sate, Beijing, Peoples R China; [Wu, Shengli; Zhang, Peng] Innovat Ctr FengYun Meteorol Satellite FYSIC, Beijing, Peoples R China; [Liu, Yue] Jiangsu Prov Surveying &amp; Mapping Engn Inst, Nanjing, Peoples R China</t>
  </si>
  <si>
    <t>Wuhan University; Polar Research Institute of China; Ministry of Natural Resources of the People's Republic of China; China Meteorological Administration</t>
  </si>
  <si>
    <t>Pang, XP (corresponding author), Wuhan Univ, Chinese Antarctic Ctr Surveying &amp; Mapping, Wuhan 430079, Peoples R China.</t>
  </si>
  <si>
    <t>pxp@whu.edu.cn</t>
  </si>
  <si>
    <t>Zhang, Peng/G-2599-2014; Wu, Shengli/Y-9381-2019</t>
  </si>
  <si>
    <t>Zhang, Peng/0000-0002-7115-1389; Wu, Shengli/0000-0002-5930-3183; Li, Na/0000-0003-3246-0039</t>
  </si>
  <si>
    <t>National Key Research and Development Program of China [2018YFA0605903, 2021YFC2801304, 2018YFB0504905]; National Natural Science Foundation of China [42076235, 41876223]; Fundamental Research Funds for the Central Universities [2042022kf0018]; Program of Shanghai Academic/Technology Research Leader [22XD1403600]</t>
  </si>
  <si>
    <t>National Key Research and Development Program of China; National Natural Science Foundation of China(National Natural Science Foundation of China (NSFC)); Fundamental Research Funds for the Central Universities(Fundamental Research Funds for the Central Universities); Program of Shanghai Academic/Technology Research Leader</t>
  </si>
  <si>
    <t>This research has been supported by the National Key Research and Development Program of China (grant nos. 2018YFA0605903, 2021YFC2801304, and 2018YFB0504905), the National Natural Science Foundation of China (grant nos. 42076235 and 41876223), the Fundamental Research Funds for the Central Universities (grant no. 2042022kf0018), and the Program of Shanghai Academic/Technology Research Leader (grant no. 22XD1403600).</t>
  </si>
  <si>
    <t>10.5194/essd-15-3223-2023</t>
  </si>
  <si>
    <t>N4VS2</t>
  </si>
  <si>
    <t>WOS:001037013600001</t>
  </si>
  <si>
    <t>Baishnab, SS; Shahir, A; Mandal, S; Tripathy, SC</t>
  </si>
  <si>
    <t>Baishnab, Soumya Subhra; Shahir, Ahmed; Mandal, Sumit; Tripathy, Sarat Chandra</t>
  </si>
  <si>
    <t>Unveiling the meiobenthic community structure of Prydz Bay, Antarctica during austral summer</t>
  </si>
  <si>
    <t>Southern Ocean; Prydz Bay; Meiobenthos; Nematoda; Abundance; Biological Trait Analysis</t>
  </si>
  <si>
    <t>SPRING PHYTOPLANKTON BLOOM; DEEP-SEA MEIOFAUNA; FUNCTIONAL DIVERSITY; NEMATODE COMMUNITIES; ENVIRONMENTAL DISTURBANCE; SURFACE SEDIMENTS; MARINE NEMATODES; TRAIT RESPONSES; ORGANIC-MATTER; SPECIES TRAITS</t>
  </si>
  <si>
    <t>Meiobenthos are bottom-dwelling aquatic invertebrates having a size range of 63-500 &amp; mu;m. They play a pivotal role in ecosystem functioning, biogeochemical and trophic nutrient cycling. Due to the presence of Antarctic Circumpolar Current and steep gradient in nutrients and temperature, many taxa of the Southern Ocean (SO) show diverse biodiversity patterns in comparison to other deep sea areas of the world. Over the years, several Indian SO Expeditions have been carried out in the Indian sector of SO (ISSO), but this is a pioneer attempt to unveil the meiobenthic community structure and their functional diversity pattern from Prydz Bay (Indian sector of Southern Ocean), Antarctica. Meiobenthic community structures were investigated in eight different sampling sites along with their vertical profiling from the Prydz Bay during the austral summer 2020. Total meiofaunal abundance ranged from 24 to 521 indv. 10 cm-2, with the highest abundance recorded at station 23 and the lowest at station 9. A total of 9 meiobenthic taxa were found from this eco-region, with the highest percentage being the free-living marine nematodes as metazoan taxa. A total of 86 free-living nematode species were identified, where Sabatieria was the most common genus and represented by eleven species. Several univariate and multivariate analyses deciphered a distinct spatial variation in the meiobenthic community structure. Sediment texture and depth were the most significant environmental variables in shaping nematode assemblages. Biological Trait Analysis was performed using a total of 24 traits in 5 categories to unravel the functional diversity of free-living marine nematodes. The most dominant morphotypes were slender body shape, conical tail shape, dotted cuticle pattern, and non-selective deposit feeders with colonizing abilities of 2 (c-p score 2, in a scale from 1 to 5). Maturity Index (MI) and Index of Trophic Diversity (ITD) were highest in stations 15 and 32, respectively. RLQ approach with fourth-corner analysis was used to decipher the relationship between traits and environmental parameters. The RLQ analysis revealed the positive association of non-selective deposit feeder and slender body-shaped nematodes with higher water depth. The characterization of meiobenthic (especially nematode) communities in the context of taxonomic and functional attributes could help to evaluate the ecological status of ISSO. Further long term monitoring is also needed to get a comprehensive idea about their role in benthic ecosystem functioning in the milieu of global climate change.</t>
  </si>
  <si>
    <t>[Baishnab, Soumya Subhra; Shahir, Ahmed; Mandal, Sumit] Presidency Univ, Dept Life Sci, Marine Ecol Lab, 86-1 Coll St, Kolkata 700073, India; [Tripathy, Sarat Chandra] Minist Earth Sci, ESSO Natl Ctr Polar &amp; Ocean Res, Vasco Da Gama 403804, Goa, India</t>
  </si>
  <si>
    <t>Presidency University, Kolkata; Ministry of Earth Sciences (MoES) - India; National Centre for Polar and Ocean Research (NCPOR)</t>
  </si>
  <si>
    <t>Mandal, S (corresponding author), Presidency Univ, Dept Life Sci, Marine Ecol Lab, 86-1 Coll St, Kolkata 700073, India.</t>
  </si>
  <si>
    <t>sumit.dbs@presiuniv.ac.in</t>
  </si>
  <si>
    <t>Tripathy, Dr. Sarat Chandra/0000-0002-2437-8660; Mandal, Sumit/0000-0002-2147-9466</t>
  </si>
  <si>
    <t>Pacer Outreach Pro-gram (POP) under the Polar Science And Cryosphere Programme (PACER) initiative; NCPOR [NCPOR/2019/PACER-POP/BS-09]</t>
  </si>
  <si>
    <t>Pacer Outreach Pro-gram (POP) under the Polar Science And Cryosphere Programme (PACER) initiative; NCPOR</t>
  </si>
  <si>
    <t>The authors wish to express their gratitude to the Vice Chancellor, Presidency University for providing facilities and encouragement to carry out the above research work. We are also grateful to the Director, NCPOR, Ministry of Earth Sciences, Goa, for his encouragement and for permitting S.M. to participate in the 11th Indian Scientific Expedition to the Southern Ocean (ISESO) . We are grateful to one and all members of ISESO who helped onboard during the collection of samples. This work is supported by grants awarded to S.M. from NCPOR (NCPOR/2019/PACER-POP/BS-09 dated 05.07.2019) under the Pacer Outreach Program (POP) under the Polar Science And Cryosphere Programme (PACER) initiative. The data in this paper is part of a doctoral thesis of SSB to be submitted in partial fulfillment of the requirements of a degree of Doctor of Philosophy from Presidency University, Kolkata. The authors would also like to express their appreciation to the members of the Marine Ecology Laboratory for their time-to-time help and excellent teamwork. This is NCPOR contribution number J-17/2023-24.</t>
  </si>
  <si>
    <t>10.1016/j.dsr.2023.104109</t>
  </si>
  <si>
    <t>Q1SD2</t>
  </si>
  <si>
    <t>WOS:001055378200001</t>
  </si>
  <si>
    <t>Kang, SM; Yu, Y; Deser, C; Zhang, XY; Kang, IS; Lee, SS; Rodgers, KB; Ceppi, P</t>
  </si>
  <si>
    <t>Kang, Sarah M.; Yu, Yue; Deser, Clara; Zhang, Xiyue; Kang, In- Sik; Lee, Sun- Seon; Rodgers, Keith B.; Ceppi, Paulo</t>
  </si>
  <si>
    <t>Global impacts of recent Southern Ocean cooling</t>
  </si>
  <si>
    <t>PROCEEDINGS OF THE NATIONAL ACADEMY OF SCIENCES OF THE UNITED STATES OF AMERICA</t>
  </si>
  <si>
    <t>Southern Ocean cooling; global teleconnection; tropical Pacific cooling; subtropical cloud feedback</t>
  </si>
  <si>
    <t>SEA-SURFACE TEMPERATURE; ICE TRENDS; DRIVEN; TELECONNECTIONS</t>
  </si>
  <si>
    <t>Since the beginning of the satellite era, Southern Ocean sea surface temperatures (SSTs) have cooled, despite global warming. While observed Southern Ocean cooling has pre-viously been reported to have minimal impact on the tropical Pacific, the efficiency of this teleconnection has recently shown to be mediated by subtropical cloud feedbacks that are highly model-dependent. Here, we conduct a coupled model intercomparison of paired ensemble simulations under historical radiative forcing: one with freely evolving SSTs and the other with Southern Ocean SST anomalies constrained to follow observa-tions. We reveal a global impact of observed Southern Ocean cooling in the model with stronger (and more realistic) cloud feedbacks, including Antarctic sea-ice expansion, southeastern tropical Pacific cooling, northward-shifted Hadley circulation, Aleutian low weakening, and North Pacific warming. Our results therefore suggest that observed Southern Ocean SST decrease might have contributed to cooler conditions in the eastern tropical Pacific in recent decades.</t>
  </si>
  <si>
    <t>[Kang, Sarah M.] Ulsan Natl Inst Sci &amp; Technol, Dept Urban &amp; Environm Engn, Ulsan 44919, South Korea; [Kang, Sarah M.] Max Planck Inst Meteorol, D-20146 Hamburg, Germany; [Yu, Yue; Kang, In- Sik] Minist Nat Resources, Inst Oceanog 2, State Key Lab Satellite Ocean Environm Dynam, Hangzhou 310012, Peoples R China; [Deser, Clara] Natl Ctr Atmospher Res, Climate &amp; Global Dynam Lab, Boulder, CO 80305 USA; [Zhang, Xiyue] Johns Hopkins Univ, Dept Earth &amp; Planetary Sci, Baltimore, MD 21218 USA; [Lee, Sun- Seon; Rodgers, Keith B.] Inst Basic Sci, Ctr Climate Phys, Busan 46241, South Korea; [Lee, Sun- Seon; Rodgers, Keith B.] Pusan Natl Univ, Busan 46241, South Korea; [Ceppi, Paulo] Imperial Coll London, Dept Phys, London SW7 2AZ, England</t>
  </si>
  <si>
    <t>Ulsan National Institute of Science &amp; Technology (UNIST); Max Planck Society; Ministry of Natural Resources of the People's Republic of China; National Center Atmospheric Research (NCAR) - USA; Johns Hopkins University; Institute for Basic Science - Korea (IBS); Pusan National University; Imperial College London</t>
  </si>
  <si>
    <t>Kang, SM (corresponding author), Ulsan Natl Inst Sci &amp; Technol, Dept Urban &amp; Environm Engn, Ulsan 44919, South Korea.;Kang, SM (corresponding author), Max Planck Inst Meteorol, D-20146 Hamburg, Germany.;Deser, C (corresponding author), Natl Ctr Atmospher Res, Climate &amp; Global Dynam Lab, Boulder, CO 80305 USA.</t>
  </si>
  <si>
    <t>skang@unist.ac.kr; cdeser@ucar.edu</t>
  </si>
  <si>
    <t>Rodgers, Keith/AAL-4329-2021; Ceppi, Paulo/N-2282-2016; , Sarah/CAA-3536-2022</t>
  </si>
  <si>
    <t>Ceppi, Paulo/0000-0002-3754-3506; , Sarah/0000-0003-4635-275X; Yu, Yue/0000-0003-1788-7261; Rodgers, Keith/0000-0002-6465-8923</t>
  </si>
  <si>
    <t>Research Program for the carbon cycle between oceans, land, and atmosphere of the National Research Foundation (NRF) - Ministry of Science and ICT [NRF-2022M3I6A1090965]; National Research Foundation (NRF) - Ministry of Science and ICT [NRF-2022M3I6A1090965]; NSF; Scientific Research Fund of the Second Institute of Oceanography, Ministry of Natural Resources [JG2207]; high-performance computing cluster of State Key Laboratory of Satellite Ocean Environment Dynamics; Institute for Basic Science (IBS), Republic of Korea [IBS-R028-D1]; UK Natural Environment Research Council [NE/T006250/1, NE/V012045/1]</t>
  </si>
  <si>
    <t>Research Program for the carbon cycle between oceans, land, and atmosphere of the National Research Foundation (NRF) - Ministry of Science and ICT(National Research Foundation of Korea); National Research Foundation (NRF) - Ministry of Science and ICT(National Research Foundation of Korea); NSF(National Science Foundation (NSF)); Scientific Research Fund of the Second Institute of Oceanography, Ministry of Natural Resources; high-performance computing cluster of State Key Laboratory of Satellite Ocean Environment Dynamics; Institute for Basic Science (IBS), Republic of Korea; UK Natural Environment Research Council(UK Research &amp; Innovation (UKRI)Natural Environment Research Council (NERC))</t>
  </si>
  <si>
    <t>S.M.K. was supported by the Research Program for the carbon cycle between oceans, land, and atmosphere of the National Research Foundation (NRF) funded by the Ministry of Science and ICT (NRF-2022M3I6A1090965) . NCAR is sponsored by the NSF. Y.Y. was supported by the Scientific Research Fund of the Second Institute of Oceanography, Ministry of Natural Resources (Grant No.JG2207) and the high-performance computing cluster of State Key Laboratory of Satellite Ocean Environment Dynamics. S.-S.L. and K.B.R. were supported by the Institute for Basic Science (IBS), Republic of Korea, under IBS-R028-D1. P.C. was supported by UK Natural Environment Research Council grants NE/T006250/1 and NE/V012045/1.</t>
  </si>
  <si>
    <t>NATL ACAD SCIENCES</t>
  </si>
  <si>
    <t>2101 CONSTITUTION AVE NW, WASHINGTON, DC 20418 USA</t>
  </si>
  <si>
    <t>0027-8424</t>
  </si>
  <si>
    <t>1091-6490</t>
  </si>
  <si>
    <t>P NATL ACAD SCI USA</t>
  </si>
  <si>
    <t>Proc. Natl. Acad. Sci. U. S. A.</t>
  </si>
  <si>
    <t>JUL 25</t>
  </si>
  <si>
    <t>e2300881120</t>
  </si>
  <si>
    <t>10.1073/pnas.2300881120</t>
  </si>
  <si>
    <t>P6ON6</t>
  </si>
  <si>
    <t>WOS:001051851000001</t>
  </si>
  <si>
    <t>Koo, Y; Xie, HJ; Kurtz, NT; Ackley, SF; Wang, W</t>
  </si>
  <si>
    <t>Koo, Younghyun; Xie, Hongjie; Kurtz, Nathan T.; Ackley, Stephen F.; Wang, Wei</t>
  </si>
  <si>
    <t>Sea ice surface type classification of ICESat-2 ATL07 data by using data-driven machine learning model: Ross Sea, Antarctic as an example</t>
  </si>
  <si>
    <t>Satellite altimeter; Southern Ocean; Ross Sea; Multilayer perceptron (MLP); Neural network (NN); Sea ice leads; Thin ice; Freeboard</t>
  </si>
  <si>
    <t>THICKNESS; VARIABILITY; FREEBOARD; FRAZIL; SAR</t>
  </si>
  <si>
    <t>The ICESat-2 (IS2) ATL07 sea ice height product provides precise and accurate measurements of sea ice height for the polar regions. Although the original ATL07 product classifies the sea ice surface into snow-covered ice and open water (dark leads and specular leads), it has two critical issues: (1) it does not distinguish thin ice (gray ice) from thick/snow-covered ice or open water and (2) it involves uncertainties in the dark lead determination. To address these issues and obtain more accurate lead fraction and freeboard estimation, in this study, we assess a data-driven machine learning approach for sea ice surface type classification from the ATL07 product. A total of 17 IS2 tracks covering the Ross Sea in February, March, September, October, and November 2019 are used in this study. For training and testing the neural network (NN) models, we label the ATL07 data into three surface types: thick/snow-covered sea ice, thin/gray sea ice, and open water based on the coincident Sentinel-2 optical images. We use six variables from the ATL07 data: background rate, photon rate, relative surface height, width of height distribution, number of laser pulses, and difference in mean and median height, with the first three variables found to be the most significant in determining surface types. Our spatiotemporal test shows that the NN models can be applied to the ATL07 dataset with similar to 99% accuracy in the Ross Sea, and the beam test shows that the difference in the accuracy for three beams is negligible. While the current ATL07 product captures only similar to 5% of thin ice and similar to 81% of open water correctly, our NN models capture similar to 90% of both open water and thin ice leads successfully. When we qualitatively assess the surface classification of the NN models by using the coincident optical and radar images, our NN models do not show significant misclassification issues both in the daytime and nighttime and both in the winter and summer seasons. Compared to the IS2 ATL10 sea ice freeboard product, the ability of our NN model to separate thin ice and open water from snow-covered/thick ice is significant in freeboard estimation, especially for winter and highly packed sea ice areas. Open water and thin ice classes also improve mapping lead fraction and floe size distribution.</t>
  </si>
  <si>
    <t>[Koo, Younghyun; Xie, Hongjie; Ackley, Stephen F.] Univ Texas San Antonio, Dept Earth &amp; Planetary Sci, San Antonio, TX 78249 USA; [Kurtz, Nathan T.] NASA Goddard Space Flight Ctr, Cryospher Sci Lab, Greenbelt, MD USA; [Wang, Wei] Univ Texas San Antonio, Dept Comp Sci, San Antonio, TX USA</t>
  </si>
  <si>
    <t>University of Texas System; University of Texas at San Antonio (UTSA); National Aeronautics &amp; Space Administration (NASA); NASA Goddard Space Flight Center; University of Texas System; University of Texas at San Antonio (UTSA)</t>
  </si>
  <si>
    <t>Xie, HJ (corresponding author), Univ Texas San Antonio, Dept Earth &amp; Planetary Sci, San Antonio, TX 78249 USA.</t>
  </si>
  <si>
    <t>hongjie.xie@utsa.edu</t>
  </si>
  <si>
    <t>Wang, Wei/ACT-0411-2022; Xie, Hongjie/B-5845-2009</t>
  </si>
  <si>
    <t>Wang, Wei/0000-0003-2262-2508; Xie, Hongjie/0000-0003-3516-1210; Koo, YoungHyun/0000-0001-9235-5009</t>
  </si>
  <si>
    <t>U.S. NSF [1835784]; NASA [80NSSC19M0194]</t>
  </si>
  <si>
    <t>U.S. NSF(National Science Foundation (NSF)); NASA(National Aeronautics &amp; Space Administration (NASA))</t>
  </si>
  <si>
    <t>We would like to thank the National Aeronautics and Space Administration (NASA) for the availability of ICESat-2 data and Euro-pean Space Agency (ESA) for the Sentinel-2 and Sentinel-1 data. Fund-ing supports for Y. Koo and H. Xie were from the U.S. NSF grant (1835784) ; S.F. Ackley was supported by the NASA Grant 80NSSC19M0194 to CAMEE, UTSA.</t>
  </si>
  <si>
    <t>10.1016/j.rse.2023.113726</t>
  </si>
  <si>
    <t>P0AL5</t>
  </si>
  <si>
    <t>WOS:001047351600001</t>
  </si>
  <si>
    <t>Koo, Y; Xie, HJ; Mahmoud, H; Iqrah, JM; Ackley, SF</t>
  </si>
  <si>
    <t>Koo, Younghyun; Xie, Hongjie; Mahmoud, Hazem; Iqrah, Jurdana Masuma; Ackley, Stephen F.</t>
  </si>
  <si>
    <t>Automated detection and tracking of medium-large icebergs from Sentinel-1 imagery using Google Earth Engine</t>
  </si>
  <si>
    <t>Antarctica; Amundsen Sea; Image segmentation; Support vector machine (SVM); 1-D shape signal; Python</t>
  </si>
  <si>
    <t>MACHINE LEARNING APPROACH; WEDDELL SEA; SAR IMAGES; ICE; DISTRIBUTIONS; SIZE; ANTARCTICA; REGIONS; DEBRIS; IMPACT</t>
  </si>
  <si>
    <t>Monitoring Antarctic icebergs helps us understand the interaction between ocean, atmosphere, and sea ice in the Southern Ocean. Although gigantic icebergs have been the objects of many remote sensing studies, medium icebergs in the Southern Ocean have been rarely monitored or traced. In this study, we develop an iceberg detection and tracking tool particularly for medium and large icebergs (0.4-10 km2), by using Python programming language and Sentinel-1 (S1) imagery, based on Google Earth Engine (GEE). To detect icebergs, we employ the simple non-iterative clustering (SNIC) and region adjacency graph (RAG) merging for object-based image segmentation and train/test the support vector machine (SVM) model with 6432 labeled segments of iceberg or non-icebergs from 40 images of S1 (2019-2021). Radar backscatter features and morphological features of those segments are used as the inputs of the SVM model. After icebergs are detected in two image scenes of different dates, we track the displacements of detected icebergs by comparing their 1-D shape signals. Our model shows -99% of accuracy in detecting icebergs and - 93-98% of accuracy in tracking icebergs depending on the day difference between image scenes. When using our tool for the monitoring of icebergs in the Amundsen Sea, we find that the iceberg fraction varies from 2% to 8% in 2021 and most of icebergs move westward with a speed of &lt;0.2 km/day.</t>
  </si>
  <si>
    <t>[Koo, Younghyun; Xie, Hongjie; Mahmoud, Hazem; Ackley, Stephen F.] Univ Texas San Antonio, Dept Earth &amp; Planetary Sci, San Antonio, TX 78249 USA; [Iqrah, Jurdana Masuma] Univ Texas San Antonio, Dept Comp Sci, San Antonio, TX USA</t>
  </si>
  <si>
    <t>University of Texas System; University of Texas at San Antonio (UTSA); University of Texas System; University of Texas at San Antonio (UTSA)</t>
  </si>
  <si>
    <t>Xie, Hongjie/B-5845-2009</t>
  </si>
  <si>
    <t>Xie, Hongjie/0000-0003-3516-1210; Koo, YoungHyun/0000-0001-9235-5009; Iqrah, Jurdana Masuma/0000-0002-0488-4021; Mahmoud, Hazem/0000-0001-9003-2353</t>
  </si>
  <si>
    <t>We would like to thank the European Space Agency (ESA) for processing and providing Sentinel-1 SAR data and GEE for providing the cloud-computation capability. This research was funded by U.S. NSF grant 1835784 (Y. Koo and H. Xie) ; S. F. Ackley was supported by NASA Grant 80NSSC19M0194 to CAMEE, UTSA.</t>
  </si>
  <si>
    <t>10.1016/j.rse.2023.113731</t>
  </si>
  <si>
    <t>P0CW1</t>
  </si>
  <si>
    <t>WOS:001047414400001</t>
  </si>
  <si>
    <t>Sreerag, A; Mishra, RK; Naik, RK; Venkataramana, V; Soares, MA; Mahale, R; Anilkumar, N; Gauns, M</t>
  </si>
  <si>
    <t>Sreerag, A.; Mishra, Rajani Kanta; Naik, Ravidas K.; Venkataramana, V.; Soares, Melena A.; Mahale, Resha; Anilkumar, N.; Gauns, Mangesh</t>
  </si>
  <si>
    <t>Plankton diversity and dynamics in the upper surface of the Indian sector of the Southern Ocean ecosystem and biogeochemical processes</t>
  </si>
  <si>
    <t>PHYTOPLANKTON PIGMENTS; THERMOHALINE STRUCTURE; CO2 SINK; LIGHT; WATER; BIOMASS; SEA; VARIABILITY; COMPETITION; FRONTS</t>
  </si>
  <si>
    <t>In the Southern Ocean (SO) marine ecosystem, the interplay between CO2 sink and climate change is closely linked to the shifting plankton communities, leading to potentially wide-ranging biogeochemical effects. Within the Indian sector of the Southern Ocean (ISSO), the phytoplankton community was predominantly composed of Fragilariopsis spp., followed by Chaetoceros sp., while the zooplankton consisted mainly of Pleuromamma spp. and Oithona similis. Plankton diversity is collectively influenced by variables such as temperature, photosynthetically available radiation (PAR), and macronutrient availability. During the austral summer of 2019, significant latitudinal variations in phytoplankton were observed at major fronts in the region, including the Subtropical Front (STF), Sub Antarctic Front (SAF), Polar Front (PF), and South of Polar Front (SPF). At the STF, flagellates dominated (87%), while their presence decreased to 12% at the SPF, while diatoms progressively increased from the STF (&lt;1%) to the SPF (87%) through the SAF and PF. Chlorophyll a (Chl-a) concentrations at the surface were highest in the PF (0.62 mg m-3), followed by the SPF (0.56 mg m-3), SAF (0.51 mg m-3), and STF (0.28 mg m-3). The integrated Chl-a values across the water column were higher at the SPF (21.49 mg m-2) than at the STF (14.73 mg m-2). The dominant diatom species at the surface along the fronts, except for STF, was Fragilariopsis spp. (-5 x 105 Cells L-1), followed by Chaetoceros sp. (-1 x 105 Cells L-1), and Coscinodiscus sp. (-5 x 104 Cells L-1). Conversely, at the STF, the most abundant flagellate species were Gyrodinium spp. (-2.4 x 104 Cells L-1), followed by Protoperidinium sp. (-2 x 104 Cells L-1), and Amphidinium sp. (-1 x 104 Cells L-1). Zooplankton biovolume in the upper 200 m ranged from 0.71 to 10 ml 100 m-3, with relatively higher biovolume and numerical abundance found in the SAF compared to the PF. The higher Chl-a concentration in the PF and lower zooplankton biovolume could have significant negative consequences for higher trophic levels. PAR showed higher values up to 40 m than observed depths along the fronts. Additionally, variations in salinity and temperature were recorded, with a significant decline in temperature from the STF to the SPF. Nitrate (NO3-), phosphate (PO43-), and silicate (SiO44-) concentrations were higher at the SPF than at lower latitudes. Overall, these findings indicate that the plankton community composition in the study region is influenced by a diverse set of governing variables over time, highlighting the significant implications for the regional biogeochemical cycle.</t>
  </si>
  <si>
    <t>[Sreerag, A.; Mishra, Rajani Kanta; Naik, Ravidas K.; Venkataramana, V.; Soares, Melena A.; Mahale, Resha; Anilkumar, N.] Minist Earth Sci, Natl Ctr Polar &amp; Ocean Res, ESSO, Govt India, Vasco Da Gama, Goa, India; [Sreerag, A.] Bharathidasan Univ, Tiruchirappalli, Tamil Nadu, India; [Gauns, Mangesh] CSIR Natl Inst Oceanog, Panaji, Goa, India</t>
  </si>
  <si>
    <t>Ministry of Earth Sciences (MoES) - India; National Centre for Polar and Ocean Research (NCPOR); Earth System Science Organization (ESSO); Bharathidasan University; Council of Scientific &amp; Industrial Research (CSIR) - India; CSIR - National Institute of Oceanography (NIO)</t>
  </si>
  <si>
    <t>Mishra, RK (corresponding author), Minist Earth Sci, Natl Ctr Polar &amp; Ocean Res, ESSO, Govt India, Vasco Da Gama, Goa, India.</t>
  </si>
  <si>
    <t>rajanimishra@yahoo.com</t>
  </si>
  <si>
    <t>Venkataramana, Vankara/0000-0002-3925-015X</t>
  </si>
  <si>
    <t>Ministry of Earth Sciences (MoES) Research Fellowship; National Centre for Polar and Ocean Research (NC- POR) in Vasco da Gama, Goa, India; Bharathidasan University (BDU) in Tiruchirappalli, Tamil Nadu, India</t>
  </si>
  <si>
    <t>This study was supported by the Ministry of Earth Sciences (MoES) Research Fellowship program and conducted in collaboration with the National Centre for Polar and Ocean Research (NC- POR) in Vasco da Gama, Goa, India, and Bharathidasan University (BDU) in Tiruchirappalli, Tamil Nadu, India.</t>
  </si>
  <si>
    <t>10.1016/j.rsma.2023.103095</t>
  </si>
  <si>
    <t>O9UY9</t>
  </si>
  <si>
    <t>WOS:001047208300001</t>
  </si>
  <si>
    <t>Wynn-Edwards, CA; Shadwick, EH; Jansen, P; Schallenberg, C; Maurer, TL; Sutton, AJ</t>
  </si>
  <si>
    <t>Wynn-Edwards, Cathryn Ann; Shadwick, Elizabeth H.; Jansen, Peter; Schallenberg, Christina; Maurer, Tanya Lea; Sutton, Adrienne J.</t>
  </si>
  <si>
    <t>Subantarctic pCO2 estimated from a biogeochemical float: comparison with moored observations reinforces the importance of spatial and temporal variability</t>
  </si>
  <si>
    <t>CO2 partial pressure; BGC Argo float; mooring; Southern Ocean; carbon flux; absolute accuracy estimate</t>
  </si>
  <si>
    <t>SEA CO2 FLUXES; SOUTHERN-OCEAN; TIME-SERIES; SEAWATER PCO(2); CARBON; PH; DISSOCIATION; ALKALINITY; NUTRIENTS; CONSTANT</t>
  </si>
  <si>
    <t>Understanding the size and future changes of natural ocean carbon sinks is critical for the projection of atmospheric CO2 levels. The magnitude of the Southern Ocean carbon flux has varied significantly over past decades but mechanisms behind this variability are still under debate. While high accuracy observations, e.g. from ships and moored platforms, are important to improve models they are limited through space and time. Observations from autonomous platforms with emerging biogeochemical capabilities, e.g. profiling floats, provide greater spatial and temporal coverage. However, the absolute accuracy of CO2 partial pressure (pCO(2)) derived from float pH sensors is not well constrained. Here we capitalize on data collected for over a year by a biogeochemical Argo float near the Southern Ocean Time Series observatory to evaluate the accuracy of pCO(2) estimates from floats beyond the initial in water comparisons at deployment. A latitudinal gradient of increasing pCO(2) southward and spatial variability contributed to observed discrepancies. Comparisons between float estimated pCO(2) and mooring observations were therefore restricted by temperature and potential density criteria (similar to 7 &amp; mu;atm difference) and distance (1 degrees C latitude and longitude, similar to 11 mu mdifference). By utilizing high quality moored and shipboard underway pCO(2) observations, and estimates from CTD casts, we therefore found that over a year, differences in pCO(2) between platforms were within tolerable uncertainties. Continued validation efforts, using measurements with known and sufficient accuracy, are vital in the continued assessment of float-based pCO(2) estimates, especially in a highly dynamic region such as the subantarctic zone of the Southern Ocean.</t>
  </si>
  <si>
    <t>[Wynn-Edwards, Cathryn Ann; Shadwick, Elizabeth H.; Jansen, Peter; Schallenberg, Christina] Commonwealth Sci &amp; Ind Res Org, Hobart, Tas, Australia; [Wynn-Edwards, Cathryn Ann; Shadwick, Elizabeth H.; Schallenberg, Christina] Univ Tasmania, Inst Marine &amp; Antarctic Studies, Australian Antarctic Program Partnership, Hobart, Tas, Australia; [Maurer, Tanya Lea] Monterey Bay Aquarium Res Inst, Moss Landing, CA USA; [Sutton, Adrienne J.] Natl Ocean &amp; Atmospher Adm NOAA, Pacific Marine Environm Lab, Seattle, WA USA</t>
  </si>
  <si>
    <t>Commonwealth Scientific &amp; Industrial Research Organisation (CSIRO); University of Tasmania; Monterey Bay Aquarium Research Institute; National Oceanic Atmospheric Admin (NOAA) - USA</t>
  </si>
  <si>
    <t>Wynn-Edwards, CA (corresponding author), Commonwealth Sci &amp; Ind Res Org, Hobart, Tas, Australia.;Wynn-Edwards, CA (corresponding author), Univ Tasmania, Inst Marine &amp; Antarctic Studies, Australian Antarctic Program Partnership, Hobart, Tas, Australia.</t>
  </si>
  <si>
    <t>Cathryn.wynn-edwards@csiro.au</t>
  </si>
  <si>
    <t>Schallenberg, Christina/N-4187-2017</t>
  </si>
  <si>
    <t>Schallenberg, Christina/0000-0002-3073-7500; Maurer, Tanya/0000-0001-5766-1668</t>
  </si>
  <si>
    <t>Australian Government, Antarctic Science Collaboration Initiative program; NOAA's Pacific Marine Environmental Laboratory</t>
  </si>
  <si>
    <t>Australian Government, Antarctic Science Collaboration Initiative program(Australian Government); NOAA's Pacific Marine Environmental Laboratory(National Oceanic Atmospheric Admin (NOAA) - USA)</t>
  </si>
  <si>
    <t>This project received funding from the Australian Government as part of the Antarctic Science Collaboration Initiative program. The air-sea CO2 moored observations are supported by NOAA's Pacific Marine Environmental Laboratory. This is PMEL contribution 5514.</t>
  </si>
  <si>
    <t>10.3389/fmars.2023.1231953</t>
  </si>
  <si>
    <t>O5DM6</t>
  </si>
  <si>
    <t>WOS:001044015500001</t>
  </si>
  <si>
    <t>Green, DB; Titaud, O; Bestley, S; Corney, SP; Hindell, MA; Trebilco, R; Conchon, A; Lehodey, P</t>
  </si>
  <si>
    <t>Green, David B.; Titaud, Olivier; Bestley, Sophie; Corney, Stuart P.; Hindell, Mark A.; Trebilco, Rowan; Conchon, Anna; Lehodey, Patrick</t>
  </si>
  <si>
    <t>KRILLPODYM: a mechanistic, spatially resolved model of Antarctic krill distribution and abundance</t>
  </si>
  <si>
    <t>Southern Ocean; ecosystem modelling; earth systems; population connectivity; fisheries; mid-trophic prey; spatial processes</t>
  </si>
  <si>
    <t>EUPHAUSIA-SUPERBA DANA; NATURAL GROWTH-RATES; SCOTIA SEA; ICE-EDGE; ROSS SEA; TEMPORAL VARIABILITY; LARVAL RECRUITMENT; ECOSYSTEM APPROACH; ENERGY BUDGETS; INDIAN SECTOR</t>
  </si>
  <si>
    <t>Robust prediction of population responses to changing environments requires the integration of factors controlling population dynamics with processes affecting distribution. This is true everywhere but especially in polar pelagic environments. Biological cycles for many polar species are synchronised to extreme seasonality, while their distributions may be influenced by both the prevailing oceanic circulation and sea-ice distribution. Antarctic krill (krill, Euphausia superba) is one such species exhibiting a complex life history that is finely tuned to the extreme seasonality of the Southern Ocean. Dependencies on the timing of optimal seasonal conditions have led to concerns over the effects of future climate on krill's population status, particularly given the species' important role within Southern Ocean ecosystems. Under a changing climate, established correlations between environment and species may breakdown. Developing the capacity for predicting krill responses to climate change therefore requires methods that can explicitly consider the interplay between life history, biological conditions, and transport. The Spatial Ecosystem And Population Dynamics Model (SEAPODYM) is one such framework that integrates population and general circulation modelling to simulate the spatial dynamics of key organisms. Here, we describe a modification to SEAPODYM, creating a novel model - KRILLPODYM - that generates spatially resolved estimates of krill biomass and demographics. This new model consists of three major components: (1) an age-structured population consisting of five key life stages, each with multiple age classes, which undergo age-dependent growth and mortality, (2) six key habitats that mediate the production of larvae and life stage survival, and (3) spatial dynamics driven by both the underlying circulation of ocean currents and advection of sea-ice. We present the first results of KRILLPODYM, using published deterministic functions of population processes and habitat suitability rules. Initialising from a non-informative uniform density across the Southern Ocean our model independently develops a circumpolar population distribution of krill that approximates observations. The model framework lends itself to applied experiments aimed at resolving key population parameters, life-stage specific habitat requirements, and dominant transport regimes, ultimately informing sustainable fishery management.</t>
  </si>
  <si>
    <t>[Green, David B.; Bestley, Sophie; Corney, Stuart P.; Hindell, Mark A.] Univ Tasmania, Inst Marine &amp; Antarctic Studies, Hobart, Tas, Australia; [Green, David B.; Bestley, Sophie] Univ Tasmania, Australian Ctr Excellence Antarctic Sci ACEAS, Hobart, Tas, Australia; [Titaud, Olivier; Conchon, Anna] Collecte Localisat Satell, Ramonville St Agne, France; [Bestley, Sophie; Corney, Stuart P.] Univ Tasmania, Australian Antarctic Program Partnership, Hobart, Tas, Australia; [Corney, Stuart P.; Trebilco, Rowan] Univ Tasmania, Ctr Marine Socioecol, Hobart, Tas, Australia; [Trebilco, Rowan] CSIRO Environm, Hobart, Tas, Australia; [Lehodey, Patrick] Pacific Community, Ocean Fisheries Programme, Noumea, New Caledonia</t>
  </si>
  <si>
    <t>University of Tasmania; University of Tasmania; University of Tasmania; University of Tasmania</t>
  </si>
  <si>
    <t>Green, DB (corresponding author), Univ Tasmania, Inst Marine &amp; Antarctic Studies, Hobart, Tas, Australia.;Green, DB (corresponding author), Univ Tasmania, Australian Ctr Excellence Antarctic Sci ACEAS, Hobart, Tas, Australia.</t>
  </si>
  <si>
    <t>david.green@utas.edu.au</t>
  </si>
  <si>
    <t>Green, David/E-8985-2019</t>
  </si>
  <si>
    <t>Green, David/0000-0002-0346-3129</t>
  </si>
  <si>
    <t>10.3389/fmars.2023.1218003</t>
  </si>
  <si>
    <t>O4YU9</t>
  </si>
  <si>
    <t>WOS:001043893700001</t>
  </si>
  <si>
    <t>Francis, D; Fonseca, R; Mattingly, KS; Lhermitte, S; Walker, C</t>
  </si>
  <si>
    <t>Francis, Diana; Fonseca, Ricardo; Mattingly, Kyle S.; Lhermitte, Stef; Walker, Catherine</t>
  </si>
  <si>
    <t>Foehn winds at Pine Island Glacier and their role in ice changes</t>
  </si>
  <si>
    <t>SURFACE MASS-BALANCE; QUASI-STATIONARY WAVES; MCMURDO DRY VALLEYS; WEST ANTARCTICA; SOUTHERN-HEMISPHERE; ENERGY BALANCE; SEA-ICE; SHEET; EVENT; ENSO</t>
  </si>
  <si>
    <t>Pine Island Glacier (PIG) has recently experienced increased ice loss that has mostly been attributed to basal melt and ocean ice dynamics. However, atmospheric forcing also plays a role in the ice mass budget, as besides lowerlatitude warm air intrusions, the steeply sloping terrain that surrounds the glacier promotes frequent Foehn winds. An investigation of 41 years of reanalysis data reveals that Foehn occurs more frequently from June to October, with Foehn episodes typically lasting about 5 to 9 h. An analysis of the surface mass balance indicated that their largest impact is on the surface sublimation, which is increased by about 1.43mm water equivalent (w.e.) per day with respect to noFoehn events. Blowing snow makes roughly the same contribution as snowfall, around 0.34-0.36mmw.e. d 1, but with the opposite sign. The melting rate is 3 orders of magnitude smaller than the surface sublimation rate. The negative phase of the Antarctic oscillation and the positive phase of the Southern Annular Mode promote the occurrence of Foehn at PIG. A particularly strong event took place on 9-11 November 2011, when 10m winds speeds in excess of 20ms(- 1) led to downward sensible heat fluxes higher than 75Wm(-2) as they descended the mountainous terrain. Surface sublimation and blowing-snow sublimation dominated the surface mass balance, with magnitudes of up to 0.13mmw.e. h (-1). Satellite data indicated an hourly surface melting area exceeding 100 km(2). Our results stress the importance of the atmospheric forcing on the ice mass balance at PIG.</t>
  </si>
  <si>
    <t>[Francis, Diana; Fonseca, Ricardo] Khalifa Univ, Environm &amp; Geophys Sci ENGEOS Lab, POB 127788, Abu Dhabi, U Arab Emirates; [Mattingly, Kyle S.] Univ Wisconsin Madison, Space Sci &amp; Engn Ctr, Madison, WI USA; [Lhermitte, Stef] Katholieke Univ Leuven, Dept Earth &amp; Environm Sci, B-3001 Leuven, Belgium; [Walker, Catherine] Woods Hole Oceanog Inst, Dept Appl Ocean Phys &amp; Engn, Woods Hole, MA USA; [Lhermitte, Stef] Delft Univ Technol, Dept Geosci &amp; Remote Sensing, Delft, Netherlands</t>
  </si>
  <si>
    <t>Khalifa University of Science &amp; Technology; University of Wisconsin System; University of Wisconsin Madison; KU Leuven; Woods Hole Oceanographic Institution; Delft University of Technology</t>
  </si>
  <si>
    <t>Francis, D (corresponding author), Khalifa Univ, Environm &amp; Geophys Sci ENGEOS Lab, POB 127788, Abu Dhabi, U Arab Emirates.</t>
  </si>
  <si>
    <t>diana.francis@ku.ac.ae</t>
  </si>
  <si>
    <t>Lhermitte, Stef (Stefaan)/A-3385-2013; FRANCIS, Diana/N-3729-2018</t>
  </si>
  <si>
    <t>Lhermitte, Stef (Stefaan)/0000-0002-1622-0177; FRANCIS, Diana/0000-0002-7587-0006; Mattingly, Kyle/0000-0002-7384-0903; Fonseca, Ricardo/0000-0002-8562-7368</t>
  </si>
  <si>
    <t>[1924730]</t>
  </si>
  <si>
    <t>The authors wish to acknowledge the contribution of Khalifa University's high-performance computing and research computing facilities to the results of this research. We also appreciate the support of the University of Wisconsin-Madison Automatic Weather Station Program for the dataset and information (NSF grant no. 1924730). We would like to thank the three anonymous reviewers and the editor Tobias~Sauter for their insightful and constructive comments and suggestions that have substantially improved the quality of this paper.</t>
  </si>
  <si>
    <t>10.5194/tc-17-3041-2023</t>
  </si>
  <si>
    <t>M9XC9</t>
  </si>
  <si>
    <t>gold, Green Published, Green Accepted</t>
  </si>
  <si>
    <t>WOS:001033660400001</t>
  </si>
  <si>
    <t>Veselovska-Maiboroda, GB; Velichko, SA; Nosich, AI</t>
  </si>
  <si>
    <t>Veselovska-Maiboroda, Ganna B.; Velichko, Sergey A.; Nosich, Alexander I.</t>
  </si>
  <si>
    <t>The Orbital X-Band Real-Aperture Side-Looking Radar of Cosmos-1500: A Ukrainian IEEE Milestone candidate</t>
  </si>
  <si>
    <t>IEEE GEOSCIENCE AND REMOTE SENSING MAGAZINE</t>
  </si>
  <si>
    <t>Radar; Ice; Spaceborne radar; Orbits; Industries; Sensors; Space vehicles</t>
  </si>
  <si>
    <t>SEA</t>
  </si>
  <si>
    <t>We revisit the development and operation of the orbital X-band real-aperture side-looking radar (RA-SLR) onboard the USSR satellite Cosmos-1500 in the historical context. This radar was conceived, designed, and tested in the early 1980s and then supervised, in orbit, by a team of Ukrainian scientists and engineers led by Prof. Anatoly I. Kalmykov (1936-1996) at the O. Y. Usikov Institute of Radiophysics and Electronics (IRE) of the National Academy of Sciences of Ukraine (NASU). It had a magnetron source, a 12-m deployable slotted-waveguide antenna, and an onboard signal processing unit. Instead of preplanned meticulous experiments, only five days after placement into the polar Earth orbit in the autumn of 1983, the SLR of Cosmos-1500 rendered truly outstanding service. It provided a stream of microwave images of the polar sea ice conditions that enabled the rescue of freighters in the Arctic Ocean. Two years later, similar imagery was equally important in the rescue of a motor vessel (MV) in the Antarctic. However, the way to success was far from smooth. Besides the technical problems, Kalmykov had to overcome the jealousy and hostility of his home institute administration, colleagues from Moscow research laboratories, and high-level USSR bureaucracy. Later, Kalmykov's radar was released to the industry and became the main instrument of the USSR and Russian series of remote sensing satellites Okean and Ukrainian satellites Sich-1 and Sich-1M. We believe that the RA-SLR of Cosmos-1500 is a good candidate for the status of an IEEE Milestone in Ukraine.</t>
  </si>
  <si>
    <t>[Veselovska-Maiboroda, Ganna B.] Natl Acad Sci Ukraine, OY Usikov Inst Radiophys &amp; Elect, Dept Phys Fdn Radar, UA-61085 Kharkiv, Ukraine; [Velichko, Sergey A.] Natl Acad Sci Ukraine, OY Usikov Inst Radiophys &amp; Elect, Dept Earth Remote Sensing, UA-61085 Kharkiv, Ukraine; [Nosich, Alexander I.] Natl Acad Sci Ukraine, OY Usikov Inst Radiophys &amp; Elect, Lab Micro &amp; Nano Opt, UA-61085 Kharkiv, Ukraine</t>
  </si>
  <si>
    <t>National Academy of Sciences Ukraine; O. Ya. Usikov Institute for Radio Physics &amp; Electronics, National Academy of Sciences of Ukraine; National Academy of Sciences Ukraine; O. Ya. Usikov Institute for Radio Physics &amp; Electronics, National Academy of Sciences of Ukraine; National Academy of Sciences Ukraine; O. Ya. Usikov Institute for Radio Physics &amp; Electronics, National Academy of Sciences of Ukraine</t>
  </si>
  <si>
    <t>Nosich, AI (corresponding author), Natl Acad Sci Ukraine, OY Usikov Inst Radiophys &amp; Elect, Lab Micro &amp; Nano Opt, UA-61085 Kharkiv, Ukraine.</t>
  </si>
  <si>
    <t>veselovska3@ukr.net; sergey_velichko@yahoo.com; anosich@yahoo.com</t>
  </si>
  <si>
    <t>Nosich, Alexander/0000-0002-3446-8168; Velichko, Sergey/0000-0002-2579-2134</t>
  </si>
  <si>
    <t>IEEE-INST ELECTRICAL ELECTRONICS ENGINEERS INC</t>
  </si>
  <si>
    <t>PISCATAWAY</t>
  </si>
  <si>
    <t>445 HOES LANE, PISCATAWAY, NJ 08855-4141 USA</t>
  </si>
  <si>
    <t>2473-2397</t>
  </si>
  <si>
    <t>2168-6831</t>
  </si>
  <si>
    <t>IEEE GEOSC REM SEN M</t>
  </si>
  <si>
    <t>IEEE Geosci. Remote Sens. Mag.</t>
  </si>
  <si>
    <t>10.1109/MGRS.2023.3294708</t>
  </si>
  <si>
    <t>Geochemistry &amp; Geophysics; Remote Sensing; Imaging Science &amp; Photographic Technology</t>
  </si>
  <si>
    <t>T7JA7</t>
  </si>
  <si>
    <t>WOS:001040663300001</t>
  </si>
  <si>
    <t>Yang, CC; Cheng, XH; Qin, JH</t>
  </si>
  <si>
    <t>Yang, Chengcheng; Cheng, Xuhua; Qin, Jianhuang</t>
  </si>
  <si>
    <t>Uncertainties of monthly ocean bottom pressure from Gravity Recovery and Climate Experiment (GRACE): a case study at the Drake Passage</t>
  </si>
  <si>
    <t>Ocean bottom pressure; GRACE; Drake Passage; Eddy kinetic energy</t>
  </si>
  <si>
    <t>ANTARCTIC CIRCUMPOLAR CURRENT; SEA-LEVEL VARIATIONS; CURRENT SOUTH; TRANSPORT; VARIABILITY; DYNAMICS; WATER; JETS</t>
  </si>
  <si>
    <t>Several studies reported some aliasing errors of Ocean bottom pressure (OBP) data from Gravity Recovery and Climate Experiment (GRACE), although this data have been widely used to estimate the oceanic transports. In this study, the performances of monthly OBP data from six GRACE products with two different solutions are evaluated by comparisons with the observed records at the Drake Passage. Result shows that spherical harmonic products have a better ability to capture monthly OBP variability than mascon products at the Drake Passage. In all GRACE products, higher skills occur to the south of Polar Front than those in the northern Drake Passage, and the correlations with observations reach minimum in the Local Dynamics Array (LDA) region. Such spatial differences are mainly attributed to local mesoscale processes, accompanied with high-frequency bottom eddy kinetic energy (EKE). It indicates that the monthly OBP variations from GRACE products are not reliable in the eddy-rich regions.</t>
  </si>
  <si>
    <t>[Yang, Chengcheng; Cheng, Xuhua; Qin, Jianhuang] Hohai Univ, Key Lab Marine Hazards Forecasting, Minist Nat Resources, 1 Xikang Rd, Nanjing 210098, Peoples R China; [Yang, Chengcheng; Cheng, Xuhua; Qin, Jianhuang] Hohai Univ, Coll Oceanog, Nanjing, Peoples R China</t>
  </si>
  <si>
    <t>Ministry of Natural Resources of the People's Republic of China; Hohai University; Hohai University</t>
  </si>
  <si>
    <t>Cheng, XH (corresponding author), Hohai Univ, Key Lab Marine Hazards Forecasting, Minist Nat Resources, 1 Xikang Rd, Nanjing 210098, Peoples R China.;Cheng, XH (corresponding author), Hohai Univ, Coll Oceanog, Nanjing, Peoples R China.</t>
  </si>
  <si>
    <t>xuhuacheng@hhu.edu.cn</t>
  </si>
  <si>
    <t>Cheng, Xuhua/AAQ-6124-2020</t>
  </si>
  <si>
    <t>Cheng, Xuhua/0000-0001-6815-1970</t>
  </si>
  <si>
    <t>Natural Science Foundation of China [41876002]; China Scholarship Council [CSC 202206710084]; Postgraduate Research and Practice Innovation Program of Jiangsu Province [KYCX22_0585]; National Natural Science Foundation of China [42106003]</t>
  </si>
  <si>
    <t>Natural Science Foundation of China(National Natural Science Foundation of China (NSFC)); China Scholarship Council(China Scholarship Council); Postgraduate Research and Practice Innovation Program of Jiangsu Province; National Natural Science Foundation of China(National Natural Science Foundation of China (NSFC))</t>
  </si>
  <si>
    <t>Xuhua Cheng is supported by the Natural Science Foundation of China (Grant 41876002). Chengcheng Yang is supported by a scholarship from the China Scholarship Council (Grant CSC 202206710084), and Postgraduate Research and Practice Innovation Program of Jiangsu Province (Grant KYCX22_0585). Jianhuang Qin is supported by the National Natural Science Foundation of China (Grant 42106003).</t>
  </si>
  <si>
    <t>10.1186/s40562-023-00288-5</t>
  </si>
  <si>
    <t>N4NP3</t>
  </si>
  <si>
    <t>WOS:001036801600001</t>
  </si>
  <si>
    <t>Gallagher, JB</t>
  </si>
  <si>
    <t>Gallagher, John B.</t>
  </si>
  <si>
    <t>Reply to the comment by Filbee-Dexter et al. (2023) Seaweed forests are carbon sinks that may help mitigate CO2 emissions</t>
  </si>
  <si>
    <t>ICES JOURNAL OF MARINE SCIENCE</t>
  </si>
  <si>
    <t>carbon mitigation; carbon sequestration; macroalgae; organic subsidies; seaweed</t>
  </si>
  <si>
    <t>MACROCYSTIS-PYRIFERA; ORGANIC-CARBON; KELP BEDS; METABOLISM; PCO(2); MACROALGAE; BALANCE; EXPORT; CYCLE; FATE</t>
  </si>
  <si>
    <t>Filbee-Dexter et al. provided commentary on Gallagher et al.'s assertion regarding the limitations of seaweed ecosystems in mitigating CO2 emissions. However, Filbee-Dexter et al. appear to have different understandings of several key aspects, and claims of heterotrophic bias contradict their cited literature upon which our analysis was based. Filbee-Dexter et al.'s reliance on net primary production fails to consider the consumption and remineralization of said production. Their endorsements of high levels of seaweed ecosystem autotrophy taken from the literature were either conceptually, temporally, or community assemblage-inappropriate. The existing literature does not substantiate their claim of methodological bias between different types of net ecosystem production (NEP) measurements. Additionally, all of these direct measurements account for any photo-re-assimilation of respiratory subsidies. Contrary to Filbee-Dexter et al.'s claim, Gallagher et al. consider the export of sequestered seaweed. The study revealed that respiratory subsidies offset the exported sequestration rates from an average of +173 million tonnes C yr(-1) as a carbon sink to a carbon source of around -54 million tonnes C yr(-1). Nonetheless, there are also points of consensus. It will be necessary to weight NEP for the types of seaweed ecosystems, and account for differences with a seaweeds' particular degraded or alternative state as more data becomes available. Finally, more research is required to better understand the fate of export, and the impact of net calcification on the atmospheric exchange of CO2.</t>
  </si>
  <si>
    <t>[Gallagher, John B.] Univ Tasmania, Inst Marine &amp; Antarctic Studies, 20 Castray Esplanade, Battery Point, Tas 7004, Australia</t>
  </si>
  <si>
    <t>Gallagher, JB (corresponding author), Univ Tasmania, Inst Marine &amp; Antarctic Studies, 20 Castray Esplanade, Battery Point, Tas 7004, Australia.</t>
  </si>
  <si>
    <t>JohnBarry.Gallagher@utas.edu.au</t>
  </si>
  <si>
    <t>Gallagher, John/JVP-1711-2024</t>
  </si>
  <si>
    <t>1054-3139</t>
  </si>
  <si>
    <t>1095-9289</t>
  </si>
  <si>
    <t>ICES J MAR SCI</t>
  </si>
  <si>
    <t>ICES J. Mar. Sci.</t>
  </si>
  <si>
    <t>fsad119</t>
  </si>
  <si>
    <t>10.1093/icesjms/fsad119</t>
  </si>
  <si>
    <t>O5OO6</t>
  </si>
  <si>
    <t>WOS:001036133900001</t>
  </si>
  <si>
    <t>Montes-Herrera, JC; Hill, N; Cummings, VJ; Johnstone, GJ; Stark, JS; Lucieer, V</t>
  </si>
  <si>
    <t>Montes-Herrera, Juan C.; Hill, Nicole; Cummings, Vonda J.; Johnstone, Glenn J.; Stark, Jonathan S.; Lucieer, Vanessa</t>
  </si>
  <si>
    <t>Remote sensing of Antarctic polychaete reefs (Serpula narconensis): reproducible workflows for quantifying benthic structural complexity with action cameras, remotely operated vehicles and structure-from-motion photogrammetry</t>
  </si>
  <si>
    <t>REMOTE SENSING IN ECOLOGY AND CONSERVATION</t>
  </si>
  <si>
    <t>Biogenic structures; habitat conservation; seafloor mapping; seascape ecology; structure-from-motion; underwater photogrammetry</t>
  </si>
  <si>
    <t>CORAL-REEF; VESTFOLD HILLS; ELLIS FJORD; BIODIVERSITY; ACCURACY</t>
  </si>
  <si>
    <t>Quantifying the structural complexity provided by biogenic habitat structures is important in ecology, conservation and management, and yet remains a challenging task, particularly in deep sea and polar environments, that current photogrammetry tools can alleviate. In this study, we demonstrate how small remotely operated vehicles and compact underwater GoPro &amp; REG; action cameras can be easily integrated into coastal Antarctic surveys to quantify structural complexity of under-ice benthos via underwater photogrammetry. Forty-four pairs of 1 m(2) quadrats at 1 cm resolution, each comprising an orthomosaic and three-dimensional reconstructions, were analyzed to describe relationships between benthic cover and structural complexity metrics. The study case provided insights into a unique biogenic habitat, highlighting the role of integrating structural complexity metrics in Antarctic benthic surveys. Although no clear relationships between structural complexity and biodiversity were found, high cover of live reef-building polychaetes was associated with higher levels of structural complexity, particularly fractal dimension (D). Further, broken biogenic structures, product of disturbance events retain habitat structural complexity known to be associated with larvae settlement and biogenic reef growth. This suggests that D can be used as a metric for detecting subtle changes in biogenic structural complexity. We build from available open-source code, a reproducible scientific workflow that is expected to facilitate the acquisition and analysis of structural complexity metrics. The workflow presented aims to encourage and accelerate the use of photogrammetry tools for benthic studies aiming to quantify biogenic structural complexity across depths and latitudes.</t>
  </si>
  <si>
    <t>[Montes-Herrera, Juan C.; Hill, Nicole; Lucieer, Vanessa] Univ Tasmania, Inst Marine &amp; Antarctic Studies, Hobart, Tas 7001, Australia; [Cummings, Vonda J.] Natl Inst Water &amp; Atmospher Res, POB 14901, Wellington, New Zealand; [Johnstone, Glenn J.; Stark, Jonathan S.] Australian Antarctic Div, Australian East Antarctic Monitoring Program, 203 Channel Hwy, Kingston, Tas 7050, Australia; [Stark, Jonathan S.] Australian Antarctic Div, Securing Antarct Environm Future, 203 Channel Hwy, Kingston, Tas 7050, Australia</t>
  </si>
  <si>
    <t>University of Tasmania; National Institute of Water &amp; Atmospheric Research (NIWA) - New Zealand; Australian Antarctic Division; Australian Antarctic Division</t>
  </si>
  <si>
    <t>Montes-Herrera, JC (corresponding author), Univ Tasmania, Inst Marine &amp; Antarctic Studies, Hobart, Tas 7001, Australia.</t>
  </si>
  <si>
    <t>juancarlos.montesherrera@utas.edu.au</t>
  </si>
  <si>
    <t>lucieer, vanessa l/D-1697-2009; MontesHerrera, JuanCarlos/KHY-8148-2024; Hill, Nicole/J-7856-2014</t>
  </si>
  <si>
    <t>MontesHerrera, JuanCarlos/0000-0002-3471-965X; Stark, Jonathan/0000-0002-4268-8072; Johnstone, Glenn/0000-0002-9302-4794; Hill, Nicole/0000-0001-9329-6717</t>
  </si>
  <si>
    <t>Australian Research Council's Special Research Initiative for the Antarctic Gateway Partnership [SR140300001]</t>
  </si>
  <si>
    <t>Australian Research Council's Special Research Initiative for the Antarctic Gateway Partnership(Australian Research Council)</t>
  </si>
  <si>
    <t>This research and J. C. M.-H.'s Ph.D. scholarship were supported by the Australian Research Council's Special Research Initiative for the Antarctic Gateway Partnership (Project ID SR140300001).</t>
  </si>
  <si>
    <t>111 RIVER ST, HOBOKEN, NJ 07030 USA</t>
  </si>
  <si>
    <t>2056-3485</t>
  </si>
  <si>
    <t>REMOTE SENS ECOL CON</t>
  </si>
  <si>
    <t>Remote Sens. Ecol. Conserv.</t>
  </si>
  <si>
    <t>10.1002/rse2.358</t>
  </si>
  <si>
    <t>Ecology; Remote Sensing</t>
  </si>
  <si>
    <t>Environmental Sciences &amp; Ecology; Remote Sensing</t>
  </si>
  <si>
    <t>IS0K8</t>
  </si>
  <si>
    <t>WOS:001035267800001</t>
  </si>
  <si>
    <t>Serra-Gonçalves, C; Lavers, JL; Fischer, AM; Tait, HL; Bond, AL</t>
  </si>
  <si>
    <t>Serra-Goncalves, Catarina; Lavers, Jennifer L.; Fischer, Andrew M.; Tait, Heidi L.; Bond, Alexander L.</t>
  </si>
  <si>
    <t>Stopping marine debris at the source: Effectiveness of Source Reduction Plans in Australia</t>
  </si>
  <si>
    <t>MARINE POLICY</t>
  </si>
  <si>
    <t>Community science; Source Reduction Plan; Plastic debris; Single-use plastics; Reduction strategies</t>
  </si>
  <si>
    <t>INTERRUPTED TIME-SERIES; PLASTIC DEBRIS; SEA LIONS; FUR SEALS; ENTANGLEMENT; POLLUTION; ENVIRONMENT; TRENDS; IMPACT; POLICY</t>
  </si>
  <si>
    <t>Globally, single-use plastics (i.e., items only used once before being discarded plastic, such as straws, plastic bags, cigarette butts) are a substantial contributor of debris in the environment. In response, policy interventions to minimise single-use plastics and packaging have increased in the past decade (e.g., national and state level bans on plastic bags). Reduction strategies that tackle debris items at the source (i.e., Source Reduction Plans (SRPs)) have been suggested as a key strategy to achieve a reduction in debris in the environment. SRPs differ in their implementation approach, since different items require different methods depending on their characteristics, pathway, and source. In Australia, several SRPs have been applied by communities and the Tangaroa Blue Foundation (TBF). Globally, there is a lack of information available concerning the challenges associated with the implementation of SRPs, such as policy considerations and costs. Therefore, there is a need to measuring the effectiveness of specific SRPs as mitigation tools, to identify their strengths and weaknesses, and determine the best reduction approaches for specific items. We measured the effectiveness of two quantifiable SRP projects at different scales: cigarette butts (consumer level) and strapping bands used in fisheries (industrial level). There was a marginally significant decline in strapping bands in the environment over time (2004-2020), although we were unable to associate this directly to the SRP intervention (ban on ships). At a consumer level, there was a decline in the rate of cigarette butts flicked on the ground during sporting events post-SRP, with an overall reduction of 45.4% in number of cigarettes per spectator. Our results suggest the outcomes differ depending on the type of SRP, due to the different characteristics of the tackled item (i.e., source, pathway) and the respective SRP implementation mechanism. We highlight the importance of SRPs and make recommendations on future steps towards reducing single-use plastics in the environment.</t>
  </si>
  <si>
    <t>[Serra-Goncalves, Catarina; Lavers, Jennifer L.; Fischer, Andrew M.; Bond, Alexander L.] Univ Tasmania, Inst Marine &amp; Antarctic Studies, 20 Castray Esplanade, Battery Point, Tas 7004, Australia; [Serra-Goncalves, Catarina] Univ Tasmania, Ctr Marine Socioecol, Hobart 7001, Australia; [Tait, Heidi L.] Tangaroa Blue Fdn, POB 1235, Dunsborough, WA 6281, Australia; [Bond, Alexander L.] Nat Hist Museum, Bird Grp, Tring HP23 6AP, Herts, England</t>
  </si>
  <si>
    <t>University of Tasmania; University of Tasmania; Natural History Museum London</t>
  </si>
  <si>
    <t>Serra-Gonçalves, C (corresponding author), Univ Tasmania, Inst Marine &amp; Antarctic Studies, 20 Castray Esplanade, Battery Point, Tas 7004, Australia.</t>
  </si>
  <si>
    <t>acserra@utas.edu.au</t>
  </si>
  <si>
    <t>Serra-Goncalves, Catarina/0000-0003-0252-9381</t>
  </si>
  <si>
    <t>Tasmania Graduate Research Scholarship</t>
  </si>
  <si>
    <t>We thank the volunteers and partners across Australia who contributed valuable data from thousands of beach debris clean-ups that contribute to the Australian Marine Debris Initiative Database. We want to thank all the organisations that helped implementing the SRPs and contributed with data; Mandurah Senior High School, Surfrider Foundation Australia WA, University of Western Australia Students, Cape to Cape Catchment Group, Boranup Board Riders, Keep Australia Beautiful Council (KABC) WA, Ocean Cleaner zh, All Saints College, Outdoor Discoveries. We are grateful to the Tangaroa Blue Foundation staff who facilitated the ReefClean - Ditch the Flick' SRP - Brett Tait, Kara-mae Coulter-Atkins, Craig Turner, Varsha Balu, Daniel Greenwood, Isabelle Loxton, and the volunteers who supported them, along with the Queensland Country Bank Stadium staff and management without who, this SRP would not have been possible. We are especially grateful to Tangaroa Blue Foundation. We appreciate Peter Puskic knowledge and support provided on the current manuscript. This research was funded by the Tasmania Graduate Research Scholarship. Additionally, we thank anonymous reviewers for providing feedback on earlier versions of this manuscript.</t>
  </si>
  <si>
    <t>0308-597X</t>
  </si>
  <si>
    <t>1872-9460</t>
  </si>
  <si>
    <t>MAR POLICY</t>
  </si>
  <si>
    <t>Mar. Pol.</t>
  </si>
  <si>
    <t>10.1016/j.marpol.2023.105776</t>
  </si>
  <si>
    <t>Environmental Studies; International Relations</t>
  </si>
  <si>
    <t>Social Science Citation Index (SSCI)</t>
  </si>
  <si>
    <t>Environmental Sciences &amp; Ecology; International Relations</t>
  </si>
  <si>
    <t>P2JC6</t>
  </si>
  <si>
    <t>WOS:001048944000001</t>
  </si>
  <si>
    <t>Mashamaite, L; Lebre, PH; Varliero, G; Maphosa, S; Ortiz, M; Hogg, ID; Cowan, DA</t>
  </si>
  <si>
    <t>Mashamaite, Lefentse; Lebre, Pedro H.; Varliero, Gilda; Maphosa, Silindile; Ortiz, Max; Hogg, Ian D.; Cowan, Don A.</t>
  </si>
  <si>
    <t>Microbial diversity in Antarctic Dry Valley soils across an altitudinal gradient</t>
  </si>
  <si>
    <t>Antarctic microbiology; McMurdo Dry Valleys; edaphic habitats; microbial diversity; altitudinal gradients</t>
  </si>
  <si>
    <t>SALINITY GRADIENT; VICTORIA LAND; COMMUNITIES; PERMAFROST; ECOLOGY; SNOW; CYANOBACTERIA; CONNECTIVITY; RECURRENCE</t>
  </si>
  <si>
    <t>IntroductionThe Antarctic McMurdo Dry Valleys are geologically diverse, encompassing a wide variety of soil habitats. These environments are largely dominated by microorganisms, which drive the ecosystem services of the region. While altitude is a well-established driver of eukaryotic biodiversity in these Antarctic ice-free areas (and many non-Antarctic environments), little is known of the relationship between altitude and microbial community structure and functionality in continental Antarctica. MethodsWe analysed prokaryotic and lower eukaryotic diversity from soil samples across a 684 m altitudinal transect in the lower Taylor Valley, Antarctica and performed a phylogenic characterization of soil microbial communities using short-read sequencing of the 16S rRNA and ITS marker gene amplicons. Results and DiscussionPhylogenetic analysis showed clear altitudinal trends in soil microbial composition and structure. Cyanobacteria were more prevalent in higher altitude samples, while the highly stress resistant Chloroflexota and Deinococcota were more prevalent in lower altitude samples. We also detected a shift from Basidiomycota to Chytridiomycota with increasing altitude. Several genera associated with trace gas chemotrophy, including Rubrobacter and Ornithinicoccus, were widely distributed across the entire transect, suggesting that trace-gas chemotrophy may be an important trophic strategy for microbial survival in oligotrophic environments. The ratio of trace-gas chemotrophs to photoautotrophs was significantly higher in lower altitude samples. Co-occurrence network analysis of prokaryotic communities showed some significant differences in connectivity within the communities from different altitudinal zones, with cyanobacterial and trace-gas chemotrophy-associated taxa being identified as potential keystone taxa for soil communities at higher altitudes. By contrast, the prokaryotic network at low altitudes was dominated by heterotrophic keystone taxa, thus suggesting a clear trophic distinction between soil prokaryotic communities at different altitudes. Based on these results, we conclude that altitude is an important driver of microbial ecology in Antarctic ice-free soil habitats.</t>
  </si>
  <si>
    <t>[Mashamaite, Lefentse; Lebre, Pedro H.; Varliero, Gilda; Maphosa, Silindile; Ortiz, Max; Hogg, Ian D.; Cowan, Don A.] Univ Pretoria, Ctr Microbial Ecol &amp; Genom, Dept Biochem Genet &amp; Microbiol, Pretoria, South Africa; [Varliero, Gilda] Swiss Fed Res Inst WSL, Rhizosphere Proc Grp, Birmensdorf, Switzerland; [Ortiz, Max] Clemson Univ, Genom &amp; Bioinformat Facil, Clemson, SC USA; [Hogg, Ian D.] Univ Waikato, Sch Sci, Hamilton, New Zealand; [Hogg, Ian D.] Canadian High Arctic Res Stn, Polar Knowledge Canada, Cambridge Bay, NU, Canada</t>
  </si>
  <si>
    <t>University of Pretoria; Swiss Federal Institutes of Technology Domain; Swiss Federal Institute for Forest, Snow &amp; Landscape Research; Clemson University; University of Waikato</t>
  </si>
  <si>
    <t>Cowan, DA (corresponding author), Univ Pretoria, Ctr Microbial Ecol &amp; Genom, Dept Biochem Genet &amp; Microbiol, Pretoria, South Africa.</t>
  </si>
  <si>
    <t>don.cowan@up.ac.za</t>
  </si>
  <si>
    <t>Varliero, Gilda/0000-0003-1893-0575; Maphosa, Silindile/0000-0002-5072-1530</t>
  </si>
  <si>
    <t>National Research Foundation (SANAP program) [110730]; University of Pretoria; New Zealand Ministry of Business Innovation and Employment (MBIE)</t>
  </si>
  <si>
    <t>National Research Foundation (SANAP program); University of Pretoria; New Zealand Ministry of Business Innovation and Employment (MBIE)(New Zealand Ministry of Business, Innovation and Employment (MBIE))</t>
  </si>
  <si>
    <t>The authors gratefully acknowledge financial support and a PhD bursary (to LM) from the National Research Foundation (SANAP program; grant number 110730), the award of postdoctoral bursaries from the University of Pretoria (PHL, MO, SM, and GV), and logistics and funding support for the field work from Antarctica New Zealand and the New Zealand Ministry of Business Innovation and Employment (MBIE), respectively.</t>
  </si>
  <si>
    <t>JUL 24</t>
  </si>
  <si>
    <t>10.3389/fmicb.2023.1203216</t>
  </si>
  <si>
    <t>O4FX8</t>
  </si>
  <si>
    <t>WOS:001043401100001</t>
  </si>
  <si>
    <t>Liu, LB; He, G; Wu, MX; Liu, G; Zhang, HR; Chen, Y; Shen, JS; Li, SC</t>
  </si>
  <si>
    <t>Liu, Laibao; He, Gang; Wu, Mengxi; Liu, Gang; Zhang, Haoran; Chen, Ying; Shen, Jiashu; Li, Shuangcheng</t>
  </si>
  <si>
    <t>Climate change impacts on planned supply-demand match in global wind and solar energy systems</t>
  </si>
  <si>
    <t>NATURE ENERGY</t>
  </si>
  <si>
    <t>CARBON; POWER</t>
  </si>
  <si>
    <t>Climate change modulates both energy demand and wind and solar energy supply but a globally synthetic analysis of supply-demand match (SDM) is lacking. Here, we use 12 state-of-the-art climate models to assess climate change impacts on SDM, quantified by the fraction of demand met by local wind or solar supply. For energy systems with varying dependence on wind or solar supply, up to 32% or 44% of non-Antarctic land areas, respectively, are projected to experience robust SDM reductions by the end of this century under an intermediate emission scenario. Smaller and more variable supply reduces SDM at northern middle-to-high latitudes, whereas reduced heating demand alleviates or reverses SDM reductions remarkably. By contrast, despite supply increases at low latitudes, raised cooling demand reduces SDM substantially. Changes in climate extremes and climate mean make size-comparable contributions. Our results provide early warnings for energy sectors in climate change adaptation. Energy demand patterns will shift under climate change, but so will generated electricity, particularly as the wind and solar power supply increases. Here the authors model the impacts of climate change on future supply-demand match, highlighting the importance of changes in climate variability.</t>
  </si>
  <si>
    <t>[Liu, Laibao; Liu, Gang; Shen, Jiashu; Li, Shuangcheng] Peking Univ, Coll Urban &amp; Environm Sci, Beijing, Peoples R China; [Liu, Laibao; Shen, Jiashu; Li, Shuangcheng] Peking Univ, Key Lab Earth Surface Proc, Minist Educ, Beijing, Peoples R China; [Liu, Laibao] Swiss Fed Inst Technol, Inst Atmospher &amp; Climate Sci, Zurich, Switzerland; [He, Gang] SUNY Stony Brook, Coll Engn &amp; Appl Sci, Dept Technol &amp; Soc, Stony Brook, NY USA; [He, Gang] CUNY, Baruch Coll, Marxe Sch Publ &amp; Int Affairs, New York, NY USA; [Wu, Mengxi] Univ Calif Los Angeles, Joint Inst Reg Earth Syst Sci &amp; Engn JIFRESSE, Los Angeles, CA 90095 USA; [Wu, Mengxi] Brown Univ, Dept Earth Environm &amp; Planetary Sci, Providence, RI 02912 USA; [Zhang, Haoran] UCL, Bartlett Sch Sustainable Construction, London, England; [Chen, Ying] Univ Birmingham, Sch Geog Earth &amp; Environm Sci, Birmingham, England</t>
  </si>
  <si>
    <t>Peking University; Peking University; Swiss Federal Institutes of Technology Domain; ETH Zurich; State University of New York (SUNY) System; State University of New York (SUNY) Stony Brook; City University of New York (CUNY) System; Baruch College (CUNY); University of California System; University of California Los Angeles; Brown University; University of London; University College London; University of Birmingham</t>
  </si>
  <si>
    <t>Liu, LB (corresponding author), Peking Univ, Coll Urban &amp; Environm Sci, Beijing, Peoples R China.;Liu, LB (corresponding author), Peking Univ, Key Lab Earth Surface Proc, Minist Educ, Beijing, Peoples R China.;Liu, LB (corresponding author), Swiss Fed Inst Technol, Inst Atmospher &amp; Climate Sci, Zurich, Switzerland.;Wu, MX (corresponding author), Univ Calif Los Angeles, Joint Inst Reg Earth Syst Sci &amp; Engn JIFRESSE, Los Angeles, CA 90095 USA.;Wu, MX (corresponding author), Brown Univ, Dept Earth Environm &amp; Planetary Sci, Providence, RI 02912 USA.</t>
  </si>
  <si>
    <t>liulb15@pku.edu.cn; mwu16@g.ucla.edu</t>
  </si>
  <si>
    <t>Zhang, Haoran/M-2665-2019; Zhang, Haoran/HKE-3032-2023; He, Gang/N-4549-2013; Li, Kexin/KAO-2519-2024; Chen, Ying/G-8175-2011; Wu, Mengxi/JRW-7188-2023; zhang, haoran/JHS-7765-2023</t>
  </si>
  <si>
    <t>Zhang, Haoran/0000-0002-4641-0641; Zhang, Haoran/0000-0002-8751-5407; He, Gang/0000-0002-8416-1965; Chen, Ying/0000-0002-0319-4950; Wu, Mengxi/0000-0002-5365-3422; Liu, Laibao/0000-0001-9140-0509</t>
  </si>
  <si>
    <t>Second Tibetan Plateau Scientific Expedition and Research Program [2019QZKK1001]; National Natural Science Foundation of China [71991484, 42230506]; China Scholarship Council [201806010309]; Global Energy Initiative at ClimateWorks Foundation [23-2515]</t>
  </si>
  <si>
    <t>Second Tibetan Plateau Scientific Expedition and Research Program; National Natural Science Foundation of China(National Natural Science Foundation of China (NSFC)); China Scholarship Council(China Scholarship Council); Global Energy Initiative at ClimateWorks Foundation</t>
  </si>
  <si>
    <t>We acknowledge the World Climate Research Programme, which, through its Working Group on Coupled Modelling, coordinated and promoted CMIP6. We thank the climate modelling groups for producing and making available their model output, the Earth System Grid Federation (ESGF) for archiving the data and providing access and the multiple funding agencies who support CMIP6 and ESGF. We thank all contributors to the CMIP6 experiments. We thank W. Jan for useful discussions. We thank B. Zhu for producing material images used in Fig. 1. This study is funded by the Second Tibetan Plateau Scientific Expedition and Research Program (no. 2019QZKK1001) and National Natural Science Foundation of China (no. 42230506). L.L. acknowledges support from China Scholarship Council (no. 201806010309); G.H. acknowledges support from the Global Energy Initiative at ClimateWorks Foundation (no. 23-2515); and G.L. acknowledges support from the National Natural Science Foundation of China (no. 71991484).</t>
  </si>
  <si>
    <t>2058-7546</t>
  </si>
  <si>
    <t>NAT ENERGY</t>
  </si>
  <si>
    <t>Nat. Energy</t>
  </si>
  <si>
    <t>10.1038/s41560-023-01304-w</t>
  </si>
  <si>
    <t>Energy &amp; Fuels; Materials Science, Multidisciplinary</t>
  </si>
  <si>
    <t>Energy &amp; Fuels; Materials Science</t>
  </si>
  <si>
    <t>P8AN8</t>
  </si>
  <si>
    <t>WOS:001034458400001</t>
  </si>
  <si>
    <t>Johne, AS; Carter, CG; Wotherspoon, S; Hadley, S; Symonds, JE; Walker, SP; Blanchard, JL</t>
  </si>
  <si>
    <t>Johne, Alexandra S.; Carter, Chris G.; Wotherspoon, Simon; Hadley, Scott; Symonds, Jane E.; Walker, Seumas P.; Blanchard, Julia L.</t>
  </si>
  <si>
    <t>Modeling the effects of ration on individual growth of Oncorhynchus tshawytscha under controlled conditions</t>
  </si>
  <si>
    <t>JOURNAL OF FISH BIOLOGY</t>
  </si>
  <si>
    <t>Chinook salmon; cohort integral projection model; demography; feed efficiency; feeding hierarchy; feeding regime; individual performance variability; structured population models; sustainable seafood production</t>
  </si>
  <si>
    <t>INTEGRAL PROJECTION MODELS; SALMON SALMO-SALAR; ATLANTIC SALMON; FOOD-CONSUMPTION; BODY-SIZE; FISH; AGGRESSION; CONSEQUENCES; BACTERIA; BEHAVIOR</t>
  </si>
  <si>
    <t>Fed aquaculture is one of the fastest-growing and most valuable food production industries in the world. The efficiency with which farmed fish convert feed into biomass influences both environmental impact and economic revenue. Salmonid species, such as king salmon (Oncorhynchus tshawytscha), exhibit high levels of plasticity in vital rates such as feed intake and growth rates. Accurate estimations of individual variability in vital rates are important for production management. The use of mean trait values to evaluate feeding and growth performance can mask individual-level differences that potentially contribute to inefficiencies. Here, the authors apply a cohort integral projection model (IPM) framework to investigate individual variation in growth performance of 1625 individually tagged king salmon fed one of three distinct rations of 60%, 80%, and 100% satiation and tracked over a duration of 276 days. To capture the observed sigmoidal growth of individuals, they compared a nonlinear mixed-effects (logistic) model to a linear model used within the IPM framework. Ration significantly influenced several aspects of growth, both at the individual and at the cohort level. Mean final body mass and mean growth rate increased with ration; however, variance in body mass and feed intake also increased significantly over time. Trends in mean body mass and individual body mass variation were captured by both logistic and linear models, suggesting the linear model to be suitable for use in the IPM. The authors also observed that higher rations resulted in a decreasing proportion of individuals reaching the cohort's mean body mass or larger by the end of the experiment. This suggests that, in the present experiment, feeding to satiation did not produce the desired effects of efficient, fast, and uniform growth in juvenile king salmon. Although monitoring individuals through time is challenging in commercial aquaculture settings, recent technological advances combined with an IPM approach could provide new scope for tracking growth performance in experimental and farmed populations. Using the IPM framework might allow the exploration of other size-dependent processes affecting vital rate functions, such as competition and mortality.</t>
  </si>
  <si>
    <t>[Johne, Alexandra S.; Symonds, Jane E.; Blanchard, Julia L.] Univ Tasmania, Inst Marine &amp; Antarctic Studies, Ecol &amp; Biodivers, Hobart, Australia; [Carter, Chris G.; Hadley, Scott] Univ Tasmania, Inst Marine &amp; Antarctic Studies, Fisheries &amp; Aquaculture, Hobart, Australia; [Wotherspoon, Simon] Australian Antarctic Div, Kingston, Tas, Australia; [Symonds, Jane E.; Walker, Seumas P.] Cawthron Inst, Nelson, New Zealand; [Johne, Alexandra S.] Univ Tasmania, Inst Marine &amp; Antarctic Studies, Ecol &amp; Biodivers, 20 Castray Esplanade, Hobart, Tas, Australia</t>
  </si>
  <si>
    <t>University of Tasmania; University of Tasmania; Australian Antarctic Division; Cawthron Institute; University of Tasmania</t>
  </si>
  <si>
    <t>Johne, AS (corresponding author), Univ Tasmania, Inst Marine &amp; Antarctic Studies, Ecol &amp; Biodivers, 20 Castray Esplanade, Hobart, Tas, Australia.</t>
  </si>
  <si>
    <t>alexandra.johne@utas.edu.au</t>
  </si>
  <si>
    <t>Carter, Chris Guy/A-3438-2008</t>
  </si>
  <si>
    <t>Carter, Chris Guy/0000-0001-5210-1282; Johne, Alexandra Susanna/0000-0002-2816-7983</t>
  </si>
  <si>
    <t>Ministry of Business, Innovation and Employment [CAWX1606]</t>
  </si>
  <si>
    <t>Ministry of Business, Innovation and Employment(New Zealand Ministry of Business, Innovation and Employment (MBIE))</t>
  </si>
  <si>
    <t>&amp; nbsp;Ministry of Business, Innovation and Employment, Grant/Award Number: CAWX1606</t>
  </si>
  <si>
    <t>0022-1112</t>
  </si>
  <si>
    <t>1095-8649</t>
  </si>
  <si>
    <t>J FISH BIOL</t>
  </si>
  <si>
    <t>J. Fish Biol.</t>
  </si>
  <si>
    <t>10.1111/jfb.15499</t>
  </si>
  <si>
    <t>Y2ZD0</t>
  </si>
  <si>
    <t>WOS:001035689400001</t>
  </si>
  <si>
    <t>Filún, D; van Opzeeland, I</t>
  </si>
  <si>
    <t>Filun, Diego; van Opzeeland, Ilse</t>
  </si>
  <si>
    <t>Spatial and temporal variability of the acoustic repertoire of Antarctic minke whales (Balaenoptera bonaerensis) in the Weddell Sea</t>
  </si>
  <si>
    <t>HUMPBACK WHALES; LONG-DISTANCE; BLUE WHALES; SONG; FREQUENCY; PATTERNS; WESTERN; SOUNDS; RANGE; OCEAN</t>
  </si>
  <si>
    <t>Since the attribution of the bio-duck call to Antarctic minke whales (AMW Balaenoptera bonaerensis), different studies have retrospectively identified several bio-duck call types at various sites throughout the Southern Hemisphere. The function of their vocal behavior however, remains largely unknown. Further insights into their repertoire usage may help to reveal the function of their calls. Here, we use passive acoustic monitoring (PAM) data collected across six locations throughout the Weddell Sea (WS) in 2013 and from PALAOA Station (Ekstrom Ice Shelf, eastern WS) in 2015, 2016 and 2017. In 2013, we detected 11 bio-duck call types throughout the WS between May and December, with additional acoustic activity in February on the western recorder AMW calls fell into four general call clusters. Seasonal patterns of calls showed variability between locations and years. Furthermore, this is the first study to show that similar to other baleen whale species, AMWs also produce songs.</t>
  </si>
  <si>
    <t>[Filun, Diego; van Opzeeland, Ilse] Alfred Wegener Inst Polar &amp; Marine Res, Ocean Acoust Lab, D-27570 Bremerhaven, Germany; [Filun, Diego] Ctr FONDAP Invest Dinam Ecosistemas Marinos de Al, Valdivia, Chile; [van Opzeeland, Ilse] Carl von Ossietzky Univ Oldenburg, Helmholtz Inst Funct Marine Biodivers HIFMB, D-26129 Oldenburg, Germany</t>
  </si>
  <si>
    <t>Helmholtz Association; Alfred Wegener Institute, Helmholtz Centre for Polar &amp; Marine Research; Carl von Ossietzky Universitat Oldenburg</t>
  </si>
  <si>
    <t>Filún, D (corresponding author), Alfred Wegener Inst Polar &amp; Marine Res, Ocean Acoust Lab, D-27570 Bremerhaven, Germany.</t>
  </si>
  <si>
    <t>diego.filun@awi.de</t>
  </si>
  <si>
    <t>Alfred-Wegener Institute for Polar and Marine Research in Bremerhaven [ANT-XXIV/3, ANT-XXVII/2, ANT-XXIX/2]; Deutscher Akademischer Austauschdienst (DAAD); Comision Nacional de Investigacion Cientifica y Tecnologia (CONICYT); Helmholtz Graduate School for Polar and Marine Research (POLMAR)</t>
  </si>
  <si>
    <t>Alfred-Wegener Institute for Polar and Marine Research in Bremerhaven; Deutscher Akademischer Austauschdienst (DAAD)(Deutscher Akademischer Austausch Dienst (DAAD)); Comision Nacional de Investigacion Cientifica y Tecnologia (CONICYT)(Comision Nacional de Investigacion Cientifica y Tecnologica (CONICYT)); Helmholtz Graduate School for Polar and Marine Research (POLMAR)</t>
  </si>
  <si>
    <t>Many thanks to the Ocean Acoustics Group, Alfred-Wegener Institute for Polar and Marine Research in Bremerhaven for support. We also thank the crews of RV Polarstern expeditions ANT-XXV/2, ANT-XXIV/3, ANT-XXVII/2, ANT-XXIX/2 and the mooring team of the AWI's physical oceanography department for the deployment and recovery of the acoustic recorders. This work was financially supported by the Deutscher Akademischer Austauschdienst (DAAD), Comision Nacional de Investigacion Cientifica y Tecnologia (CONICYT) and the Helmholtz Graduate School for Polar and Marine Research (POLMAR).</t>
  </si>
  <si>
    <t>JUL 22</t>
  </si>
  <si>
    <t>10.1038/s41598-023-38793-4</t>
  </si>
  <si>
    <t>KF9K8</t>
  </si>
  <si>
    <t>WOS:001178658600017</t>
  </si>
  <si>
    <t>Friedrich, M</t>
  </si>
  <si>
    <t>Friedrich, M.</t>
  </si>
  <si>
    <t>Does the moon meddle with the lower ionosphere?</t>
  </si>
  <si>
    <t>JOURNAL OF ATMOSPHERIC AND SOLAR-TERRESTRIAL PHYSICS</t>
  </si>
  <si>
    <t>Lunar eclipse; Lowest ionosphere; VLF propagation</t>
  </si>
  <si>
    <t>E-REGION</t>
  </si>
  <si>
    <t>At night free electrons of the lowest ionosphere are either lost by recombination with positive ions, or by attachment to neutrals thus forming negative ions. Whereas for ionisation photons of at least UV energy and/or energetic particles are required, visible light suffices to detach electrons from neutrals. One could compare mesurements of nights with and without moonlight, but one could never rule out that other factors such as temperature might also have changed between the two nights. Recent total lunar eclipses provide the opportunity to test the influence of moonlight assuming that the mesosphere does not change otherwise in the night under consideration. Results of several low frequency propagation paths are analysed, some of which indeed show ionospheric signatures of the transient disappearance of the moonlight.</t>
  </si>
  <si>
    <t>[Friedrich, M.] Graz Univ Technol, Inst Commun Networks &amp; Satellite Commun, A-8010 Graz, Austria</t>
  </si>
  <si>
    <t>Graz University of Technology</t>
  </si>
  <si>
    <t>Friedrich, M (corresponding author), Graz Univ Technol, Inst Commun Networks &amp; Satellite Commun, A-8010 Graz, Austria.</t>
  </si>
  <si>
    <t>martin.friedrich@tugraz.at</t>
  </si>
  <si>
    <t>Austrian Science Fund (FWF)</t>
  </si>
  <si>
    <t>Austrian Science Fund (FWF)(Austrian Science Fund (FWF))</t>
  </si>
  <si>
    <t>The sounding rocket data are predominantly due to participations in these soundings made possible by various grants of the Austrian Science Fund (FWF) between 1969 and 2015. The VLF data were generously made accessible by M. Clilverd (British Antarctic Survey, Cambridge), C. Rodger (Otago University, Dunedin), S. Kumar (USP, The University of the South Pacific), and F. Kerrache (Astrophysics Division, CRAAG, Algiers). The LF data were retrieved by D. Keuer (formerly with IAP, Kuehlungsborn).</t>
  </si>
  <si>
    <t>1364-6826</t>
  </si>
  <si>
    <t>1879-1824</t>
  </si>
  <si>
    <t>J ATMOS SOL-TERR PHY</t>
  </si>
  <si>
    <t>J. Atmos. Sol.-Terr. Phys.</t>
  </si>
  <si>
    <t>10.1016/j.jastp.2023.106119</t>
  </si>
  <si>
    <t>Geochemistry &amp; Geophysics; Meteorology &amp; Atmospheric Sciences</t>
  </si>
  <si>
    <t>Q3ME1</t>
  </si>
  <si>
    <t>WOS:001056582100001</t>
  </si>
  <si>
    <t>Tracey, SR; Wolfe, BW; Hartmann, K; Pepperell, J; Williams, SM</t>
  </si>
  <si>
    <t>Tracey, Sean R.; Wolfe, Barrett W.; Hartmann, Klaas; Pepperell, Julian; Williams, Sam M.</t>
  </si>
  <si>
    <t>Movement behavior of swordfish provisions connectivity between the temperate and tropical southwest Pacific Ocean</t>
  </si>
  <si>
    <t>XIPHIAS-GLADIUS CAUGHT; TUNA THUNNUS-OBESUS; BROADBILL SWORDFISH; FEEDING ECOLOGY; PELAGIC FISHES; EASTERN TUNA; CATCH RATES; TRACKING; AUSTRALIA; PATTERNS</t>
  </si>
  <si>
    <t>Swordfish (Xiphias gladius) are a widely distributed (45 degrees N-45 degrees S) large pelagic fish targeted by fisheries worldwide. Swordfish that occur at high latitudes tend to disproportionately be large adults, so their movements have implications for population dynamics and fisheries management. In the southwest Pacific, little is known about this subset of the stock and existing evidence suggests limited movement from the subtropics into cooler high latitude waters. Here, we capitalize on the recent emergence of a recreational swordfish fishery off temperate southeast Australia to characterize movements of swordfish caught in the fishery with pop-up satellite archival transmitting tags. Data were recovered from tags deployed for 56-250 days on 11 swordfish (50-350 kg) tagged between 38 and 43 degrees S in the western Tasman Sea. Five swordfish entered the Coral Sea (&lt;30 degrees S), with four reaching north to 11-24 degrees S, up to 3275 km away from location of capture. Behavior modelling suggests these four individuals rapidly transited north until encountering 23-27 degrees C water, at which point they lingered in the area for several months, consistent with spawning-related partial migration. One migrating swordfish still carrying a tag after the spawning season returned to similar to 120 km of its release location, suggesting site fidelity. Movements toward the central south Pacific were confined to two individuals crossing 165 degrees E. Swordfish predominantly underwent normal diel vertical migration, descending into the mesopelagic zone at dawn (median daytime depth 494.9 m, 95% CI 460.4-529.5 m). Light attenuation predicted daytime depth, with swordfish rising by up to 195 m in turbid water. At night, swordfish were deeper during the full moon, median night-time depth 45.8 m (37.8-55.5) m versus 18.0 m (14.9-21.8) m at new moon. Modelling fine-scale (10 min(-1)) swordfish depth revealed dynamic effects of moon phase varying predictably across time of night with implications for fisheries interactions. Studying highly migratory fishes near distribution limits allows characterization of the full range of movement phenotypes within a population, a key consideration for important fish stocks in changing oceans.</t>
  </si>
  <si>
    <t>[Tracey, Sean R.; Wolfe, Barrett W.; Hartmann, Klaas] Univ Tasmania, Inst Marine &amp; Antarctic Studies, Private Bag 49, Hobart, Tas 7001, Australia; [Pepperell, Julian] Pepperell Res &amp; Consulting Pty Ltd, POB 1475, Noosaville DC, Qld 4566, Australia; [Williams, Sam M.] Univ Queensland, Sch Biomed Sci, Brisbane, Qld 4072, Australia</t>
  </si>
  <si>
    <t>University of Tasmania; University of Queensland</t>
  </si>
  <si>
    <t>Tracey, SR (corresponding author), Univ Tasmania, Inst Marine &amp; Antarctic Studies, Private Bag 49, Hobart, Tas 7001, Australia.</t>
  </si>
  <si>
    <t>sean.tracey@utas.edu.au</t>
  </si>
  <si>
    <t>Hartmann, Klaas/B-3991-2008; Tracey, Sean/J-7446-2014; Wolfe, Barrett William/W-3509-2019</t>
  </si>
  <si>
    <t>Tracey, Sean/0000-0002-6735-5899; Wolfe, Barrett William/0000-0002-9406-0578</t>
  </si>
  <si>
    <t>Australian Government through the Fisheries Research and Development Corporation; Tasmanian Government; Fisheries Victoria-Recreational Fishing Grant; New South Wales Recreational fishing trust grant; Game Fishing Association of Australia; TARFish; Tasmanian recreational fishing community via a raffle</t>
  </si>
  <si>
    <t>Australian Government through the Fisheries Research and Development Corporation(Fisheries R&amp;D Corp); Tasmanian Government; Fisheries Victoria-Recreational Fishing Grant; New South Wales Recreational fishing trust grant; Game Fishing Association of Australia; TARFish; Tasmanian recreational fishing community via a raffle</t>
  </si>
  <si>
    <t>This project has received extensive support from many groups, in particular the recreational fishing community. This study was conducted in accordance with the University of Tasmania's Animal Ethics Committee approval (A0014679 and A0017003). The Australian Government through the Fisheries Research and Development Corporation, the Tasmanian Government, a Fisheries Victoria-Recreational Fishing Grant, a New South Wales Recreational fishing trust grant, the Game Fishing Association of Australia, TARFish and the Tasmanian recreational fishing community via a raffle provided funding for this study. The Latrobe Valley Game Fishing Club also donated a PSAT tag to the project.</t>
  </si>
  <si>
    <t>JUL 21</t>
  </si>
  <si>
    <t>10.1038/s41598-023-38744-z</t>
  </si>
  <si>
    <t>S0AG3</t>
  </si>
  <si>
    <t>WOS:001067878900024</t>
  </si>
  <si>
    <t>Willis, JR; Harford, AR; Fitzgibbon, QP; Jeffs, AG; Smith, GG; Hickey, AJR</t>
  </si>
  <si>
    <t>Willis, Jaime R.; Harford, Alice R.; Fitzgibbon, Quinn P.; Jeffs, Andrew G.; Smith, Gregory G.; Hickey, Anthony J. R.</t>
  </si>
  <si>
    <t>Efficacy of isobutanol to reduce transport stress of juvenile ornate tropical rock lobster (TRL; Panulirus ornatus)</t>
  </si>
  <si>
    <t>Isobutanol; Transport; Crustaceans; Ornate tropical rock lobster</t>
  </si>
  <si>
    <t>LIVE TRANSPORT; AIR-EXPOSURE; HOMARUS-AMERICANUS; JASUS-EDWARDSII; CRAB; DECAPODA; SURVIVAL; PHYSIOLOGY; RESPONSES; EMERSION</t>
  </si>
  <si>
    <t>The ornate tropical rock lobster (TRL; Panulirus ornatus) is a fast growing spiny lobster that is prized for its vivid colouration and excellent eating qualities. The TRL aquaculture industry is reliant on the successful transport of juveniles to often distant grow-out sites from where they are harvested in the wild or raised in hatcheries. There has been mixed success transporting TRL juveniles, with high mortality rates which are typically associated with metabolic stress. Isobutanol, a food safe alcohol, has been shown to act as a sedative in adult TRL, as well as several other commercially important lobster species. This study found that juvenile TRL were rapidly sedated with isobutanol treatments at 350 and 500 ppm (15.05 and 6.47 min, respectively) and sustained inactivity was observed (36.12 and 60.62 min, respectively). Pre-treatment with isobutanol at 25 and 50 ppm led to decreased CO2 production rates during a 2 h air exposure experiment compared to untreated individuals (similar to 55 and 28%, respectively). Glycogen stores were maintained (similar to 75 higher) while lactate and ammonia concentrations were lower (similar to 50% and 40%, respectively) compared to untreated individuals. Isobutanol treatments at 25 and 50 ppm prior to 20 h of simulated transport improved overall survival (87.5% without treatment; 100% at either isobutanol treatment), while maintaining glycogen stores (similar to 80% higher) and limiting the accumulation of lactate and ammonia (similar to 25% and similar to 45% lower, respectively) compared with untreated individuals. The results indicate that isobutanol treatment prior to air exposure during transport has the potential to improve outcomes from the transport of live juvenile TRL by decreasing overall metabolic stress and increasing survival.</t>
  </si>
  <si>
    <t>[Willis, Jaime R.; Harford, Alice R.; Jeffs, Andrew G.; Hickey, Anthony J. R.] Univ Auckland, Sch Biol Sci, Auckland, New Zealand; [Fitzgibbon, Quinn P.; Smith, Gregory G.] Univ Tasmania, Inst Marine &amp; Antarctic Studies IMAS, Hobart, Australia; [Jeffs, Andrew G.] Univ Auckland, Inst Marine Sci, Auckland, New Zealand</t>
  </si>
  <si>
    <t>University of Auckland; University of Tasmania; University of Auckland</t>
  </si>
  <si>
    <t>Willis, JR (corresponding author), Univ Auckland, Sch Biol Sci, Auckland, New Zealand.</t>
  </si>
  <si>
    <t>jwil497@aucklanduni.ac.nz</t>
  </si>
  <si>
    <t>Fitzgibbon, Quinn/0000-0002-1104-3052</t>
  </si>
  <si>
    <t>Australian Research Council 's Research Hub for Sustainable Onshore Lobster Aquaculture [IHI90100014]</t>
  </si>
  <si>
    <t>Australian Research Council 's Research Hub for Sustainable Onshore Lobster Aquaculture(Australian Research Council)</t>
  </si>
  <si>
    <t>Acknowledgements This research was supported by the Australian Research Council 's Research Hub for Sustainable Onshore Lobster Aquaculture (IHI90100014) . The views expressed herein are those of the authors and are not necessarily those of the Australian Government or Australian Research Council. The authors would like to thank the team at IMAS, University of Tasmania for the supply of animals and assistance and support on site.</t>
  </si>
  <si>
    <t>10.1016/j.aquaculture.2023.739872</t>
  </si>
  <si>
    <t>P4KV2</t>
  </si>
  <si>
    <t>WOS:001050360700001</t>
  </si>
  <si>
    <t>Zhao, L; Dharmapriya, PL; Zhang, YB; Zhai, MG; Guo, JH; Pitawala, A; Li, XH</t>
  </si>
  <si>
    <t>Zhao, Lei; Dharmapriya, Prasanna Lakshitha; Zhang, Yan-Bin; Zhai, Ming -Guo; Guo, Jing-Hui; Pitawala, Amarasooriya; Li, Xian -Hua</t>
  </si>
  <si>
    <t>Expanding Azania at the heart of Gondwana: Terrane correlation from Southern India to Sri Lanka</t>
  </si>
  <si>
    <t>PRECAMBRIAN RESEARCH</t>
  </si>
  <si>
    <t>Precambrian basement; Zircon U -Pb geochronology; Highland Complex; Azania; Long-lasting orogeny</t>
  </si>
  <si>
    <t>U-PB GEOCHRONOLOGY; ULTRAHIGH-TEMPERATURE METAMORPHISM; HIGH-GRADE ROCKS; LU-HF ISOTOPES; HIGHLAND COMPLEX; DETRITAL-ZIRCON; CRUSTAL EVOLUTION; SUPERCONTINENT FORMATION; GRANULITE TERRANE; VIJAYAN COMPLEX</t>
  </si>
  <si>
    <t>The reconstruction of megacontinent Gondwana was arguably the first crowning achievement of paleogeog-raphy, nonetheless the kinematics of its assembly remains controversial. The now-outmoded concept that Gondwana assembly was simply the amalgamation of East and West Gondwana has been replaced by models involving multiple terrane accretions and continental collisions along different orogenic belts. Although the affinities of large cratons are well established, figuring out the relationships between the multiple Pan-African orogenic belts has been hindered by poorly defined smaller intervening terranes. At the center of Gondwana, the polymetamorphic terranes in Sri Lanka have been correlated to various crustal blocks without broad consensus, mainly because of a paucity of high-quality geochronological results. Terrane correlations and figuring out the spatial distributions of Pan-African orogenic belts in the central part of Gondwana are, therefore, hampered by the controversies about Sri Lanka. We present new data on the high-grade metamorphic rocks occurring in the Highland Complex of Sri Lanka, which reveal the widespread Paleoproterozoic magmatism with U-Pb ages of &amp; GE; 2465 - 1803 Ma and uniform Archean Hf model ages. Our data confirm the pervasive metamorphic ages of -610 - 510 Ma, and for the first time, we present multiple episodes of metamorphism at Paleoproterozoic (1854 - 1803 Ma) and Neoproterozoic (-637 - 635 Ma) which are comparable with those reported from the East African Orogen. Based on a comparison with neighboring crustal blocks, we suggest that these early Precambrian basement components as well as the multiple metamorphism of the Highland Complex in Sri Lanka can be correlated with micro-continent Azania. These new data not only confirm the widespread early Precambrian basement components in Sri Lanka, but also open up new ways for terrane correlations from East Africa through Sri Lanka to East Antarctic.</t>
  </si>
  <si>
    <t>[Zhao, Lei; Zhang, Yan-Bin; Zhai, Ming -Guo; Guo, Jing-Hui; Li, Xian -Hua] Chinese Acad Sci, Inst Geol &amp; Geophys, State Key Lab Lithospher Evolut, Beijing 100029, Peoples R China; [Dharmapriya, Prasanna Lakshitha; Pitawala, Amarasooriya] Univ Peradeniya, Fac Sci, Dept Geol, Peradeniya 20400, Sri Lanka; [Zhai, Ming -Guo; Guo, Jing-Hui; Li, Xian -Hua] Univ Chinese Acad Sci, Coll Earth &amp; Planetary Sci, Beijing 100049, Peoples R China; [Zhao, Lei; Zhai, Ming -Guo] Chinese Acad Sci, Inst Geol &amp; Geophys, State Key Lab Lithospher Evolut, 19 Beituchengxi Rd, Beijing 100029, Peoples R China</t>
  </si>
  <si>
    <t>Chinese Academy of Sciences; Institute of Geology &amp; Geophysics, CAS; University of Peradeniya; Chinese Academy of Sciences; University of Chinese Academy of Sciences, CAS; Chinese Academy of Sciences; Institute of Geology &amp; Geophysics, CAS</t>
  </si>
  <si>
    <t>Zhao, L; Zhai, MG (corresponding author), Chinese Acad Sci, Inst Geol &amp; Geophys, State Key Lab Lithospher Evolut, 19 Beituchengxi Rd, Beijing 100029, Peoples R China.</t>
  </si>
  <si>
    <t>zhaolei@mail.iggcas.ac.cn; mgzhai@mail.iggas.ac.cn</t>
  </si>
  <si>
    <t>wang, yue/KDO-9209-2024; Wang, Yu/KGL-3101-2024; zhang, zhang/KGK-5266-2024; li, liu/JXN-7328-2024; Li, Kexin/KAO-2519-2024; Ling, Li/JYO-7043-2024; Liu, Yan/KFQ-1417-2024; zhu, hao/KHW-3813-2024; li, li/KHE-5750-2024; Liu, Liu/JXM-8208-2024; han, yang/KHX-8947-2024; Ying, Zhang/JWA-0560-2024; li, yan/KFQ-3850-2024; Wang, Xin/KGK-9099-2024; WANG, YANAN/KCL-4840-2024; Li, Yan/KFQ-9244-2024; Li, siqi/KDN-4520-2024; lin, lin/KCZ-0185-2024; yang, ying/KHW-9378-2024; Liu, Jiacheng/KHX-5326-2024; li, lin/KEJ-1056-2024; zhang, zheng/KHY-8870-2024; Wang, Chen/JZE-6385-2024; Zhang, Jianjun/KEJ-3941-2024; chen, chen/KHW-7024-2024; Lu, Xin/KHW-8570-2024; li, yf/KHX-1148-2024; Zhao, Hang/KCL-7278-2024; zhao, hang/JVM-8270-2024; LI, yue/KHC-6771-2024; zhou, chen/KBC-4023-2024; Li, Wenjuan/KDN-8450-2024; Yu, Yan/KCL-1047-2024; Zhang, jin/KFT-0762-2024; Wang, Jinyang/JXN-8650-2024; ZHANG, JING/KHY-1073-2024; Zhang, Lijuan/KAM-0174-2024; lin, lin/KFB-9548-2024</t>
  </si>
  <si>
    <t>Wang, Xin/0009-0004-7428-3071; Liu, Jiacheng/0000-0002-0518-3577; Lu, Xin/0000-0001-9885-6031; Yu, Yan/0000-0003-2233-344X; zhao, lei/0000-0003-4750-3345</t>
  </si>
  <si>
    <t>National Nature Science Foundation of China [41872197, 41890834]; China -Sri Lanka Joint Center for Water Technology Research and Demonstration by the Chinese Academy of Sciences (CAS); CAS</t>
  </si>
  <si>
    <t>National Nature Science Foundation of China(National Natural Science Foundation of China (NSFC)); China -Sri Lanka Joint Center for Water Technology Research and Demonstration by the Chinese Academy of Sciences (CAS); CAS(Chinese Academy of Sciences)</t>
  </si>
  <si>
    <t>The authors declare no conflicts of interest. Journal editor Prof. Jian Zhang, Prof. Alan Collins and an anonymous reviewer are acknowledged here for providing constructive comments on our manuscript. Prof. Ross Mitchell and Dr. Qing Zhang are thanked for English polishing. Drs. Yu Liu, Guo-Qiang Tang, Xiaoxiao Ling, and Prof. Qiu-Li Li are acknowledged for their help in the lab. Dr. Shujuan Jiao and Ping Li provided help during the fieldwork and are also thanked here. This work was funded by the research programs (Grant Nos. 41872197, 41890834) supported by the National Nature Science Foundation of China, and a research Program of the China -Sri Lanka Joint Center for Water Technology Research and Demonstration by the Chinese Academy of Sciences (CAS) ; China-Sri Lanka Joint Center for Education and Research by the CAS. .</t>
  </si>
  <si>
    <t>0301-9268</t>
  </si>
  <si>
    <t>1872-7433</t>
  </si>
  <si>
    <t>PRECAMBRIAN RES</t>
  </si>
  <si>
    <t>Precambrian Res.</t>
  </si>
  <si>
    <t>10.1016/j.precamres.2023.107149</t>
  </si>
  <si>
    <t>P5RQ9</t>
  </si>
  <si>
    <t>WOS:001051251900001</t>
  </si>
  <si>
    <t>Vargas-Alemañy, JA; Vigo, MI; García-Garcia, D; Zid, F</t>
  </si>
  <si>
    <t>Vargas-Alemany, Juan A.; Vigo, M. Isabel; Garcia-Garcia, David; Zid, Ferdous</t>
  </si>
  <si>
    <t>Updated geostrophic circulation and volume transport from satellite data in the Southern Ocean</t>
  </si>
  <si>
    <t>3D geostrophy; volume transport; Southern Ocean; Antarctic Circumpolar Current; satellite altimetry; satellite gravity</t>
  </si>
  <si>
    <t>TIME-SERIES; IN-SITU; ALTIMETRY</t>
  </si>
  <si>
    <t>Introduction: A geodetic estimation of the surface geostrophic currents can be obtained from satellite data by combining sea surface height measurements obtained from altimetry missions with geoid data from gravity missions. These surface geostrophic currents serve as a reference for inferring a comprehensive three-dimensional (3D) geostrophy by propagating them downwards using temperature and salinity profiles. Methods: In this work, we revisit this problem for the Southern Ocean, estimating the 3D geostrophy near full depth in 41 layers, with a 1 degrees spatial resolution and monthly temporal resolution, covering the 12 years from 2004 to 2015. We analyze the obtained 3D geostrophy over the Southern Ocean region, where the Antarctic Circumpolar Current (ACC) and its several fronts are depicted, as well as other major currents such as the Agulhas Current, the Brazil-Malvinas Current, or the East Australian Current. From the 3D geostrophic currents, we also estimate the associated water volume transport (VT) and present the results for the ACC and the Drake Passage in the context of existing literature. Results: Our analysis yields a mean VT estimate of 15.9 +/- 0.1 Sv per 1 degrees cell within the ACC region and 149.2 +/- 2.2 Sv for the Drake Passage ([60.5 degrees S, 54.5 degrees S] x [303.5 degrees E]). Importantly, our study includes a comprehensive validation of the results. The spatial resolution of our space-data-based approach enables us to provide VT estimates for various paths followed in the different in situ campaigns at the Drake Passage, thereby validating our findings. Discussion: The analysis demonstrates a remarkable agreement across different measurement locations, reconciling the differences in estimates reported from different campaigns. Moreover, we have estimated the barotropic and baroclinic components of the currents and their associated VT.</t>
  </si>
  <si>
    <t>[Vargas-Alemany, Juan A.; Vigo, M. Isabel; Garcia-Garcia, David; Zid, Ferdous] Univ Alicante, Dept Appl Math, Alicante, Spain</t>
  </si>
  <si>
    <t>Universitat d'Alacant</t>
  </si>
  <si>
    <t>Vigo, MI (corresponding author), Univ Alicante, Dept Appl Math, Alicante, Spain.</t>
  </si>
  <si>
    <t>vigo@ua.es</t>
  </si>
  <si>
    <t>Garcia, David/L-7535-2014; Aguiar, Isabel Vigo/L-6267-2014; Vargas-Alemañy, Juan A./KEI-9725-2024</t>
  </si>
  <si>
    <t>Garcia, David/0000-0002-7273-9037; Aguiar, Isabel Vigo/0000-0002-6102-946X;</t>
  </si>
  <si>
    <t>MCIN/AEI [PID2021-122142OB-I00]; Generalitat Valenciana [PROMETEO/2021/030, GVA-THINKINAZUL/2021/035]; European Union NextGenerationEU/PRTR</t>
  </si>
  <si>
    <t>MCIN/AEI; Generalitat Valenciana(Center for Forestry Research &amp; Experimentation (CIEF)); European Union NextGenerationEU/PRTR(European Union (EU))</t>
  </si>
  <si>
    <t>This research is support by grant PID2021-122142OB-I00 funded by MCIN/AEI/10.13039/501100011033, grant PROMETEO/2021/030 funded by Generalitat Valenciana, and grant GVA-THINKINAZUL/2021/035 funded by Generalitat Valenciana and European Union NextGenerationEU/PRTR.</t>
  </si>
  <si>
    <t>10.3389/feart.2023.1110138</t>
  </si>
  <si>
    <t>O3MA3</t>
  </si>
  <si>
    <t>WOS:001042880100001</t>
  </si>
  <si>
    <t>Li, S; Lin, SY; Jiang, PF; Feng, Q; Bao, ZJ; Huang, YH; Sun, N</t>
  </si>
  <si>
    <t>Li, Shuang; Lin, Songyi; Jiang, Pengfei; Feng, Qi; Bao, Zhijie; Huang, Yihan; Sun, Na</t>
  </si>
  <si>
    <t>Discovery of Potential Protein Markers Associated with Quality Characteristics of Antarctic Krill (Euphausia superba) Surimi Gel</t>
  </si>
  <si>
    <t>JOURNAL OF AGRICULTURAL AND FOOD CHEMISTRY</t>
  </si>
  <si>
    <t>Antarctickrill; carrageenan; protein markers; qualitycharacteristics; microstructure; transcriptomesequencing; proteomics</t>
  </si>
  <si>
    <t>RHEOLOGICAL PROPERTIES; MYOFIBRILLAR PROTEINS; HEAT; MYOSIN; PROTEOMICS; GELATION</t>
  </si>
  <si>
    <t>Antarctickrill are a consumption resource with great exploitationpotential. However, the poor gel properties of Antarctic krill meatseriously limit its high-value application. In the present study,the quality characteristics and proteome changes of the &amp; kappa;-/&amp; iota;-carrageenan-Antarctickrill surimi gel were systematically analyzed and compared. In addition,the transcriptome sequencing of Antarctic krill was carried out, whichfilled the gap in the Antarctic krill database. Higher molecular forces(disulfide bond and hydrophobic interaction) and the degree of networkcross-linking significantly promoted the formation of &amp; kappa;/&amp; iota;-carrageenan-Antarctickrill surimi compared to that of Antarctic krill surimi. This is thefirst study to investigate and map potential protein markers for qualitycharacteristics of Antarctic krill surimi based on mass spectrometry-basedlabel-free quantitative proteomics. The results could provide a theoreticalreference for the quality control of Antarctic krill during application.</t>
  </si>
  <si>
    <t>[Li, Shuang; Lin, Songyi; Jiang, Pengfei; Feng, Qi; Bao, Zhijie; Huang, Yihan; Sun, Na] Dalian Polytech Univ, Natl Engn Res Ctr Seafood, Sch Food Sci &amp; Technol, Dalian 116034, Peoples R China; [Lin, Songyi; Jiang, Pengfei; Bao, Zhijie; Sun, Na] Dalian Polytech Univ, State Key Lab Marine Food Proc &amp; Safety Control, Dalian 116034, Peoples R China</t>
  </si>
  <si>
    <t>Sun, N (corresponding author), Dalian Polytech Univ, Natl Engn Res Ctr Seafood, Sch Food Sci &amp; Technol, Dalian 116034, Peoples R China.;Sun, N (corresponding author), Dalian Polytech Univ, State Key Lab Marine Food Proc &amp; Safety Control, Dalian 116034, Peoples R China.</t>
  </si>
  <si>
    <t>sunna1215@126.com</t>
  </si>
  <si>
    <t>Zhao, Yi/JFA-7988-2023; WANG, YANG/JFA-8821-2023; Wang, Chao/JHT-6081-2023; WANG, HUI/JFA-9683-2023; liu, peng/JSL-1931-2023; Chen, Yu/JLL-0171-2023; Wang, lingyu/JLM-2013-2023</t>
  </si>
  <si>
    <t>Liaoning Revitalization Talents Program of China [XLYC2007078]; Central Guidance on Local Science and Technology Development Fund of Dalian; Graduate Innovation Fund of Dalian Polytechnic University</t>
  </si>
  <si>
    <t>Liaoning Revitalization Talents Program of China; Central Guidance on Local Science and Technology Development Fund of Dalian; Graduate Innovation Fund of Dalian Polytechnic University</t>
  </si>
  <si>
    <t>This work was financially supported by the Liaoning Revitalization Talents Program of China (NO. XLYC2007078), the Central Guidance on Local Science and Technology Development Fund of Dalian, and the Graduate Innovation Fund of Dalian Polytechnic University.</t>
  </si>
  <si>
    <t>0021-8561</t>
  </si>
  <si>
    <t>1520-5118</t>
  </si>
  <si>
    <t>J AGR FOOD CHEM</t>
  </si>
  <si>
    <t>J. Agric. Food Chem.</t>
  </si>
  <si>
    <t>10.1021/acs.jafc.3c02860</t>
  </si>
  <si>
    <t>Agriculture, Multidisciplinary; Chemistry, Applied; Food Science &amp; Technology</t>
  </si>
  <si>
    <t>Agriculture; Chemistry; Food Science &amp; Technology</t>
  </si>
  <si>
    <t>N6ZY2</t>
  </si>
  <si>
    <t>WOS:001031748100001</t>
  </si>
  <si>
    <t>McMahon, CR; Hindell, MA; Charrassin, JB; Coleman, R; Guinet, C; Harcourt, R; Labrousse, S; Raymond, B; Sumner, M; Ribeiro, N</t>
  </si>
  <si>
    <t>McMahon, Clive R. R.; Hindell, Mark A. A.; Charrassin, Jean Benoit; Coleman, Richard; Guinet, Christophe.; Harcourt, Robert; Labrousse, Sara; Raymond, Benjemin; Sumner, Michael; Ribeiro, Natalia</t>
  </si>
  <si>
    <t>Southern Ocean pinnipeds provide bathymetric insights on the East Antarctic continental shelf</t>
  </si>
  <si>
    <t>CIRCUMPOLAR DEEP-WATER; AMERY ICE SHELF; ELEPHANT SEALS; MIROUNGA-LEONINA; BASAL MELT; CIRCULATION; VARIABILITY; TILETAMINE; GREENLAND; DRIVEN</t>
  </si>
  <si>
    <t>Depth data from over 500,000 tagged seal dives on the East Antarctic continental shelf improves the accuracy of seafloor bathymetry maps and reveals features not captured by ship-based mapping, including troughs off the Shackleton Ice Shelf and a deep canyon near the Vanderford Glacier. Poor coverage of the Antarctic continental shelf bathymetry impedes understanding the oceanographic processes affecting Antarctica's role in global climate. Continental shelf bathymetry influences warm modified Circumpolar Deep Water movement onto the shelf, making it an important factor promoting ice shelf melting and influencing the flow of ice shelves into the ocean. Building on previous work using seal dives to redefine bathymetry, our longitudinal study of ocean physics and animal behaviour provided new depth information from over 500,000 individual seal dives on the East Antarctic continental shelf. About 25% of these seal dives were 220 m (sometimes over 1000 m) deeper than the interpolated seafloor from IBCSO V2. Focusing on four well-sampled regions, we show that the bathymetry of 22% to 60% of the sampled area was improved by incorporating seal dive data. This revealed new bathymetric features, including troughs off the Shackleton Ice Shelf and Underwood Glacier and a deep canyon near the Vanderford Glacier. This deep canyon, the Mirounga-Nuyina Canyon, was confirmed by a recent multi-beam echo sounder survey. Further acquisitions of seal data will improve our understanding and modelling of Antarctic coastal ocean processes and ice-sheet dynamics.</t>
  </si>
  <si>
    <t>[McMahon, Clive R. R.] Sydney Inst Marine Sci, IMOS Anim Tagging, Mosman, NSW 2088, Australia; [McMahon, Clive R. R.; Hindell, Mark A. A.; Coleman, Richard; Raymond, Benjemin; Sumner, Michael; Ribeiro, Natalia] Inst Marine &amp; Antarctic Studies, 20 Castray Esplanade, Battery Point, Tas 7000, Australia; [McMahon, Clive R. R.; Harcourt, Robert] Macquarie Univ, Sch Nat Sci, N Ryde, NSW, Australia; [McMahon, Clive R. R.; Hindell, Mark A. A.; Coleman, Richard] Univ Tasmania, Inst Marine &amp; Antarctic Studies, ARC Australian Ctr Excellence Antarctic Sci, 20 Castray Esplanade, Hobart, Tas, Australia; [Charrassin, Jean Benoit; Labrousse, Sara] Sorbonne Univ, UMR CNRS IRD MNHN 7159, LOCEAN IPSL, Paris, France; [Coleman, Richard] Inst Marine &amp; Antarctic Studies, Australian Antarctic Program Partnership, 20 Castray Esplanade, Battery Point, Tas 7004, Australia; [Guinet, Christophe.] Ctr Etud Biol Chize, CNRS, F-79360 Villiers En Bois, France; [Raymond, Benjemin; Sumner, Michael] Integrated Digital East Antarct Program, Australian Antarctic Div, Channel Highway, Kingston, Tas 7050, Australia</t>
  </si>
  <si>
    <t>Sydney Institute of Marine Science; University of Tasmania; Macquarie University; University of Tasmania; Museum National d'Histoire Naturelle (MNHN); Sorbonne Universite; University of Tasmania; Centre National de la Recherche Scientifique (CNRS); Australian Antarctic Division</t>
  </si>
  <si>
    <t>McMahon, CR (corresponding author), Sydney Inst Marine Sci, IMOS Anim Tagging, Mosman, NSW 2088, Australia.;McMahon, CR (corresponding author), Inst Marine &amp; Antarctic Studies, 20 Castray Esplanade, Battery Point, Tas 7000, Australia.;McMahon, CR (corresponding author), Macquarie Univ, Sch Nat Sci, N Ryde, NSW, Australia.;McMahon, CR (corresponding author), Univ Tasmania, Inst Marine &amp; Antarctic Studies, ARC Australian Ctr Excellence Antarctic Sci, 20 Castray Esplanade, Hobart, Tas, Australia.</t>
  </si>
  <si>
    <t>clive.mcmahon@sims.org.au</t>
  </si>
  <si>
    <t>McMahon, Clive R/D-5713-2013; Coleman, Richard/H-4425-2012</t>
  </si>
  <si>
    <t>McMahon, Clive R/0000-0001-5241-8917; Harcourt, Robert/0000-0003-4666-2934; Coleman, Richard/0000-0002-9731-7498; Hindell, Mark/0000-0002-7823-7185; Labrousse, Sara/0000-0002-8099-3254</t>
  </si>
  <si>
    <t>Technology amp; Innovation Branch of the Australian Antarctic Division; Institut Paul Emile Victor (IPEV, France) [1182]; Centre National d'Etudes Spatiales (TOSCA-CNES, France); Australian Government; University of Tasmania; Australian Research Council (ARC) [DP180101667]; ARC Special Research Initiative [SR200100008, A14523, 21375]; Macquarie University Ethics Committee [ARA 2014_057]</t>
  </si>
  <si>
    <t>Technology amp; Innovation Branch of the Australian Antarctic Division; Institut Paul Emile Victor (IPEV, France); Centre National d'Etudes Spatiales (TOSCA-CNES, France); Australian Government(Australian Government); University of Tasmania; Australian Research Council (ARC)(Australian Research Council); ARC Special Research Initiative(Australian Research Council); Macquarie University Ethics Committee</t>
  </si>
  <si>
    <t>We thank the Technology &amp; amp; Innovation Branch of the Australian Antarctic Division for the collection and provision of the Vanderford Glacier multi-beam echo sounder survey data. The fieldwork to deploy the instruments on seals was financially and logistically supported by the Institut Paul Emile Victor (IPEV, France) under the Systeme National d'Observation-Mammiferes Echantillonneurs du Milieu Oceanique (SNO-MEMO) with the support of the Antarctic research program 109 (H. Weimerskirch), 1201 (C. Gilbert &amp; amp; C. Guinet) and 1182 (J.B. Charrassin) in collaboration with the Integrated Marine Observing System (IMOS, Australia; https://imos.org.au/) and the Program Terre-Ocean-Surface Continentale-Atmosphere from the Centre National d'Etudes Spatiales (TOSCA-CNES, France). IMOS is a national collaborative research infrastructure, supported by the Australian Government. It is operated by a consortium of institutions with the University of Tasmania as lead agent. This research contributes to the Australian Research Council (ARC) Discovery Project DP180101667 and the ARC Special Research Initiative SR200100008. All tagging procedures were approved and executed under University of Tasmania Animal Ethics Committee guidelines (A12141, A14523), the Comite d'ethique Anses/ ENVA/UPEC (no. APAFiS: 21375) and by Macquarie University Ethics Committee ARA 2014_057. We would also like to thank and acknowledge Drs Laurie Padman and Michele Rebesco and an anonymous reviewer for their thorough, thoughtful and positive reviews of our paper. Our paper has been improved greatly by their input.</t>
  </si>
  <si>
    <t>10.1038/s43247-023-00928-w</t>
  </si>
  <si>
    <t>N1CD9</t>
  </si>
  <si>
    <t>WOS:001034468900002</t>
  </si>
  <si>
    <t>Bach, LT; Tamsitt, V; Gower, J; Hurd, CL; Raven, JA; Boyd, PW</t>
  </si>
  <si>
    <t>Bach, Lennart T.; Tamsitt, Veronica; Gower, Jim; Hurd, Catriona L.; Raven, John A.; Boyd, Philip W.</t>
  </si>
  <si>
    <t>Reply to: Ocean afforestation is a potentially effective way to remove carbon dioxide</t>
  </si>
  <si>
    <t>SARGASSUM</t>
  </si>
  <si>
    <t>[Bach, Lennart T.; Hurd, Catriona L.; Boyd, Philip W.] Univ Tasmania, Inst Marine &amp; Antarctic Studies, Hobart, Tas, Australia; [Tamsitt, Veronica] Univ S Florida, Coll Marine Sci, St Petersburg, FL USA; [Gower, Jim] Fisheries &amp; Oceans Canada, North Saanich, BC, Canada; [Raven, John A.] Univ Dundee, James Hutton Inst, Div Plant Sci, Dundee, Scotland; [Raven, John A.] Univ Technol, Climate Change Cluster, Sydney, NSW, Australia; [Raven, John A.] Univ Western Australia, Sch Biol Sci, Crawley, WA, Australia</t>
  </si>
  <si>
    <t>University of Tasmania; State University System of Florida; University of South Florida; Fisheries &amp; Oceans Canada; James Hutton Institute; University of Dundee; University of Technology Sydney; University of Western Australia</t>
  </si>
  <si>
    <t>Bach, LT (corresponding author), Univ Tasmania, Inst Marine &amp; Antarctic Studies, Hobart, Tas, Australia.</t>
  </si>
  <si>
    <t>Lennart.bach@utas.edu.au</t>
  </si>
  <si>
    <t>; Boyd, Philip/J-7624-2014</t>
  </si>
  <si>
    <t>Bach, Lennart/0000-0003-0202-3671; Boyd, Philip/0000-0001-7850-1911</t>
  </si>
  <si>
    <t>JUL 20</t>
  </si>
  <si>
    <t>10.1038/s41467-023-39927-y</t>
  </si>
  <si>
    <t>N9GW0</t>
  </si>
  <si>
    <t>WOS:001040020600018</t>
  </si>
  <si>
    <t>Choi, Y; Nam, S</t>
  </si>
  <si>
    <t>Choi, Yeon; Nam, SungHyun</t>
  </si>
  <si>
    <t>East-west contrasting changes in Southern Indian Ocean Antarctic Bottom Water salinity over three decades(vol 12, 12175, 2022)</t>
  </si>
  <si>
    <t>namsh@snu.ac.kr</t>
  </si>
  <si>
    <t>10.1038/s41598-023-38908-x</t>
  </si>
  <si>
    <t>N0MJ7</t>
  </si>
  <si>
    <t>WOS:001034058100079</t>
  </si>
  <si>
    <t>Ferreyra, GA; González, HE</t>
  </si>
  <si>
    <t>Ferreyra, Gustavo A.; Gonzalez, Humberto E.</t>
  </si>
  <si>
    <t>The Sub-Antarctic Beagle Channel marine ecosystem: A regional and comprehensive sentinel of global change</t>
  </si>
  <si>
    <t>Beagle Channel; Coastal marine ecosystems; Carbon flux; Hydrography; Metabolism; Plankton</t>
  </si>
  <si>
    <t>This special issue merges results obtained during a scientific expedition along the eastern Beagle Channel (BC) with previously available relevant data from the area. The expedition was conducted from 9 to 19 November 2019 on board the BIPO Victor Angelescu, a research vessel belonging to the National Institute for Fisheries Research and Development (INIDEP-Argentina). The cruise was the result of collaborative bi-national (Chile -Argentina) diplomatic (Argentinian and Chilean Ministries of Foreign Affairs) and scientific efforts, led by the Austral Center for Scientific Research (CADIC-Argentina) and the Research Center: Dynamics of High Latitude Marine Ecosystems (IDEAL-Chile). In addition, this special issue is enriched with historical data from several research initiatives developed by both countries in the BC area and from other international collaborations, thereby providing a wider and comprehensive vision of the biological, chemical, and physical characteristics of the BC. From a historical point of view, both countries, which share the third longest international border of5,300 km, almost engaged in war in 1979 due to a border conflict in the southeastern BC. This war was averted and subsequently there have been decades of tight and close collaborations and friendly diplomatic, scientific, and social relationships. This special issue reflects these efforts.</t>
  </si>
  <si>
    <t>[Ferreyra, Gustavo A.] Ctr Austral Invest Cient CAD CONICET, Bernardo Houssay 200,V9410BFD, Ushuaia, Tierra Del Fueg, Argentina; [Gonzalez, Humberto E.] Univ Austral Chile, Ctr Invest Dinam Ecosistemas Marinos Altas Latitud, Valdivia, Chile; [Gonzalez, Humberto E.] Univ Austral Chile, Ctr Invest Dinam Ecosistemas Marinos Altas Latitud, Punta Arenas, Chile</t>
  </si>
  <si>
    <t>Universidad Austral de Chile; Universidad Austral de Chile</t>
  </si>
  <si>
    <t>Ferreyra, GA (corresponding author), Ctr Austral Invest Cient CAD CONICET, Bernardo Houssay 200,V9410BFD, Ushuaia, Tierra Del Fueg, Argentina.;González, HE (corresponding author), Univ Austral Chile, Ctr Invest Dinam Ecosistemas Marinos Altas Latitud, Valdivia, Chile.;González, HE (corresponding author), Univ Austral Chile, Ctr Invest Dinam Ecosistemas Marinos Altas Latitud, Punta Arenas, Chile.</t>
  </si>
  <si>
    <t>gferreyra@gmail.com; hgonzale@uach.cl</t>
  </si>
  <si>
    <t>National Fisheries Institute of Research and Development (INIDEP); National Council of Scientific and Technical Research (CONICET) [RES -2018-2334]; Special Fund Pampa Azul from the Ministry of Science and Technology of Argentina for ship functioning, Prince Albert II of Monaco Foundation [2863]; FONDAP Center for Dynamics of High Latitude Marine Ecosystems (IDEAL) [15150003, BMBF-LAT16STRUC-039, H2020-MCSA-RISE 872690]</t>
  </si>
  <si>
    <t>National Fisheries Institute of Research and Development (INIDEP); National Council of Scientific and Technical Research (CONICET)(Consejo Nacional de Investigaciones Cientificas y Tecnicas (CONICET)); Special Fund Pampa Azul from the Ministry of Science and Technology of Argentina for ship functioning, Prince Albert II of Monaco Foundation; FONDAP Center for Dynamics of High Latitude Marine Ecosystems (IDEAL)</t>
  </si>
  <si>
    <t>We are thankful to the National Fisheries Institute of Research and Development (INIDEP) and the crew of the research vessel BIPO  Victor Angelescu  for their support during field activities and sampling. This study was partially financed by funds from National Council of Scientific and Technical Research (CONICET) [grant RES -2018-2334 and others shown in the different articles of this SI] , a Special Fund Pampa Azul from the Ministry of Science and Technology of Argentina for ship functioning, Prince Albert II of Monaco Foundation [OCAH-Beagle, grant 2863 to G. Ferreyra] and FONDAP Center for Dynamics of High Latitude Marine Ecosystems (IDEAL; Grant 15150003) . Additional support in data processing and analysis and fruitful discussions were received from partner international research programs such as Dynamic Impact of Ice Mass Loss in the Andes on Territorial, Limnic and Marine Ecosystems (DynAMo; BMBF-LAT16STRUC-039) , and Coastal Ecosystem Carbon Balance in Times of Rapid Glacier Melt (CoastCarb; H2020-MCSA-RISE 872690) . E. Menschel helped in the design of Fig. 1. This project was developed in the frame of the Bilateral Commission for Cooperation in Austral Marine Scientific Research , jointly created by the ministries of foreign affairs of Argentina and Chile.</t>
  </si>
  <si>
    <t>10.1016/j.jmarsys.2023.103914</t>
  </si>
  <si>
    <t>P3KO5</t>
  </si>
  <si>
    <t>WOS:001049666500001</t>
  </si>
  <si>
    <t>Arnardóttir, EO; Graly, JA; Licht, KJ; Bish, DL; Caffee, MW</t>
  </si>
  <si>
    <t>Arnardottir, Eirika O.; Graly, Joseph A.; Licht, Kathy J.; Bish, David L.; Caffee, Marc W.</t>
  </si>
  <si>
    <t>Meteoric 10Be speciation in subglacial sediments of East Antarctica</t>
  </si>
  <si>
    <t>QUATERNARY GEOCHRONOLOGY</t>
  </si>
  <si>
    <t>Meteoric10Be; Antarctic ice sheet; Subglacial processes; Chemical weathering; Sequential extractions; Clays</t>
  </si>
  <si>
    <t>CENTRAL TRANSANTARCTIC MOUNTAINS; ICE-SHEET; BLUE ICE; ATMOSPHERIC CO2; BERYLLIUM; CYCLE; TRACE; SOILS; EXTRACTION; SIGNATURES</t>
  </si>
  <si>
    <t>A sequential chemical extraction procedure was developed and tested to investigate the utility of meteoric 10Be as a tracer for authigenic mineral formation beneath the East Antarctic Ice Sheet. Subglacial meltwater is widely available under the Antarctic Ice Sheet and dissolved gases within it have the potential to drive chemical weathering processes in the subglacial environment. Meteoric 10Be is a cosmogenic nuclide with a half-life of 1.39 &amp; BULL;106 years that is incorporated into glacier ice, therefore its abundance in the subglacial environment in Antarctica is meltwater dependent. It is known to adsorb to fine-grained particles in aqueous solution, precipitate with amorphous oxides/hydroxides, and/or be incorporated into authigenic clay minerals during chemical weathering. The presence of 10Be in chemical weathering products derived from beneath the ice therefore indicates chemical weathering processes in the subglacial environment. Freshly emerging subglacial sediments from the Mt. Achernar blue ice moraine were subject to chemical extractions where these weathering phases were isolated and 10Be concentrations therein quantified. Optimization of the phase isolation was developed by examining the effects of each extraction on the sample mineralogy and chemical composition. Experiments on 10Be desorption revealed that pH 3.2-3.5 was optimal for the extraction of adsorbed 10Be. Vigorous disaggregation of the samples before grain size separations and acid extractions is crucial due to the incorporation of the nuclide in clay minerals and its preferential absorption to clay-sized particles. 10Be concentrations of 2-22 &amp; BULL;107 atoms &amp; BULL;g  1 measured in oxides and clay minerals in freshly emerging sediments strongly indicate subglacial chemical weathering in the catchment of the Mt. Achernar moraine. Based on total 10Be sample concentrations, local basal melt rates, and 10Be ice concentrations, sediment-meltwater contact in the subglacial environment is on the order of thousands of years per gram of underlying fine sediment. Strong correlation (R = 0.97) between 10Be and smectite abundance in the sediments supports authigenic clay formation in the subglacial environment. This suggests meteoric 10Be is a useful tool to characterize subglacial geochemical weathering processes under the Antarctic Ice Sheet.</t>
  </si>
  <si>
    <t>[Arnardottir, Eirika O.; Licht, Kathy J.] Indiana Univ Purdue Univ Indianapolis, Earth Sci, Indianapolis, IN USA; [Graly, Joseph A.] Northumbria Univ, Geog &amp; Environm Sci, Newcastle Upon Tyne, England; [Bish, David L.] Indiana Univ, Earth &amp; Atmospher Sci, Bloomington, IN USA; [Caffee, Marc W.] Purdue Univ, Phys &amp; Astron, W Lafayette, IN USA</t>
  </si>
  <si>
    <t>Indiana University System; Indiana University-Purdue University Indianapolis; Northumbria University; Indiana University System; Indiana University Bloomington; Purdue University System; Purdue University</t>
  </si>
  <si>
    <t>Graly, JA (corresponding author), Northumbria Univ, Geog &amp; Environm Sci, Newcastle Upon Tyne, England.</t>
  </si>
  <si>
    <t>joseph.graly@northumbria.ac.uk</t>
  </si>
  <si>
    <t>Graly, Joseph/0000-0002-7939-6022; Licht, Kathy/0000-0002-2233-2853</t>
  </si>
  <si>
    <t>National Science Foundation [PLR -1744879]; NSF [MRI- 1429241]</t>
  </si>
  <si>
    <t>National Science Foundation(National Science Foundation (NSF)); NSF(National Science Foundation (NSF))</t>
  </si>
  <si>
    <t>The work was made possible by funding from National Science Foundation grant PLR -1744879. B. Geohring, G. Chmiel, H. Johnston, C. Watkins, and Hamna assisted with laboratory analyses. The US Antarctic Program, Kenn Borek Air, Ltd., and field team members from the 2010 and 2015 seasons are gratefully acknowledged for their role in sample collection. We would like to acknowledge the Integrated Nanosystems Development Institute (INDI) for use of their Bruker D8 Discover X -Ray Diffraction Instrument, which was awarded through NSF grant MRI- 1429241. Editing by Pierre -Henri Blard and two careful, insightful reviews led to several improvements to the manuscript.</t>
  </si>
  <si>
    <t>1871-1014</t>
  </si>
  <si>
    <t>1878-0350</t>
  </si>
  <si>
    <t>QUAT GEOCHRONOL</t>
  </si>
  <si>
    <t>Quat. Geochronol.</t>
  </si>
  <si>
    <t>10.1016/j.quageo.2023.101458</t>
  </si>
  <si>
    <t>O9OH8</t>
  </si>
  <si>
    <t>WOS:001047035000001</t>
  </si>
  <si>
    <t>Bleeker, J; Harris, L; Ten Hove, HA; Salazar-Vallejo, SI</t>
  </si>
  <si>
    <t>Bleeker, Joke; Harris, Leslie; Ten Hove, Harry A.; Salazar-Vallejo, Sergio I.</t>
  </si>
  <si>
    <t>Pherecardites Horst, 1912 and Branchamphinome Hartman, 1967 are synonyms (Annelida, Amphinomidae, Amphinominae)</t>
  </si>
  <si>
    <t>ZOOSYSTEMA</t>
  </si>
  <si>
    <t>Caruncle; deep-sea; eye development; pigmentation; new synonymy; new combinations.</t>
  </si>
  <si>
    <t>POLYCHAETA; FAMILY</t>
  </si>
  <si>
    <t>Uncommon benthic annelid taxa are problematic as they were described briefly, with few or no illustrations. Thus, taxa might become confused or forgotten, rendering it difficult to delimit genera or species. The amphinomid genus Pherecardites Horst, 1912, with P. parva Horst, 1912 as its type species, was briefly described as having a caruncle with a median axis and lateral lamellae directed posteriorly. The anterior end was not illustrated for P. parva, but it was for P. quinquemaculata Augener, 1927. Another genus was proposed for a similar Antarctic annelid: Branchamphinome Hartman, 1967, with B. antarctica Hartman, 1967 as its type species, having a caruncle with a larger median lobe and other ones directed backwards. Pherecardites was overlooked and most subsequently described species were included in Branchamphinome. A comparison of type or topotype specimens led us to conclude these two genera are synonyms, so that Pherecardites must be retained by priority, and illustrations are included showing their resemblance. Keys are included for identifying all amphinomin genera and all species in Pherecardites.</t>
  </si>
  <si>
    <t>[Bleeker, Joke; Ten Hove, Harry A.] Nat Biodivers Ctr, Darwinweg 2, NL-2333 CR Leiden, Netherlands; [Harris, Leslie] Nat Hist Museum Angeles Cty, 900 Exposition Blvd, Los Angeles, CA 90007 USA; [Salazar-Vallejo, Sergio I.] El Colegio Frontera, Dept Sistemat &amp; Ecol Acuat, Chetmal, Q Roo, Mexico</t>
  </si>
  <si>
    <t>Naturalis Biodiversity Center</t>
  </si>
  <si>
    <t>Salazar-Vallejo, SI (corresponding author), El Colegio Frontera, Dept Sistemat &amp; Ecol Acuat, Chetmal, Q Roo, Mexico.</t>
  </si>
  <si>
    <t>ssalazar@ecosur.mx</t>
  </si>
  <si>
    <t>PUBLICATIONS SCIENTIFIQUES DU MUSEUM, PARIS</t>
  </si>
  <si>
    <t>PARIS CEDEX 05</t>
  </si>
  <si>
    <t>CP 39-57, RUE CUVIER, F-75231 PARIS CEDEX 05, FRANCE</t>
  </si>
  <si>
    <t>1280-9551</t>
  </si>
  <si>
    <t>1638-9387</t>
  </si>
  <si>
    <t>Zoosystema</t>
  </si>
  <si>
    <t>10.5252/zoosystema2023v45a13</t>
  </si>
  <si>
    <t>N5TN3</t>
  </si>
  <si>
    <t>WOS:001037635300001</t>
  </si>
  <si>
    <t>Potter, ER; Fyffe, CL; Orr, A; Quincey, DJ; Ross, AN; Rangecroft, S; Medina, K; Burns, H; Llacza, A; Jacome, G; Hellström, RA; Castro, J; Cochachin, A; Montoya, N; Loarte, E; Pellicciotti, F</t>
  </si>
  <si>
    <t>Potter, Emily R. R.; Fyffe, Catriona L. L.; Orr, Andrew; Quincey, Duncan J. J.; Ross, Andrew N. N.; Rangecroft, Sally; Medina, Katy; Burns, Helen; Llacza, Alan; Jacome, Gerardo; Hellstrom, Robert A.; Castro, Joshua; Cochachin, Alejo; Montoya, Nilton; Loarte, Edwin; Pellicciotti, Francesca</t>
  </si>
  <si>
    <t>A future of extreme precipitation and droughts in the Peruvian Andes</t>
  </si>
  <si>
    <t>CORDILLERA VILCANOTA; GLACIER RECESSION; TROPICAL ANDES; CLIMATE TRENDS; MASS-BALANCE; TEMPERATURE; IMPACTS; EVAPOTRANSPIRATION; EXAMPLE; VALLEY</t>
  </si>
  <si>
    <t>Runoff from glacierised Andean river basins is essential for sustaining the livelihoods of millions of people. By running a high-resolution climate model over the two most glacierised regions of Peru we unravel past climatic trends in precipitation and temperature. Future changes are determined from an ensemble of statistically downscaled global climate models. Projections under the high emissions scenario suggest substantial increases in temperature of 3.6 &amp; DEG;C and 4.1 &amp; DEG;C in the two regions, accompanied by a 12% precipitation increase by the late 21st century. Crucially, significant increases in precipitation extremes (around 75% for total precipitation on very wet days) occur together with an intensification of meteorological droughts caused by increased evapotranspiration. Despite higher precipitation, glacier mass losses are enhanced under both the highest emission and stabilization emission scenarios. Our modelling provides a new projection of combined and contrasting risks, in a region already experiencing rapid environmental change.</t>
  </si>
  <si>
    <t>[Potter, Emily R. R.; Quincey, Duncan J. J.] Univ Leeds, Sch Geog, Leeds, England; [Potter, Emily R. R.; Orr, Andrew] British Antarctic Survey, Cambridge, England; [Potter, Emily R. R.] Univ Innsbruck, Dept Atmospher &amp; Cryospher Sci, Innsbruck, Austria; [Fyffe, Catriona L. L.; Pellicciotti, Francesca] Northumbria Univ, Engn &amp; Environm, Newcastle Upon Tyne, England; [Ross, Andrew N. N.; Burns, Helen] Univ Leeds, Sch Earth &amp; Environm, Leeds, England; [Rangecroft, Sally] Univ Exeter, Coll Life &amp; Environm Sci, Sch Geog, Exeter, England; [Rangecroft, Sally] Univ Plymouth, Sch Geog, Earth &amp; Environm Sci, Plymouth, England; [Medina, Katy; Loarte, Edwin] Inst Nacl Invest Glaciares &amp; Ecosistemas Montana, Huaraz, Peru; [Medina, Katy; Loarte, Edwin] Santiago Antunez De Mayolo Natl Univ, Huaraz, Peru; [Llacza, Alan; Jacome, Gerardo] Serv Nacl Meteorol &amp; Hidrol Peru, Lima, Peru; [Hellstrom, Robert A.] Bridgewater State Univ, Bridgewater, MA USA; [Castro, Joshua; Montoya, Nilton] Univ Nacl San Antonio Abad Cusco, Cuzco, Peru; [Cochachin, Alejo] Autor Nacl Agua, Huaraz, Peru; [Pellicciotti, Francesca] Swiss Fed Inst Forest Snow &amp; Landscape Res, Zurich, Switzerland</t>
  </si>
  <si>
    <t>University of Leeds; UK Research &amp; Innovation (UKRI); Natural Environment Research Council (NERC); NERC British Antarctic Survey; University of Innsbruck; Northumbria University; University of Leeds; University of Exeter; University of Plymouth; Servicio Nacional de Meteorologia Hidrologia del Peru (SENAMHI); Massachusetts System of Public Higher Education; Bridgewater State University; Universidad Nacional de San Antonio Abad del Cusco; Swiss Federal Institutes of Technology Domain; Swiss Federal Institute for Forest, Snow &amp; Landscape Research</t>
  </si>
  <si>
    <t>Potter, ER (corresponding author), Univ Leeds, Sch Geog, Leeds, England.;Potter, ER (corresponding author), British Antarctic Survey, Cambridge, England.;Potter, ER (corresponding author), Univ Innsbruck, Dept Atmospher &amp; Cryospher Sci, Innsbruck, Austria.</t>
  </si>
  <si>
    <t>emily.potter@sheffield.ac.uk</t>
  </si>
  <si>
    <t>Castro, Joshua/0000-0003-0458-8326; Llacza Rodriguez, Alan/0000-0002-4707-8636; Hellstrom, Robert/0000-0002-6004-5177; Montoya, Nilton/0000-0002-4147-2579; Potter, Emily/0000-0001-5273-1292; Burns, Helen/0000-0002-6008-781X; Quincey, Duncan/0000-0002-7602-7926; Medina Marcos, Katy Damacia/0000-0002-2910-6808; Fyffe, Catriona/0000-0001-6950-3501; Ross, Andrew/0000-0002-8631-3512</t>
  </si>
  <si>
    <t>NERC [NE/S013296/1, NE/S013318/1]; CONCYTEC through the Newton-Paulet Fund [E031-2018-01-NERC]; FONDECYT [08-2019-FON-DECYT]</t>
  </si>
  <si>
    <t>NERC(UK Research &amp; Innovation (UKRI)Natural Environment Research Council (NERC)); CONCYTEC through the Newton-Paulet Fund; FONDECYT(Comision Nacional de Investigacion Cientifica y Tecnologica (CONICYT)CONICYT FONDECYT)</t>
  </si>
  <si>
    <t>This research was conducted under the Peru GROWS and PEGASUS projects, which were both funded by NERC (grants NE/S013296/1 and NE/S013318/1, respectively) and CONCYTEC through the Newton-Paulet Fund. The Peruvian part of the Peru GROWS project was conducted within the framework of the call E031-2018-01-NERC Glacier Re-search Circles, through its executing unit FONDECYT (Contract No. 08-2019-FON-DECYT). We acknowledge the World Climate Research Programme's Working Group on Coupled Modeling, which is responsible for CMIP, and we thank the climate modeling groups (listed in Supplementary Table 7 of this paper) for producing and making available their model output. We thank SENAMHI, UNASAM, ANA, UNSAAC, and Compania Minera Antamina for the observational data used in the historical bias correction, and we also thank Mario Rohrer at MeteoSwiss for assisting in data access. Thanks to J. Scott Hosking, Charles Simpson, Risa Ueno and Arthur Lutz for their advice on the statistical downscaling method. We acknowledge the Polar Data Centre for archiving the data used in this manuscript. This article is dedicated to the memory of Ing. Alejo Cochachin Rapre.</t>
  </si>
  <si>
    <t>10.1038/s41612-023-00409-z</t>
  </si>
  <si>
    <t>M8SK3</t>
  </si>
  <si>
    <t>WOS:001032857100003</t>
  </si>
  <si>
    <t>Fujita, R; Augyte, S; Bender, J; Brittingham, P; Buschmann, AH; Chalfin, M; Collins, J; Davis, KA; Gallagher, JB; Gentry, R; Gruby, RL; Kleisner, K; Moritsch, M; Price, N; Roberson, L; Taylor, J; Yarish, C</t>
  </si>
  <si>
    <t>Fujita, Rod; Augyte, Simona; Bender, Jennifer; Brittingham, Poppy; Buschmann, Alejandro H.; Chalfin, Max; Collins, Jamie; Davis, Kristen A.; Gallagher, John Barry; Gentry, Rebecca; Gruby, Rebecca L.; Kleisner, Kristin; Moritsch, Monica; Price, Nichole; Roberson, Loretta; Taylor, John; Yarish, Charles</t>
  </si>
  <si>
    <t>Seaweed blue carbon: Ready? Or Not?</t>
  </si>
  <si>
    <t>Blue carbon; Seaweed; Macroalgae; Climate mitigation</t>
  </si>
  <si>
    <t>MARINE MACROPHYTES; KELP; AQUACULTURE; FERMENTATION; CULTIVATION; MACROALGAE; EXCHANGE; BENEFITS; FATE</t>
  </si>
  <si>
    <t>There is an urgent need to achieve the United Nations Sustainable Development Goals (SDGs). At the same time, greenhouse gasses (GHGs) that contribute to global warming must be reduced to avoid even more severe climate disruption. Macroalgal (seaweed) systems can help the world achieve the SDGs by producing food, other valuable products, livelihoods, and a number of ecological benefits. Seaweed systems may also be drawing down atmospheric carbon dioxide, an important GHG, under some conditions. However, the net impacts of seaweed systems on GHGs (blue carbon) depends on many context-specific, complex biogeochemical processes and have thus far been difficult to quantify. We engaged experts in a system mapping exercise to support decision-making in the context of the high levels of uncertainty associated with seaweed blue carbon. The conservation and restoration of seaweed stands appears to be a low-regrets intervention that would produce many benefits, including some carbon sequestration under some conditions, with low risk. Increasing the productivity of seaweed farms may have a similar benefit and risk profile. A large expansion of seaweed farming coupled with sinking the seaweed biomass could significantly increase carbon sequestration, but with relatively large social, economic, and ecological risks. Certain products made from seaweed that sequester carbon, replace GHG-intensive products, or suppress GHG emissions could enhance the climate and socioeconomic benefits of seaweed systems while also improving prospects for quantifying and verifying them. More research and interventions will likely be necessary for such products to scale. A portfolio of seaweed systems would probably be necessary to realize the variety of benefits that these systems are capable of generating.</t>
  </si>
  <si>
    <t>[Fujita, Rod; Collins, Jamie; Moritsch, Monica] Environm Def Fund, 123 Mission St,28th Floor, San Francisco, CA 94105 USA; [Augyte, Simona] Ocean Era Inc, 73-4460 Queen Kaahumanu Hwy 123, Kailua Kona, HI 96740 USA; [Bender, Jennifer] Univ Massachusetts, Sch Environm, 100 Morrisey Blvd, Boston, MA 02215 USA; [Brittingham, Poppy] Stanford Univ, Doerr Sch Sustainabil, 473 Via Ortega, Stanford, CA 94305 USA; [Buschmann, Alejandro H.] Univ Los Lagos, Ctr i mar, CeBiB, MASH, Puerto Montt, Chile; [Chalfin, Max] Running Tide Technol, 151 W 86th St, New York, NY 10024 USA; [Collins, Jamie] Woods Hole Oceanog Inst, Dept Marine Chem &amp; Geochem, 266 Woods Hole Rd, Woods Hole, MA 02543 USA; [Davis, Kristen A.] Univ Calif Irvine, Dept Civil &amp; Environm Engn &amp; Earth Syst Sci, E4130 Engn Gateway, Irvine, CA 92697 USA; [Gallagher, John Barry] Univ Tasmania, Inst Marine &amp; Antarctic Studies, 20 Castray Esplanade 5, Battery Point, Tas 7004, Australia; [Gentry, Rebecca] Florida State Univ, Dept Geog, Tallahassee, FL 32306 USA; [Gruby, Rebecca L.] Univ Miami, Rosenstiel Sch Marine Atmospher &amp; Earth Sci, Dept Environm Sci &amp; Policy, 4600 Rickenbacker Causeway, Miami, FL 33149 USA; [Kleisner, Kristin] Environm Def Fund, 18 Tremont St,Suite 850, Boston, MA 02108 USA; [Moritsch, Monica] Environm Def Fund, 123 Mission St, 28th Floor, San Francisco, CA 94105 USA; [Price, Nichole] Bigelow Lab Ocean Sci, Ctr Seafood Solut, 60 Bigelow Dr, East Boothbay, ME 04556 USA; [Price, Nichole] Colby Coll, Environm Studies, 4000 Mayflower Hill Dr, Waterville, ME 04901 USA; [Roberson, Loretta] Marine Biol Lab, 7 MBL St, Woods Hole, MA 02543 USA; [Taylor, John] Ctr Math Sci, Dept Appl Math &amp; Theoret Phys, Wilberforce Rd, Cambridge CB3 0WA, England; [Yarish, Charles] Univ Connecticut, Dept Ecol &amp; Evol Biol, 1 Univ Pl, Stamford, CT 06901 USA</t>
  </si>
  <si>
    <t>Environmental Defense Fund; University of Massachusetts System; University of Massachusetts Boston; Stanford University; Universidad de Los Lagos; Woods Hole Oceanographic Institution; University of California System; University of California Irvine; University of Tasmania; State University System of Florida; Florida State University; University of Miami; Environmental Defense Fund; Environmental Defense Fund; Bigelow Laboratory for Ocean Sciences; Colby College; Marine Biological Laboratory - Woods Hole; University of Cambridge; University of Connecticut</t>
  </si>
  <si>
    <t>Fujita, R (corresponding author), Environm Def Fund, 123 Mission St,28th Floor, San Francisco, CA 94105 USA.</t>
  </si>
  <si>
    <t>rfujita@edf.org</t>
  </si>
  <si>
    <t>Buschmann, Alejandro/0000-0003-3246-681X; Augyte, Simona/0000-0001-7305-7532</t>
  </si>
  <si>
    <t>Earth Fund; ANID/Programa Basal (CeBiB) [FB-0001]; ANID/FONDECYT [122116]; ANID/Nucleo Millenio (MASH)</t>
  </si>
  <si>
    <t>Earth Fund; ANID/Programa Basal (CeBiB); ANID/FONDECYT; ANID/Nucleo Millenio (MASH)</t>
  </si>
  <si>
    <t>This research was supported by a gift to the Environmental Defense Fund from The Earth Fund. AHB wishes to acknowledge the financial support of ANID/Programa Basal (CeBiB, FB-0001) , ANID/FONDECYT (122116) and ANID/Nucleo Millenio (MASH).</t>
  </si>
  <si>
    <t>London</t>
  </si>
  <si>
    <t>125 London Wall, London, ENGLAND</t>
  </si>
  <si>
    <t>10.1016/j.marpol.2023.105747</t>
  </si>
  <si>
    <t>FS0Y5</t>
  </si>
  <si>
    <t>WOS:001147738500001</t>
  </si>
  <si>
    <t>Barrat, JA; Bischoff, A; Zanda, B</t>
  </si>
  <si>
    <t>Barrat, Jean-Alix; Bischoff, Addi; Zanda, Brigitte</t>
  </si>
  <si>
    <t>Trace element redistributions during metamorphism of E-chondrites: Implications for reduced bodies and the Earth</t>
  </si>
  <si>
    <t>Enstatite chondrites; Metamorphism; Trace elements; Primitive mantle; Early Earth</t>
  </si>
  <si>
    <t>ENSTATITE CHONDRITES; RARE-EARTH; CHEMICAL-COMPOSITION; ISOTOPIC ANOMALIES; MISSING NIOBIUM; SILICATE; ORIGIN; CLASSIFICATION; METEORITES; ACCRETION</t>
  </si>
  <si>
    <t>We report on new trace element analyses of enstatite chondrites (ECs) to clarify their behavior during the metamorphism. During the transition from a type 3 to a type 5 or higher, silicates lose a large portion of their trace elements to sulfides. Our procedure allows us to obtain trace element abundances of the silicate fraction of an EC quite easily. The element patterns of these fractions (especially REE patterns) are quite different for EH and EL chondrites, and are furthermore dependent on the metamorphic grade. This procedure can be usefull to classify meteorites, in particular when the sulfides are altered. Applied to anomalous ECs, it allows direct recognition of the EH affinity of QUE 94204, and suggests that Zaklodzie, NWA 4301, and NWA 4799 derive from the same EH-like body of previously unsampled composition.We have used the concentrations obtained on the silicate fractions of the most metamorphosed chondrites to discuss the chemical characteristics of the primitive mantles of reduced bodies of EH or EL affinity (i.e., after core segregation). Our data indicate that these mantles are very depleted in refractory lithophile elements (RLEs), particularly in rare earth elements (REEs), and notably show significant positive anomalies in Sr, Zr, Hf, and Ti. These estimates imply that the cores contain most of the REEs, U and Th of these bodies. Interestingly, the inferred primitive mantles of these reduced bodies contrast with that of the Earth. If the Earth accreted essentially from ECs, one would expect similar signatures to be preserved, which is not the case. This mismatch can be explained either by a later homogenization of the bulk silicate Earth, or alternatively, that the materials that were accreted were isotopically similar to ECs, but mineralogically different (i.e., oldhamite-free).</t>
  </si>
  <si>
    <t>[Barrat, Jean-Alix] Univ Brest, Inst Univ Europeen Mer IUEM, IRD,CNRS,Ifremer, UMR 6539 Lab Sci Environm Marin, Pl Nicolas Copernic, F-29280 Plouzane, France; [Barrat, Jean-Alix] Inst Univ France, Paris, France; [Zanda, Brigitte] Univ Munster, Inst Planetol, Wilhelm Klemm Str 10, D-48149 Munster, Germany; [Zanda, Brigitte] Museum Natl Hist Nat, Lab Mineral &amp; Cosmochim Museum, CNRS UMR7202, 61 Rue Buffon, F-75005 Paris, France</t>
  </si>
  <si>
    <t>Universite de Bretagne Occidentale; Institut Universitaire Europeen de la Mer (IUEM); Institut de Recherche pour le Developpement (IRD); Centre National de la Recherche Scientifique (CNRS); Ifremer; Institut Universitaire de France; University of Munster; Centre National de la Recherche Scientifique (CNRS); Museum National d'Histoire Naturelle (MNHN)</t>
  </si>
  <si>
    <t>Barrat, JA (corresponding author), Univ Brest, Inst Univ Europeen Mer IUEM, IRD,CNRS,Ifremer, UMR 6539 Lab Sci Environm Marin, Pl Nicolas Copernic, F-29280 Plouzane, France.</t>
  </si>
  <si>
    <t>barrat@univ-brest.fr</t>
  </si>
  <si>
    <t>Zanda, Brigitte/D-6787-2015; Barrat, Jean Alix/C-8416-2017</t>
  </si>
  <si>
    <t>Zanda, Brigitte/0000-0002-4210-7151; Barrat, Jean Alix/0000-0003-3158-3109</t>
  </si>
  <si>
    <t>NSF; NASA; Programme National de Planetologie (CNRS-INSU)</t>
  </si>
  <si>
    <t>NSF(National Science Foundation (NSF)); NASA(National Aeronautics &amp; Space Administration (NASA)); Programme National de Planetologie (CNRS-INSU)(Centre National de la Recherche Scientifique (CNRS))</t>
  </si>
  <si>
    <t>Most of the samples analyzed during the course of this study were kindly provided by the NASA meteorite working group and by the Museum National d'Histoire Naturelle de Paris (MNHN).&amp; nbsp;US Antarctic meteorite samples are recovered by the Antarctic search for Meteorites (ANSMET), which has been funded by NSF and NASA, and characterized and curated in the department of Mineral Sciences of the Smithsonian Institution and Astromaterials Curation Office at NASA Johnson Space Center. We thank Rhian Jones for the editorial handling, Herbert Palme and the two anonymous reviewers for their constructive comments. We gratefully acknowledge the Programme National de Planetologie (CNRS-INSU) for financial support. JAB is grateful to Claire Bollinger, Marie-Laure Rouget, Bleuenn Gueguen for their help during the analytical sessions, to Maud Boyet, Albert Jambon and Marc Javoy for discussions.</t>
  </si>
  <si>
    <t>10.1016/j.gca.2023.07.003</t>
  </si>
  <si>
    <t>P2TU1</t>
  </si>
  <si>
    <t>WOS:001049222900001</t>
  </si>
  <si>
    <t>Kelly, TR; Giosio, DR; Trotter, AJ; Smith, GG; Fitzgibbon, QP</t>
  </si>
  <si>
    <t>Kelly, Tara R.; Giosio, Dean R.; Trotter, Andrew J.; Smith, Gregory G.; Fitzgibbon, Quinn P.</t>
  </si>
  <si>
    <t>Cannibalism in cultured juvenile lobster Panulirus ornatus and contributing biological factors</t>
  </si>
  <si>
    <t>Cannibalism; Crustacean; Aquaculture; Spiny lobster; Behaviour</t>
  </si>
  <si>
    <t>CARIBBEAN SPINY LOBSTERS; WESTERN ROCK LOBSTER; AGONISTIC BEHAVIOR; STOCKING DENSITY; JASUS-EDWARDSII; PHYLLOSOMA LARVAE; OLFACTORY PATHWAY; FEEDING-BEHAVIOR; STAGE PHYLLOSOMA; SHORE CRABS</t>
  </si>
  <si>
    <t>Cannibalism is a major limitation to communally culturing the spiny lobster, Panulirus ornatus, and although frequently reported in research it is yet to be thoroughly investigated. To support continued innovation in culture, we must understand the contribution of cannibalism to juvenile mortality and identify influencing factors. This was accomplished through 900 h of time-lapse photography of three populations of juvenile lobsters over 30 d, including all ecdysis and cannibalism events to inspect individual weight, tank biomass, moult-stage, sex, and injury, as possible contributing factors. Total mortality was over 50% and attributed to the attack and cannibalism of moulting lobsters. Between 20 and 25% of moulting events in P. ornatus resulted in cannibalism of the moulting lobster. Population control and biomass stabilisation appear to be consequences of cannibalism, determined by fluctuations in tank biomass. Additionally, the moult stage of killer cannibals may suggest a nutritional benefit for lobsters in the latter half of the moult cycle. An increase in the average locomotor activity within a population during the hour before cannibalism occurs indicates that the factors driving cannibalism are present up to an hour before a moult. Here we demonstrate the flaws of previous assumptions related to the type and frequency of cannibalism in cultured P. ornatus systems and highlight contributing factors which warrant further study. Building from this research we may identify drivers of cannibalism among juvenile P. ornatus, with the aim of mitigating this behaviour in research and industry culture.</t>
  </si>
  <si>
    <t>[Kelly, Tara R.; Trotter, Andrew J.; Smith, Gregory G.; Fitzgibbon, Quinn P.] Univ Tasmania, Inst Marine &amp; Antarctic Studies IMAS, Private Bag 49, Hobart, Tas 7001, Australia; [Giosio, Dean R.] Univ Tasmania, Sch Engn, Hobart, Tas 7000, Australia</t>
  </si>
  <si>
    <t>Kelly, TR (corresponding author), Univ Tasmania, Inst Marine &amp; Antarctic Studies IMAS, Private Bag 49, Hobart, Tas 7001, Australia.</t>
  </si>
  <si>
    <t>t.kelly@utas.edu.au</t>
  </si>
  <si>
    <t>Australian Research Council Industrial Transformation Hub for Sustainable Onshore Lobster Aquaculture [IH190100014]</t>
  </si>
  <si>
    <t>Australian Research Council Industrial Transformation Hub for Sustainable Onshore Lobster Aquaculture(Australian Research Council)</t>
  </si>
  <si>
    <t>This research was conducted by the Australian Research Council Industrial Transformation Hub for Sustainable Onshore Lobster Aquaculture (project number IH190100014). The views expressed herein are those of the authors and are not necessarily those of the Australian Government or Australian Research Council. Thanks to all Hub staff for lobster culture and assistance with system construction. Many thanks to Katarzyna Kropielnicka-Kruk for providing the data featured in the preliminary experiment.</t>
  </si>
  <si>
    <t>10.1016/j.aquaculture.2023.739883</t>
  </si>
  <si>
    <t>O7XN5</t>
  </si>
  <si>
    <t>WOS:001045899500001</t>
  </si>
  <si>
    <t>Nie, Y; Deng, Q; Pritchard, HD; Carrivick, JL; Ahmed, F; Huggel, C; Liu, LJ; Wang, W; Lesi, M; Wang, JD; Zhang, HY; Zhang, B; Lu, QY; Zhang, YL</t>
  </si>
  <si>
    <t>Nie, Yong; Deng, Qian; Pritchard, Hamish D.; Carrivick, Jonathan L.; Ahmed, Farooq; Huggel, Christian; Liu, Lijun; Wang, Wen; Lesi, Muchu; Wang, Jida; Zhang, Huayu; Zhang, Bo; Lu, Qiyuan; Zhang, Yili</t>
  </si>
  <si>
    <t>Glacial lake outburst floods threaten Asia's infrastructure</t>
  </si>
  <si>
    <t>SCIENCE BULLETIN</t>
  </si>
  <si>
    <t>IMPACTS</t>
  </si>
  <si>
    <t>[Nie, Yong; Deng, Qian; Ahmed, Farooq; Wang, Wen; Lesi, Muchu; Zhang, Huayu; Zhang, Bo; Lu, Qiyuan] Chinese Acad Sci, Inst Mt Hazards &amp; Environm, Mt Sci Data Ctr, Chengdu 610299, Peoples R China; [Pritchard, Hamish D.] British Antarctic Survey, Cambridge CB3 0ET, England; [Carrivick, Jonathan L.] Univ Leeds, Sch Geog &amp; Waterleeds, Leeds LS2 9JT, England; [Ahmed, Farooq] Gilgit Baltistan Disaster Management Author, Gilgit 15100, Pakistan; [Huggel, Christian] Univ Zurich, Dept Geog, CH-8057 Zurich, Switzerland; [Liu, Lijun] Hohai Univ, Coll Hydrol &amp; Water Resources, Nanjing 210098, Peoples R China; [Wang, Jida] Kansas State Univ, Dept Geog &amp; Geospatial Sci, Manhattan, KS 66506 USA; [Zhang, Yili] Chinese Acad Sci, Inst Geog Sci &amp; Nat Resources Res, Beijing 100101, Peoples R China; [Nie, Yong; Deng, Qian; Lesi, Muchu; Zhang, Huayu; Zhang, Yili] Univ Chinese Acad Sci, Beijing 101408, Peoples R China</t>
  </si>
  <si>
    <t>Chinese Academy of Sciences; Institute of Mountain Hazards &amp; Environment, CAS; UK Research &amp; Innovation (UKRI); Natural Environment Research Council (NERC); NERC British Antarctic Survey; University of Leeds; University of Zurich; Hohai University; Kansas State University; Chinese Academy of Sciences; Institute of Geographic Sciences &amp; Natural Resources Research, CAS; Chinese Academy of Sciences; University of Chinese Academy of Sciences, CAS</t>
  </si>
  <si>
    <t>Nie, Y (corresponding author), Chinese Acad Sci, Inst Mt Hazards &amp; Environm, Mt Sci Data Ctr, Chengdu 610299, Peoples R China.;Pritchard, HD (corresponding author), British Antarctic Survey, Cambridge CB3 0ET, England.;Nie, Y (corresponding author), Univ Chinese Acad Sci, Beijing 101408, Peoples R China.</t>
  </si>
  <si>
    <t>nieyong@imde.ac.cn; hprit@bas.ac.uk</t>
  </si>
  <si>
    <t>wu, wenjie/HKM-3623-2023</t>
  </si>
  <si>
    <t>Carrivick, Jonathan/0000-0002-9286-5348; Wang, Jida/0000-0003-3548-8918</t>
  </si>
  <si>
    <t>Second Tibetan Plateau Scientific Expedition and Research Program [2019QZKK0603]; National Natural Science Foundation of China [41971153, 42171086]; Science and Technology Department of Tibet Program [XZ202301ZY0016G]; Chinese Committee on International Centre for Integrated Mountain Development (CNICIMOD)</t>
  </si>
  <si>
    <t>Second Tibetan Plateau Scientific Expedition and Research Program; National Natural Science Foundation of China(National Natural Science Foundation of China (NSFC)); Science and Technology Department of Tibet Program; Chinese Committee on International Centre for Integrated Mountain Development (CNICIMOD)</t>
  </si>
  <si>
    <t>This work was supported by the Second Tibetan Plateau Scientific Expedition and Research Program (2019QZKK0603) , the National Natural Science Foundation of China (41971153 and 42171086) , the Science and Technology Department of Tibet Program (XZ202301ZY0016G) , and the Chinese Committee on International Centre for Integrated Mountain Development (CNICIMOD) . We thank three anonymous reviewers and editors for their constructive comments that have helped us improve the quality of this manuscript.</t>
  </si>
  <si>
    <t>2095-9273</t>
  </si>
  <si>
    <t>2095-9281</t>
  </si>
  <si>
    <t>SCI BULL</t>
  </si>
  <si>
    <t>Sci. Bull.</t>
  </si>
  <si>
    <t>JUL 15</t>
  </si>
  <si>
    <t>10.1016/j.scib.2023.05.035</t>
  </si>
  <si>
    <t>P0MW3</t>
  </si>
  <si>
    <t>WOS:001047677800001</t>
  </si>
  <si>
    <t>Robinson, KP; MacDougall, DAI; Bamford, CCG; Brown, WJ; Dolan, CJ; Hall, R; Haskins, GN; Russell, G; Sidiropoulos, T; Sim, TMC; Spinou, E; Stroud, E; Williams, G; Culloch, RM</t>
  </si>
  <si>
    <t>Robinson, Kevin P.; MacDougall, Duncan A. I.; Bamford, Connor C. G.; Brown, William J.; Dolan, Ciaran J.; Hall, Rebecca; Haskins, Gary N.; Russell, Grace; Sidiropoulos, Theofilos; Sim, Texa M. C.; Spinou, Evgenia; Stroud, Elice; Williams, Genevieve; Culloch, Ross M.</t>
  </si>
  <si>
    <t>Ecological habitat partitioning and feeding specialisations of coastal minke whales (Balaenoptera acutorostrata) using a recently designated MPA in northeast Scotland</t>
  </si>
  <si>
    <t>OUTER MORAY FIRTH; NE SCOTLAND; DETERMINANTS; TOPOGRAPHY; ECOSYSTEM; HUMPBACK; BEHAVIOR; ORIGIN; DEPTH; BIRD</t>
  </si>
  <si>
    <t>In the design of protected areas for cetaceans, spatial maps rarely take account of the life-history and behaviour of protected species relevant to their spatial ambit, which may be important for their management. In this study, we examined the distribution and feeding behaviours of adult versus juvenile minke whales (Balaenoptera acutorostrata) from long-term studies in the Moray Firth in northeast Scotland, where a Marine Protected Area (MPA) has recently been designated. Data were collected during dedicated boat surveys between 2001 and 2022 inclusive, from which 784 encounters with 964 whales of confirmed age-class (471 juveniles and 493 adults) were recorded from 56,263 km of survey effort, resulting in 238 focal follows. Adults and juveniles were occasionally seen together, but their distributions were not statistically correlated, and GIS revealed spatial separation / habitat partitioning by age-class?with juveniles preferring shallower, inshore waters with sandy-gravel sediments, and adults preferring deeper, offshore waters with greater bathymetric slope. GAMs suggested that the partitioning between age-classes was predominantly based on the differing proximity of animals to the shore, with juveniles showing a preference for the gentlest seabed slopes, and both adults and juveniles showing a similar preference for sandy gravel sediment types. However, the GAMs only used sightings data with available survey effort (2008 to 2022) and excluded depth due to collinearity issues. Whilst adult minkes employed a range of active prey-entrapment specialisations, showing inter-individual variation and seasonal plasticity in their targeted prey, juveniles almost exclusively used passive (low energy) feeding methods targeting low-density patches of inshore prey. These findings corroborate the need to incorporate demographic and behavioural data into spatial models when identifying priority areas for protected cetacean species. Not all areas within an MPA have equal value for a population and a better knowledge of the spatial preferences of these whales within the designated Scottish MPAs, appointed for their protection, is considered vital for their conservation.</t>
  </si>
  <si>
    <t>[Robinson, Kevin P.; MacDougall, Duncan A. I.; Bamford, Connor C. G.; Brown, William J.; Dolan, Ciaran J.; Hall, Rebecca; Haskins, Gary N.; Russell, Grace; Sidiropoulos, Theofilos; Sim, Texa M. C.; Spinou, Evgenia; Stroud, Elice; Williams, Genevieve; Culloch, Ross M.] Cetacean Res &amp; Rescue Unit CRRU, Banff, Scotland; [Robinson, Kevin P.; Dolan, Ciaran J.] Univ Exeter, Ctr Ecol &amp; Conservat, Cornwall, England; [Bamford, Connor C. G.] British Antarctic Survey, Cambridge, England; [Sim, Texa M. C.] Scottish Assoc Marine Sci, Oban, Scotland; [Culloch, Ross M.] APEM Ltd, Stockport, England</t>
  </si>
  <si>
    <t>University of Exeter; UK Research &amp; Innovation (UKRI); Natural Environment Research Council (NERC); NERC British Antarctic Survey; UHI Millennium Institute</t>
  </si>
  <si>
    <t>Robinson, KP (corresponding author), Cetacean Res &amp; Rescue Unit CRRU, Banff, Scotland.;Robinson, KP (corresponding author), Univ Exeter, Ctr Ecol &amp; Conservat, Cornwall, England.</t>
  </si>
  <si>
    <t>kev.robinson@crru.org.uk</t>
  </si>
  <si>
    <t>Robinson, Kevin/0000-0001-8085-9752</t>
  </si>
  <si>
    <t>JUL 19</t>
  </si>
  <si>
    <t>e0246617</t>
  </si>
  <si>
    <t>10.1371/journal.pone.0246617</t>
  </si>
  <si>
    <t>N1QC1</t>
  </si>
  <si>
    <t>Green Published, Green Accepted, gold</t>
  </si>
  <si>
    <t>WOS:001034831500055</t>
  </si>
  <si>
    <t>Contreras, MJ; Leal, K; Bruna, P; Nuñez-Montero, K; Goméz-Espinoza, O; Santos, A; Bravo, L; Valenzuela, B; Solis, F; Gahona, G; Cayo, M; Dinamarca, MA; Ibacache-Quiroga, C; Zamorano, P; Barrientos, L</t>
  </si>
  <si>
    <t>Contreras, Maria Jose; Leal, Karla; Bruna, Pablo; Nunez-Montero, Kattia; Gomez-Espinoza, Olman; Santos, Andres; Bravo, Leon; Valenzuela, Bernardita; Solis, Francisco; Gahona, Giovanni; Cayo, Mayra; Dinamarca, M. Alejandro; Ibacache-Quiroga, Claudia; Zamorano, Pedro; Barrientos, Leticia</t>
  </si>
  <si>
    <t>Commonalities between the Atacama Desert and Antarctica rhizosphere microbial communities</t>
  </si>
  <si>
    <t>rhizosphere; metabarcoding; Atacama Desert; the Antarctica; plant associated-bacteria</t>
  </si>
  <si>
    <t>GEN. NOV.; SOIL; BACTERIA; ACIDOBACTERIA; LIFE; TOOL</t>
  </si>
  <si>
    <t>Plant-microbiota interactions have significant effects on plant growth, health, and productivity. Rhizosphere microorganisms are involved in processes that promote physiological responses to biotic and abiotic stresses in plants. In recent years, the interest in microorganisms to improve plant productivity has increased, mainly aiming to find promising strains to overcome the impact of climate change on crops. In this work, we hypothesize that given the desertic environment of the Antarctic and the Atacama Desert, different plant species inhabiting these areas might share microbial taxa with functions associated with desiccation and drought stress tolerance. Therefore, in this study, we described and compared the composition of the rhizobacterial community associated with Deschampsia antarctica (Da), Colobanthus quitensis (Cq) from Antarctic territories, and Croton chilensis (Cc), Eulychnia iquiquensis (Ei) and Nicotiana solanifolia (Ns) from coastal Atacama Desert environments by using 16S rRNA amplicon sequencing. In addition, we evaluated the putative functions of that rhizobacterial community that are likely involved in nutrient acquisition and stress tolerance of these plants. Even though each plant microbial rhizosphere presents a unique taxonomic pattern of 3,019 different sequences, the distribution at the genus level showed a core microbiome with a higher abundance of Haliangium, Bryobacter, Bacillus, MND1 from the Nitrosomonadaceae family, and unclassified taxa from Gemmatiamonadaceae and Chitinophagaceae families in the rhizosphere of all samples analyzed (781 unique sequences). In addition, species Gemmatirosa kalamazoonesis and Solibacter usitatus were shared by the core microbiome of both Antarctic and Desert plants. All the taxa mentioned above had been previously associated with beneficial effects in plants. Also, this microbial core composition converged with the functional prediction related to survival under harsh conditions, including chemoheterotrophy, ureolysis, phototrophy, nitrogen fixation, and chitinolysis. Therefore, this study provides relevant information for the exploration of rhizospheric microorganisms from plants in extreme conditions of the Atacama Desert and Antarctic as promising plant growth-promoting rhizobacteria.</t>
  </si>
  <si>
    <t>[Contreras, Maria Jose; Leal, Karla; Bruna, Pablo] Univ La Frontera, Fac Med, Ctr Excelencia Med Traslac, Temuco, Chile; [Nunez-Montero, Kattia; Barrientos, Leticia] Univ Autonoma Chile, Inst Ciencias Aplicadas, Fac Ingn, Temuco, Chile; [Nunez-Montero, Kattia] Inst Tecnol Costa Rica, Biotechnol Res Ctr, Cartago, Costa Rica; [Gomez-Espinoza, Olman; Bravo, Leon] Univ La Frontera, Fac Agr Sci &amp; Environm, Dept Agr Sci &amp; Nat Resources, Temuco, Chile; [Santos, Andres] Univ Autonoma Barcelona, Inst Biotecnol &amp; Biomed, Dept Genet &amp; Microbiol, Cerdanyola Del Valles, Barcelona, Spain; [Valenzuela, Bernardita; Solis, Francisco; Gahona, Giovanni; Cayo, Mayra; Zamorano, Pedro] Univ Antofagasta, Lab Microorganismos Extremofilos, Inst Antofagasta, Antofagasta, Chile; [Dinamarca, M. Alejandro; Ibacache-Quiroga, Claudia] Univ Valparaiso, Escuela Nutr &amp; Dietet, Fac Farm, Valparaiso, Chile; [Dinamarca, M. Alejandro; Ibacache-Quiroga, Claudia] Univ Valparaiso, Ctr Microbioinnovac, Valparaiso, Chile; [Zamorano, Pedro] Univ Antofagasta, Fac Ciencias Salud, Dept Biomed, Antofagasta, Chile</t>
  </si>
  <si>
    <t>Universidad de La Frontera; Universidad Autonoma de Chile; Instituto Tecnologico de Costa Rica; Universidad de La Frontera; Autonomous University of Barcelona; Universidad de Antofagasta; Universidad de Valparaiso; Universidad de Valparaiso; Universidad de Antofagasta</t>
  </si>
  <si>
    <t>Barrientos, L (corresponding author), Univ Autonoma Chile, Inst Ciencias Aplicadas, Fac Ingn, Temuco, Chile.;Zamorano, P (corresponding author), Univ Antofagasta, Lab Microorganismos Extremofilos, Inst Antofagasta, Antofagasta, Chile.;Zamorano, P (corresponding author), Univ Antofagasta, Fac Ciencias Salud, Dept Biomed, Antofagasta, Chile.</t>
  </si>
  <si>
    <t>pedro.zamorano@uamail.cl; leticia.barrientos@uautonoma.cl</t>
  </si>
  <si>
    <t>Barrientos, Leticia X/A-9261-2013</t>
  </si>
  <si>
    <t>Valenzuela, Bernardita/0000-0002-8938-4746; Ibacache, Claudia/0000-0002-1978-6109; Nunez-Montero, Kattia/0000-0002-8629-5107</t>
  </si>
  <si>
    <t>Chilean National Agency for Research and Development (ANID) [FSEQ210003]; Chilean National Fund for Scientific and Technological Development (FONDECYT) [1210563]</t>
  </si>
  <si>
    <t>Chilean National Agency for Research and Development (ANID); Chilean National Fund for Scientific and Technological Development (FONDECYT)(Comision Nacional de Investigacion Cientifica y Tecnologica (CONICYT)CONICYT FONDECYT)</t>
  </si>
  <si>
    <t>This study was supported by the Chilean National Agency for Research and Development (ANID) (Grant number FSEQ210003) and Chilean National Fund for Scientific and Technological Development (FONDECYT, Grant number 1210563).</t>
  </si>
  <si>
    <t>10.3389/fmicb.2023.1197399</t>
  </si>
  <si>
    <t>O0WW7</t>
  </si>
  <si>
    <t>WOS:001041122300001</t>
  </si>
  <si>
    <t>Audzijonyte, A; Mateos-González, F; Dainys, J; Gundelund, C; Skov, C; DeWeber, JT; Venturelli, P; Vienozinskis, V; Smith, C</t>
  </si>
  <si>
    <t>Audzijonyte, Asta; Mateos-Gonzalez, Fernando; Dainys, Justas; Gundelund, Casper; Skov, Christian; DeWeber, J. Tyrell; Venturelli, Paul; Vienozinskis, Vincentas; Smith, Carl</t>
  </si>
  <si>
    <t>High-resolution app data reveal sustained increases in recreational fishing effort in Europe during and after COVID-19 lockdowns</t>
  </si>
  <si>
    <t>anthropause; recreational fishing effort; non-probabilistic methods; smartphone applications; COVID-19; inland and coastal fisheries</t>
  </si>
  <si>
    <t>CLIMATE-CHANGE; FISHERIES; MANAGEMENT; IMPACTS</t>
  </si>
  <si>
    <t>It is well recognized that COVID-19 lockdowns impacted human interactions with natural ecosystems. One example is recreational fishing, which, in developed countries, involves approximately 10% of people. Fishing licence sales and observations at angling locations suggest that recreational fishing effort increased substantially during lockdowns. However, the extent and duration of this increase remain largely unknown. We used four years (2018-2021) of high-resolution data from a personal fish-finder device to explore the impact of COVID-19 lockdowns on angling effort in four European countries. We show that relative device use and angling effort increased 1.2-3.8-fold during March-May 2020 and generally remained elevated even at the end of 2021. Fishing during the first lockdown also became more frequent on weekdays. Statistical models explained 50-70% of the variation, suggesting that device use and angling effort were relatively consistent and predictable through space and time. Our study demonstrates that recreational fishing behaviour can change substantially and rapidly in response to societal shifts, with profound ecological, human well-being and economic implications. We also show the potential of angler devices and smartphone applications for high-resolution fishing effort analysis and encourage more extensive science and industry collaborations to take advantage of this information.</t>
  </si>
  <si>
    <t>[Audzijonyte, Asta] Univ Tasmania, Inst Marine &amp; Antarctic Studies, Hobart, Tas, Australia; [Audzijonyte, Asta; Mateos-Gonzalez, Fernando; Dainys, Justas; Smith, Carl] Nat Res Ctr, Akademijos 2, Vilnius, Lithuania; [Audzijonyte, Asta] Ctr Marine Socioecol, Hobart, Tas, Australia; [Mateos-Gonzalez, Fernando] ALKA Wildlife, Liderovice, Czech Republic; [Gundelund, Casper; Skov, Christian] Tech Univ Denmark, Sect Freshwater Fisheries &amp; Ecol, Lyngby, Denmark; [DeWeber, J. Tyrell] Potsdam Inst Inland Fisheries, Konigswald 2, Potsdam, Germany; [Venturelli, Paul] Ball State Univ, Dept Biol, Muncie, IN 47306 USA; [Vienozinskis, Vincentas] Deeper, LT-10312 Vilnius, Lithuania; [Smith, Carl] Univ Lodz, Dept Ecol &amp; Vertebrate Zool, Lodz, Poland; [Smith, Carl] Czech Acad Sci, Inst Vertebrate Biol, Brno, Czech Republic</t>
  </si>
  <si>
    <t>University of Tasmania; Nature Research Center - Lithuania; Technical University of Denmark; Ball State University; University of Lodz; Czech Academy of Sciences; Institute of Vertebrate Biology of the Czech Academy of Sciences</t>
  </si>
  <si>
    <t>Audzijonyte, A (corresponding author), Univ Tasmania, Inst Marine &amp; Antarctic Studies, Hobart, Tas, Australia.;Audzijonyte, A; Mateos-González, F (corresponding author), Nat Res Ctr, Akademijos 2, Vilnius, Lithuania.;Audzijonyte, A (corresponding author), Ctr Marine Socioecol, Hobart, Tas, Australia.;Mateos-González, F (corresponding author), ALKA Wildlife, Liderovice, Czech Republic.</t>
  </si>
  <si>
    <t>asta.audzijonyte@utas.edu.au; fernandomateos@gmail.com</t>
  </si>
  <si>
    <t>Gundelund, Casper/HNR-1781-2023; Skov, Christian/X-6511-2019</t>
  </si>
  <si>
    <t>Gundelund, Casper/0000-0002-2555-403X; Skov, Christian/0000-0002-8547-6520; DeWeber, Jefferson/0000-0001-5840-8488</t>
  </si>
  <si>
    <t>10.1098/rsos.230408</t>
  </si>
  <si>
    <t>M7LC3</t>
  </si>
  <si>
    <t>Green Published, Green Submitted, gold</t>
  </si>
  <si>
    <t>WOS:001031984700014</t>
  </si>
  <si>
    <t>Luarte, T; Gómez-Aburto, VA; Poblete-Castro, I; Castro-Nallar, E; Huneeus, N; Molina-Montenegro, M; Egas, C; Azcune, G; Pérez-Parada, A; Lohmann, R; Bohlin-Nizzetto, P; Dachs, J; Bengtson-Nash, S; Chiang, G; Pozo, K; Galbán-Malagón, CJ</t>
  </si>
  <si>
    <t>Luarte, Thais; Gomez-Aburto, Victoria A.; Poblete-Castro, Ignacio; Castro-Nallar, Eduardo; Huneeus, Nicolas; Molina-Montenegro, Marco; Egas, Claudia; Azcune, German; Perez-Parada, Andres; Lohmann, Rainier; Bohlin-Nizzetto, Pernilla; Dachs, Jordi; Bengtson-Nash, Susan; Chiang, Gustavo; Pozo, Karla; Galban-Malagon, Cristobal J.</t>
  </si>
  <si>
    <t>Levels of persistent organic pollutants (POPs) in the Antarctic atmosphere over time (1980 to 2021) and estimation of their atmospheric half-lives</t>
  </si>
  <si>
    <t>KING GEORGE ISLAND; ORGANOCHLORINE PESTICIDES; POLYCHLORINATED-BIPHENYLS; SOUTHERN-OCEAN; ENVIRONMENTAL FATE; ATLANTIC-OCEAN; NORTH-ATLANTIC; BIOGEOCHEMICAL CONTROLS; CHLORINATED PESTICIDES; PCB CONCENTRATIONS</t>
  </si>
  <si>
    <t>Persistent organic pollutants (POPs) are synthetic compounds that were intentionally produced in large quantities and have been distributed in the global environment, originating a threat due to their persistence, bioaccumulative potential, and toxicity. POPs reach the Antarctic continent through long-range atmospheric transport (LRAT). In these areas, low temperatures play a significant role in the environmental fate of POPs, retaining them for a long time due to cold trapping by diffusion and wet deposition, acting as a net sink for many POPs. However, in the current context of climate change, the remobilization of POPs that were trapped in water, ice, and soil for decades is happening. Therefore, continuous monitoring of POPs in polar air is necessary to assess whether there is a recent re-release of historical pollutants back to the environment. We reviewed the scientific literature on atmospheric levels of several POP families (polychlorinated biphenyls - PCBs, hexachlorobenzene - HCB, hexachlorocyclohexanes - HCHs, and dichlorodiphenyltrichloroethane - DDT) from 1980 to 2021. We estimated the atmospheric half-life using characteristic decreasing times (TD). We observed that HCB levels in the Antarctic atmosphere were higher than the other target organochlorine pesticides (OCPs), but HCB also displayed higher fluctuations and did not show a significant decrease over time. Conversely, the atmospheric levels of HCHs, some DDTs, and PCBs have decreased significantly. The estimated atmospheric half-lives for POPs decreased in the following order: 4,4' DDE (13.5 years) &gt; 4,4' DDD (12.8 years) &gt; 4,4' DDT (7.4 years) &gt; 2,4' DDE (6.4 years) &gt; 2,4' DDT (6.3 years) &gt; a-HCH (6 years) &gt; HCB (6 years) &gt; ?-HCH (4.2 years). For PCB congeners, they decreased in the following order: PCB 153 (7.6 years) &gt; PCB 138 (6.5 years) &gt; PCB 101 (4.7 years) &gt; PCB 180 (4.6 years) &gt; PCB 28 (4 years) &gt; PCB 52 (3.7 years) &gt; PCB 118 (3.6 years). For HCH isomers and PCBs, the Stockholm Convention (SC) ban on POPs did have an impact on decreasing their levels during the last decades. Nevertheless, their ubiquity in the Antarctic atmosphere shows the problematic issues related to highly persistent synthetic chemicals.</t>
  </si>
  <si>
    <t>[Luarte, Thais] Univ Andres Bello, Fac Ciencias Vida, Programa Doctorado Med Conservac, Santiago 8370251, Chile; [Luarte, Thais; Gomez-Aburto, Victoria A.; Galban-Malagon, Cristobal J.] Univ Mayor, Ctr Genom Ecol &amp; Environm, GEMA, Camino Piramide,5750 Huechuraba, Santiago 8580745, Chile; [Luarte, Thais; Gomez-Aburto, Victoria A.; Castro-Nallar, Eduardo; Huneeus, Nicolas; Molina-Montenegro, Marco; Galban-Malagon, Cristobal J.] Anillo Ciencia &amp; Tecnol Antartica POLARIX, Santiago, Chile; [Poblete-Castro, Ignacio] Univ Santiago Chile USACH, Dept Chem &amp; Bioproc Engn, Biosyst Engn Lab, Santiago 9170022, Chile; [Castro-Nallar, Eduardo] Univ Talca, Fac Ciencias Salud, Dept Microbiol, Campus Talca,Ave Lircay S-N, Talca 3460000, Chile; [Castro-Nallar, Eduardo; Egas, Claudia] Univ Talca, Ctr Ecol Integrat, Campus Talca,Ave Lircay S-N, Talca 3460000, Chile; [Huneeus, Nicolas] Ctr Climate &amp; Resilience Res CR2, Santiago 8370415, Chile; [Huneeus, Nicolas] Univ Chile, Fac Phys &amp; Math Sci, Dept Geophys, Santiago 8370456, Chile; [Molina-Montenegro, Marco] Univ Catolica Norte, Fac Ciencias Mar, Ctr Estudios Avanzados Zonas Aridas CEAZA, Larrondo 1281, Coquimbo, Chile; [Azcune, German; Perez-Parada, Andres] Univ Republ, Ctr Univ Reg Este CURE, Dept Desarrollo Tecnol DDT, Ruta 9 &amp; Ruta 15, Rocha 27000, Uruguay; [Lohmann, Rainier] Univ Rhode Isl, Grad Sch Oceanog, Narragansett, RI 02882 USA; [Bohlin-Nizzetto, Pernilla] NILU Norwegian Inst Air Res, POB 100, N-2027 Kjeller, Norway; [Dachs, Jordi] IDAEA CSIC, Dept Environm Chem, C Jordi Girona 18-26, Barcelona 08034, Catalonia, Spain; [Bengtson-Nash, Susan] Griffith Univ, Ctr Planetary Hlth &amp; Food Secur, Sch Environm &amp; Sci, Southern Ocean Persistent Organ Pollutants Progra, Nathan, Qld 4111, Australia; [Chiang, Gustavo] Univ Andres Bello, Fac Life Sci, Ctr Sustainable Res, Santiago 8370251, Chile; [Chiang, Gustavo] Univ Andres Bello, Fac Life Sci, Dept Ecol &amp; Biodivers, Santiago 8370251, Chile; [Pozo, Karla] Univ San Sebastian, Fac Ingn &amp; Tecnol, Lientur 1457, Concepcion, Chile; [Pozo, Karla] Masaryk Univ, Fac Sci, RECETOX, Kotlarska 2, Brno, Czech Republic; [Galban-Malagon, Cristobal J.] Florida Int Univ, Inst Environm, Miami, FL 33199 USA</t>
  </si>
  <si>
    <t>Universidad Andres Bello; Universidad Mayor; Universidad de Santiago de Chile; Universidad de Talca; Universidad de Talca; Universidad de Chile; Universidad Catolica del Norte; Universidad de la Republica, Uruguay; University of Rhode Island; NILU; Consejo Superior de Investigaciones Cientificas (CSIC); CSIC - Centro de Investigacion y Desarrollo Pascual Vila (CID-CSIC); CSIC - Instituto de Diagnostico Ambiental y Estudios del Agua (IDAEA); Griffith University; Universidad Andres Bello; Universidad Andres Bello; Universidad San Sebastian; Masaryk University Brno; State University System of Florida; Florida International University</t>
  </si>
  <si>
    <t>Luarte, T (corresponding author), Univ Andres Bello, Fac Ciencias Vida, Programa Doctorado Med Conservac, Santiago 8370251, Chile.;Luarte, T; Galbán-Malagón, CJ (corresponding author), Univ Mayor, Ctr Genom Ecol &amp; Environm, GEMA, Camino Piramide,5750 Huechuraba, Santiago 8580745, Chile.;Luarte, T; Galbán-Malagón, CJ (corresponding author), Anillo Ciencia &amp; Tecnol Antartica POLARIX, Santiago, Chile.;Galbán-Malagón, CJ (corresponding author), Florida Int Univ, Inst Environm, Miami, FL 33199 USA.</t>
  </si>
  <si>
    <t>thaisluarte@gmail.com</t>
  </si>
  <si>
    <t>Gómez, Victoria Antonieta/HCG-8836-2022; Castro-Nallar, Eduardo/I-5925-2019; Perez Ortiz, Edwyn Andres/HGD-8377-2022; Galbán-Malagón, Cristobal/B-2170-2017; Galban Malagon, Cristobal/J-2384-2015</t>
  </si>
  <si>
    <t>Gómez, Victoria Antonieta/0000-0001-6343-762X; Castro-Nallar, Eduardo/0000-0003-4384-8661; Perez Parada, Andres/0000-0003-0321-8171; Azcune, German/0000-0003-3016-9352; Galban Malagon, Cristobal/0000-0001-8397-5804; Chiang, Gustavo/0000-0003-4504-355X; Huneeus, Nicolas/0000-0002-6214-5518</t>
  </si>
  <si>
    <t>Universidad Andrs Bello office of Doctorate Program Support through the PhD Grant Program [FONDECYT 11150548, 1210946, ANID-PCI-REDI170292, 3230076, Anillo-INACH-ACT192057]; ANID [FONDECYT 11150548, 1210946, ANID-PCI-REDI170292, DG_03_21]; ANID-PIA [3230076]; INACH [Anillo-INACH-ACT192057, INACH-REGULAR RT_12_17, DG_02_21]; Vicerrectoriade Investigacion, Universidad Andres Bello</t>
  </si>
  <si>
    <t>Universidad Andrs Bello office of Doctorate Program Support through the PhD Grant Program; ANID; ANID-PIA; INACH; Vicerrectoriade Investigacion, Universidad Andres Bello</t>
  </si>
  <si>
    <t>Cristobal J. Galban-Malagon received funding from ANID through the ANID grants FONDECYT 11150548, 1210946, ANID-PCI-REDI170292, ANID-PIA Anillo-INACH-ACT192057, and INACH grant INACH-REGULAR RT_12_17.Thais Luarte's PhD grant was provided by the Vicerrectoriade Investigacion, Universidad Andres Bello and INACH grant DG_02_21. Claudia Egas is funded by the INACh grant DG_03_21.Victoria A. Gomez-Aburto is funded by ANID through the grant ANID FONDECYT POSTDOC 3230076.</t>
  </si>
  <si>
    <t>10.5194/acp-23-8103-2023</t>
  </si>
  <si>
    <t>M8EQ9</t>
  </si>
  <si>
    <t>WOS:001032496900001</t>
  </si>
  <si>
    <t>Baranov, AA; Lobkovskii, LI; Bobrov, AM</t>
  </si>
  <si>
    <t>Baranov, A. A.; Lobkovskii, L. I.; Bobrov, A. M.</t>
  </si>
  <si>
    <t>Global Geodynamic Model of the Modern Earth and Its Application to the Antarctic Region</t>
  </si>
  <si>
    <t>global geodynamic model of the Earth; spherical mantle convection; seismic tomography; Antarctic region</t>
  </si>
  <si>
    <t>SEISMOGENIC-TRIGGER MECHANISM; MANTLE CONVECTION; GLACIER DESTRUCTION; METHANE EMISSION; VISCOSITY; STOKES</t>
  </si>
  <si>
    <t>A geodynamic model of the modern Earth was constructed based on the SMEAN 2 global seismic tomography model. Considering the distribution of mantle temperature anomalies in this model, the numerical simulation of a three-dimensional flow of a viscous mantle was carried out taking into account the dependence of the viscosity on temperature and depth in the spherical Earth. The Stokes equation was solved by the finite element method using the CitcomS code. The obtained data on the distribution of the temperature anomalies, dynamic topography, and velocity field in the mantle were used to analyze structural features and geodynamics in the West Antarctic region, as well as the anomalous acceleration of glacier movement and destruction in this area. In particular, the existence and current activity of the West Antarctic Rift System including one of the largest volcanic provinces on the Earth were explained. This explanation was consistent with the measurement data on increased heat flow on the surface. The increased heat flow and volcanic activity in this region lead to instability and accelerated runoff of the West Antarctic ice sheets into the ocean, thus posing the potential threat of a substantial rise in the global sea level.</t>
  </si>
  <si>
    <t>[Baranov, A. A.; Bobrov, A. M.] Russian Acad Sci, Schmidt Inst Phys Earth, Moscow 123995, Russia; [Lobkovskii, L. I.] Russian Acad Sci, Shirshov Inst Oceanol, Moscow 117218, Russia</t>
  </si>
  <si>
    <t>Russian Academy of Sciences; Schmidt Institute of Physics of the Earth of the Russian Academy of Sciences; Russian Academy of Sciences; Shirshov Institute of Oceanology</t>
  </si>
  <si>
    <t>Baranov, AA (corresponding author), Russian Acad Sci, Schmidt Inst Phys Earth, Moscow 123995, Russia.</t>
  </si>
  <si>
    <t>baranov@ifz.ru</t>
  </si>
  <si>
    <t>10.1134/S1028334X23601086</t>
  </si>
  <si>
    <t>R7UZ4</t>
  </si>
  <si>
    <t>WOS:001031584800003</t>
  </si>
  <si>
    <t>Smith, A; Jones, RH</t>
  </si>
  <si>
    <t>Smith, Aimee; Jones, Rhian H. H.</t>
  </si>
  <si>
    <t>Petrographic constraints on the formation of silica-rich igneous rims around chondrules in CR chondrites</t>
  </si>
  <si>
    <t>TRACE-ELEMENT GEOCHEMISTRY; MAGNESIAN CHONDRULES; ORIGIN; CONDENSATION; MODEL; CRISTOBALITE; TEMPERATURES; SYSTEMATICS; RESERVOIRS; DENSITY</t>
  </si>
  <si>
    <t>In the CR (Renazzo-like) chondrite group, many chondrules have successive igneous rim (IR) layers, with an outer layer that contains a silica mineral and/or silica-rich glass (silica-rich igneous rims, SIRs). Models for SIR formation include (1) accretion of Si-rich dust onto solid chondrule surfaces, followed by heating and cooling and (2) condensation of SiO(gas) onto the surface of partially molten chondrules. We evaluate these models, based on a petrographic study of five Antarctic CR chondrites that have undergone minimal secondary alteration. We obtained electron microprobe analyses of minerals and glass with quantitative wavelength-dispersive spectroscopy mapping, and identified silica polymorphs with Raman spectroscopy. Common SIRs contain silica, low-Ca pyroxene, Ca-rich pyroxene, Fe,Ni metal, +/- glass +/- plagioclase +/- rare olivine. We also describe near-monomineralic SIRs where a narrow zone of cristobalite occurs at the outer edge of the chondrule. All crystalline silica is cristobalite, except for one SIR that consists of tridymite. Some rims contain silica-rich glass (&gt;80 wt% SiO2) but no silica mineral. Features such as sharp interfaces and compositional boundaries between chondrules and SIRs indicate that SIRs were formed from solid precursors. Consideration of the stability fields of silica polymorphs and computed liquidus temperatures indicates that SIRs were heated to &gt;1500 degrees C for limited time periods, followed by rapid cooling, similar to conditions for chondrule formation. We infer that in the CR chondrule formation region, the same heating mechanism was repeated multiple times while the chemical composition of the nebular gas evolved to highly fractionated silica-rich compositions.</t>
  </si>
  <si>
    <t>[Smith, Aimee; Jones, Rhian H. H.] Univ Manchester, Dept Earth &amp; Environm Sci, Manchester M13 9PL, England</t>
  </si>
  <si>
    <t>University of Manchester</t>
  </si>
  <si>
    <t>Jones, RH (corresponding author), Univ Manchester, Dept Earth &amp; Environm Sci, Manchester M13 9PL, England.</t>
  </si>
  <si>
    <t>rhian.jones-2@manchester.ac.uk</t>
  </si>
  <si>
    <t>Jones, Rhian/0000-0001-8238-9379; Smith, Aimee/0000-0003-3040-528X</t>
  </si>
  <si>
    <t>NSF; NASA; STFC [ST/V000675/1]; UKRI STFC studentship [1990357]; STFC [ST/V000675/1, 1990357] Funding Source: UKRI</t>
  </si>
  <si>
    <t>NSF(National Science Foundation (NSF)); NASA(National Aeronautics &amp; Space Administration (NASA)); STFC(UK Research &amp; Innovation (UKRI)Science &amp; Technology Facilities Council (STFC)); UKRI STFC studentship; STFC(UK Research &amp; Innovation (UKRI)Science &amp; Technology Facilities Council (STFC))</t>
  </si>
  <si>
    <t>This paper is dedicated to the memory of Edward Scott who was a highly influential presence in the field of chondrite research. RJ is very grateful to Ed, for introducing her to the field, for very interesting discussions over many years, and for his warmth and friendship.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This work was supported by STFC grant ST/V000675/1 and UKRI STFC studentship project #1990357. We thank Dr Jonathan Fellowes for assistance with EPMA analysis, and Dr Lewis Hughes for assistance with SEM and Raman instruments, at the University of Manchester. We are grateful to Dr T. Fagan and an anonymous reviewer for constructive comments that improved the manuscript.</t>
  </si>
  <si>
    <t>APR</t>
  </si>
  <si>
    <t>10.1111/maps.14051</t>
  </si>
  <si>
    <t>NF0O0</t>
  </si>
  <si>
    <t>WOS:001033421500001</t>
  </si>
  <si>
    <t>Zhang, L; Ren, XY; Wang, CY; Gan, BL; Wu, LX; Cai, WJ</t>
  </si>
  <si>
    <t>Zhang, Li; Ren, Xuya; Wang, Chuan-Yang; Gan, Bolan; Wu, Lixin; Cai, Wenju</t>
  </si>
  <si>
    <t>An observational study on the interactions between storm tracks and sea ice in the Southern Hemisphere</t>
  </si>
  <si>
    <t>Storm track; Sea ice; Atmospheric circulation; Interannual variability</t>
  </si>
  <si>
    <t>SST ANOMALIES; SURFACE TEMPERATURE; ANTARCTIC PENINSULA; MIDLATITUDE WEATHER; ATMOSPHERIC EDDIES; TROPICAL ATLANTIC; WAVE-PACKETS; OCEAN; NORTH; CIRCULATION</t>
  </si>
  <si>
    <t>Using the lagged maximum covariance analysis (MCA), the present study investigates the interannual variability of the storm track in the Southern Hemisphere and the Antarctic sea ice throughout the year. The results show that the two are most tightly coupled in the austral cold seasons. Specifically, storm track anomalies in June and July are associated with a zonal dipole structure of the sea ice concentration (SIC) anomalies in the western Hemisphere, with centers in the Antarctic Peninsula and the Amundsen-Bellingshausen Seas. The storm track can modulate the large-scale atmospheric circulations, which induces anomalous meridional heat transport, downward longwave radiation, and mechanical forcing to further influence the SIC anomalies. The resultant SIC anomalies can last for several months and have the potential to feed back to the storm track. According to the MCA, the influence of the SIC anomalies to the storm track is most evident in August. The SIC dipole along with the SIC anomalies in the Indian Ocean sector have large impact on the storm track activities downstream. The SIC anomalies alters the near-surface temperature gradient and subsequently atmospheric baroclinicity. Further energetic analysis suggests that the enhanced atmospheric baroclinicity facilitates the baroclinic energy conversion from mean available potential energy to eddy available potential energy, and then to eddy kinetic energy, strengthening the storm track activities over the midlatitude Indian Ocean.</t>
  </si>
  <si>
    <t>[Zhang, Li; Ren, Xuya; Wang, Chuan-Yang; Gan, Bolan; Wu, Lixin; Cai, Wenju] Ocean Univ China, Frontiers Sci Ctr Deep Ocean Multispheres &amp; Earth, Qingdao, Peoples R China; [Zhang, Li; Ren, Xuya; Wang, Chuan-Yang; Gan, Bolan; Wu, Lixin; Cai, Wenju] Ocean Univ China, Key Lab Phys Oceanog, Qingdao, Peoples R China; [Zhang, Li; Ren, Xuya; Wang, Chuan-Yang; Gan, Bolan; Wu, Lixin; Cai, Wenju] Laoshan Lab, Qingdao, Peoples R China; [Ren, Xuya; Gan, Bolan] Ocean Univ China, Acad Future Ocean, Qingdao, Peoples R China; [Cai, Wenju] CSIRO Oceans &amp; Atmosphere Flagship, Aspendale, Vic 3195, Australia</t>
  </si>
  <si>
    <t>Ocean University of China; Ocean University of China; Laoshan Laboratory; Ocean University of China; Commonwealth Scientific &amp; Industrial Research Organisation (CSIRO)</t>
  </si>
  <si>
    <t>Wang, CY (corresponding author), Ocean Univ China, Frontiers Sci Ctr Deep Ocean Multispheres &amp; Earth, Qingdao, Peoples R China.;Wang, CY (corresponding author), Ocean Univ China, Key Lab Phys Oceanog, Qingdao, Peoples R China.;Wang, CY (corresponding author), Laoshan Lab, Qingdao, Peoples R China.</t>
  </si>
  <si>
    <t>wangchuanyang@ouc.edu.cn</t>
  </si>
  <si>
    <t>Cai, Wei-Jun/C-1361-2013</t>
  </si>
  <si>
    <t>Zhang, Li/0000-0001-8036-0628</t>
  </si>
  <si>
    <t>National Key Research and Development Program of China [2019YFA0607001]; Strategic Priority Research Program of Chinese Academy of Sciences [XDB40000000]; National Natural Science Foundation of China [42205018]; Fundamental Research Funds for the Central Universities [202213047]</t>
  </si>
  <si>
    <t>National Key Research and Development Program of China; Strategic Priority Research Program of Chinese Academy of Sciences(Chinese Academy of Sciences); National Natural Science Foundation of China(National Natural Science Foundation of China (NSFC)); Fundamental Research Funds for the Central Universities(Fundamental Research Funds for the Central Universities)</t>
  </si>
  <si>
    <t>AcknowledgementsThis work is supported by National Key Research and Development Program of China (2019YFA0607001), Strategic Priority Research Program of Chinese Academy of Sciences (XDB40000000), National Natural Science Foundation of China (42205018) and Fundamental Research Funds for the Central Universities (202213047).</t>
  </si>
  <si>
    <t>10.1007/s00382-023-06894-5</t>
  </si>
  <si>
    <t>GE5Z5</t>
  </si>
  <si>
    <t>WOS:001029342700003</t>
  </si>
  <si>
    <t>Syomin, VL; Kolbasova, GD; Ostroumova, SA; Sapozhnikov, PV; Kalinina, OY; Mishin, AV</t>
  </si>
  <si>
    <t>Syomin, Vitaly L.; Kolbasova, Glafira D.; Ostroumova, Sofia A.; Sapozhnikov, Philipp V.; Kalinina, Olga Yu.; Mishin, Alexey V.</t>
  </si>
  <si>
    <t>Vertical distribution of pelagic polychaetes in the Bransfield Strait and northwestern Weddell Sea in austral summer of 2022</t>
  </si>
  <si>
    <t>Zooplankton; Holopelagic polychaetes; Vertical distribution; Seasonal succession; Southern Ocean; Antarctic Peninsula region</t>
  </si>
  <si>
    <t>MIDWATER FOOD-WEB; ZOOPLANKTON COMMUNITY; ANNELIDA-POLYCHAETA; ANTARCTIC PENINSULA; SPECIES COMPOSITION; ATLANTIC SECTOR; NORTH PACIFIC; ICE EDGE; CIRCULATION; ABUNDANCE</t>
  </si>
  <si>
    <t>Despite the wide distribution of holopelagic polychaetes, very little is known about their ecology and role in communities, particularly their vertical patterns. Data on pelagic polychaetes from the Southern Ocean are especially scarce. The aim of our study was to address both issues. The pelagic polychaete taxocene was sampled at 30 stations in the West Antarctic with different gears. A 5-net Multinet was used at 18 stations to study vertical structure; qualitative gears with large mouth areas were used at all stations to obtain more complete faunistic information. The horizontal distribution of polychaetes had no correlation with water masses and was likely driven by seasonal succession. Although four groups of species were distinguished by the differences in their vertical distribution patterns, their common (and most notable) property was their complete absence in the uppermost water layer, down to the depth of 50-100 m. This layer corresponded to the chlorophyll a maximum. Based on the relation between the pelagic polychaete distribution and the dominant phytoplankton species group, we consider the latter to be one of the main drivers of this pattern. Vertical profiles of polychaete abundance and species number at deep-water stations had relatively uniform shapes. At the same time, vertical profile shapes in shallow waters varied greatly, apparently reflecting the more diverse conditions and finer scale heterogeneity of the neritic zone environment.</t>
  </si>
  <si>
    <t>[Syomin, Vitaly L.; Ostroumova, Sofia A.; Sapozhnikov, Philipp V.; Kalinina, Olga Yu.; Mishin, Alexey V.] Russian Acad Sci, Shirshov Inst Oceanol, Moscow, Russia; [Kolbasova, Glafira D.] Moscow MV Lomonosov State Univ, NA Pertsov White Sea Biol Stn, Moscow, Russia; [Ostroumova, Sofia A.] Russian State Hydrometeorol Univ, St Petersburg, Russia</t>
  </si>
  <si>
    <t>Russian Academy of Sciences; Shirshov Institute of Oceanology; Lomonosov Moscow State University; Russian State Hydrometeorological University</t>
  </si>
  <si>
    <t>Syomin, VL (corresponding author), Russian Acad Sci, Shirshov Inst Oceanol, Moscow, Russia.;Kolbasova, GD (corresponding author), Moscow MV Lomonosov State Univ, NA Pertsov White Sea Biol Stn, Moscow, Russia.</t>
  </si>
  <si>
    <t>svinovod@yandex.ru; utricularia57@yandex.ru</t>
  </si>
  <si>
    <t>Kolbasova, Glafira D./N-3824-2016</t>
  </si>
  <si>
    <t>10.1007/s00300-023-03177-x</t>
  </si>
  <si>
    <t>WOS:001029316300001</t>
  </si>
  <si>
    <t>Levy, R; Naish, T; Lowry, D; Priestley, R; Winefield, R; Alevropolous-Borrill, A; Beck, E; Bell, R; Blick, G; Dadic, R; Gillies, T; Golledge, N; Heine, Z; Jendersie, S; Lawrence, J; O'Leary, K; Paulik, R; Roberts, C; Taitoko, M; Trayling, N</t>
  </si>
  <si>
    <t>Levy, Richard; Naish, Timothy; Lowry, Daniel; Priestley, Rebecca; Winefield, Rachelle; Alevropolous-Borrill, Alanna; Beck, Emory; Bell, Rob; Blick, Graeme; Dadic, Ruzica; Gillies, Tasman; Golledge, Nicholas; Heine, Zoe; Jendersie, Stefan; Lawrence, Judy; O'Leary, Katherine; Paulik, Ryan; Roberts, Ceridwyn; Taitoko, Mike; Trayling, Natalie</t>
  </si>
  <si>
    <t>Melting ice and rising seas - connecting projected change in Antarctica's ice sheets to communities in Aotearoa New Zealand</t>
  </si>
  <si>
    <t>JOURNAL OF THE ROYAL SOCIETY OF NEW ZEALAND</t>
  </si>
  <si>
    <t>Sea-level rise; Antarctica; ice sheets; coastal adaptation; science communication</t>
  </si>
  <si>
    <t>GROUNDING LINE RETREAT; LEVEL RISE; WEST ANTARCTICA; KOHLER GLACIERS; CLIMATE-CHANGE; PINE ISLAND; SHELF; GREENLAND; THWAITES; OCEAN</t>
  </si>
  <si>
    <t>Changes in global mean sea level are a clear indicator of a warming climate, but local factors including land subsidence or uplift, cause changes in relative sea level that drive shoreline shifts. These local changes and their impact on coastal hazards matter to coastal communities. NZ SeaRise produced relative sea level projections for Aotearoa to include the latest global climate and Antarctic Ice Sheet research and estimates of vertical land movement at high spatial resolution. Research-informed communication to the public and planners included a web-based projections tool supplemented by written and visual narratives, and a media engagement plan. This communication, and analysis of media impact, provided a case study for audience-relevant information on sea-level rise. Information regarding shoreline change and evolving hazards, required for risk assessment, was not included in the NZ SeaRise projections. New research is needed to reduce uncertainty in future Antarctic Ice Sheet contribution to sea level, link changes in sea surface height to our dynamic land surface and enhance communication approaches. Several examples of the required research are presented here but ongoing efforts must refine the timing and magnitude of coastline change, better define coastal hazards and risks, and develop appropriate adaptation strategies for unavoidable climate change impacts.</t>
  </si>
  <si>
    <t>[Levy, Richard; Lowry, Daniel; O'Leary, Katherine; Trayling, Natalie] GNS Sci, Lower Hutt, New Zealand; [Levy, Richard; Naish, Timothy; Alevropolous-Borrill, Alanna; Dadic, Ruzica; Golledge, Nicholas; Jendersie, Stefan] Victoria Univ Wellington, Antarctic Res Ctr, Wellington, New Zealand; [Priestley, Rebecca; Heine, Zoe] Victoria Univ Wellington, Sch Sci Soc, Wellington, New Zealand; [Priestley, Rebecca] Ctr Res Excellence Complex Syst &amp; Networks, Auckland, New Zealand; [Winefield, Rachelle; Beck, Emory; Blick, Graeme] Land Informat New Zealand, Wellington, New Zealand; [Bell, Rob] Bell Adapt Ltd, Hamilton, New Zealand; [Bell, Rob] Univ Waikato, Sch Social Sci, Environm Planning Programme, Hamilton, New Zealand; [Dadic, Ruzica] WSL Inst Snow &amp; Avalanche Res SLF, Davos, Switzerland; [Gillies, Tasman; Taitoko, Mike] Takiwa Data Analyt, Auckland, New Zealand; [Lawrence, Judy] Victoria Univ Wellington, Climate Change Res Inst, Wellington, New Zealand; [Paulik, Ryan] Natl Inst Water &amp; Atmosphere, Wellington, New Zealand; [Roberts, Ceridwyn] Ceridwyn Roberts Sci Commun, Wellington, New Zealand</t>
  </si>
  <si>
    <t>GNS Science - New Zealand; Victoria University Wellington; Victoria University Wellington; University of Waikato; Swiss Federal Institutes of Technology Domain; Swiss Federal Institute for Forest, Snow &amp; Landscape Research; Victoria University Wellington; National Institute of Water &amp; Atmospheric Research (NIWA) - New Zealand</t>
  </si>
  <si>
    <t>Levy, R (corresponding author), GNS Sci, Lower Hutt, New Zealand.;Levy, R (corresponding author), Victoria Univ Wellington, Antarctic Res Ctr, Wellington, New Zealand.</t>
  </si>
  <si>
    <t>r.levy@gns.cri.nz</t>
  </si>
  <si>
    <t>Dadic, Ruzica/0000-0003-1303-1896; Golledge, Nicholas/0000-0001-7676-8970; Bell, Robert/0000-0002-8490-8942; Paulik, Ryan/0000-0003-1147-6816; Priestley, Rebecca/0000-0001-6390-5059; Jendersie, Stefan/0000-0002-8658-3184</t>
  </si>
  <si>
    <t>New Zealand Ministry of Business, Innovation and Employment [RTVU1705]; New Zealand Antarctic Science Platform [RTVU2206]; [ANTA1801]</t>
  </si>
  <si>
    <t>New Zealand Ministry of Business, Innovation and Employment(New Zealand Ministry of Business, Innovation and Employment (MBIE)); New Zealand Antarctic Science Platform;</t>
  </si>
  <si>
    <t>This work was supported by the New Zealand Ministry of Business, Innovation and Employment through the NZ Sea Rise Programme [Contract RTVU1705] and Our Changing Coast Programme [RTVU2206]. Aspects of DL, NG, AA-B, RD, SJ, KO, NT, and RL's contributions were also funded through the New Zealand Antarctic Science Platform [Contract ANTA1801].</t>
  </si>
  <si>
    <t>0303-6758</t>
  </si>
  <si>
    <t>1175-8899</t>
  </si>
  <si>
    <t>J ROY SOC NEW ZEAL</t>
  </si>
  <si>
    <t>J. R. Soc. N.Z.</t>
  </si>
  <si>
    <t>10.1080/03036758.2023.2232743</t>
  </si>
  <si>
    <t>IV4Y2</t>
  </si>
  <si>
    <t>WOS:001033682300001</t>
  </si>
  <si>
    <t>Kelly, TR; Fitzgibbon, QP; Smith, GG; Banks, TM; Ventura, T</t>
  </si>
  <si>
    <t>Kelly, Tara R.; Fitzgibbon, Quinn P.; Smith, Gregory G.; Banks, Thomas M.; Ventura, Tomer</t>
  </si>
  <si>
    <t>Tropical rock lobster (Panulirus ornatus) uses chemoreception via the antennular lateral flagellum to identify conspecific ecdysis</t>
  </si>
  <si>
    <t>CARIBBEAN SPINY LOBSTER; FEEDING-BEHAVIOR; PHYLLOSOMA LARVAE; OLFACTORY PATHWAY; STAGE PHYLLOSOMA; BLUE-CRAB; CRAYFISH; URINE; ARGUS; RECOGNITION</t>
  </si>
  <si>
    <t>The tropical rock lobster, Panulirus ornatus, is a commercially important aquaculture species exhibiting complex social interactions in laboratory culture, including cannibalism of moulting conspecifics. Cannibalism of soft-shelled post-moult stage individuals is a major limitation during the juvenile stage of culture. Not limited to P. ornatus, cannibalism is widespread across farmed decapods, limiting stocking densities in crab, freshwater crayfish, and prawn species. To understand the mechanisms driving this behaviour and reduce its prevalence, we have investigated the role of chemoreception via the aesthetasc-bearing region of the lateral antennular flagellum, in the recognition of conspecific moulting cues. Differential expression analysis of several tissues in P. ornatus shows an upregulation of 70 ionotropic receptor isoforms, including co-receptors (IR25a and IR93a) and divergent receptors (IR4, IR7, and IR21a) in the aesthetasc-bearing region of the antennules. Deafferentation of the aesthetascs via deionised water exposure prevents juveniles from responding to conspecific moulting cues in a two-current choice flume, suggesting chemoreception, possibly olfaction, plays a role in identifying moulting juveniles. This is the first step in understanding the mechanisms via which cannibalism is triggered in juvenile P. ornatus culture. Further work in this area will help discover means to limit cannibalism in laboratory and commercial culture.</t>
  </si>
  <si>
    <t>[Kelly, Tara R.; Fitzgibbon, Quinn P.; Smith, Gregory G.] Univ Tasmania, Inst Marine &amp; Antarctic Studies IMAS, Private Bag 49, Hobart, Tas 7001, Australia; [Banks, Thomas M.; Ventura, Tomer] Univ Sunshine Coast, Sch Sci Technol &amp; Engn, Ctr Bioinnovat, 4 Locked Bag, Maroochydore, Qld 4558, Australia</t>
  </si>
  <si>
    <t>University of Tasmania; University of the Sunshine Coast</t>
  </si>
  <si>
    <t>Ventura, T./H-9832-2019</t>
  </si>
  <si>
    <t>Ventura, T./0000-0002-0777-2367; Fitzgibbon, Quinn/0000-0002-1104-3052</t>
  </si>
  <si>
    <t>This research was conducted by the Australian Research Council Industrial Transformation Hub for Sustainable Onshore Lobster Aquaculture (project number IH190100014). The views expressed herein are those of the authors and are not necessarily those of the Australian Government or Australian Research Council. Thanks to Olga Demidow for tissue sample collection and RNA extraction. Thanks to our commercial partners at Ornatas for lobster culture, systems construction, and support.</t>
  </si>
  <si>
    <t>JUL 18</t>
  </si>
  <si>
    <t>10.1038/s41598-023-39567-8</t>
  </si>
  <si>
    <t>S0AM4</t>
  </si>
  <si>
    <t>WOS:001067885000066</t>
  </si>
  <si>
    <t>Iriarte, JL; Pizarro, G; Frangopulos, M</t>
  </si>
  <si>
    <t>Iriarte, Jose Luis; Pizarro, Gemita; Frangopulos, Maximo</t>
  </si>
  <si>
    <t>Harmful algal blooms in Patagonian fjords and channels systems: Recent advances, gaps, and priorities in a changing ocean</t>
  </si>
  <si>
    <t>Harmful algal blooms; Patagonian fjords; Toxins; Dinoflagellates; Diatoms; Biogeochemical processes</t>
  </si>
  <si>
    <t>PINNATOXINS</t>
  </si>
  <si>
    <t>[Iriarte, Jose Luis] Univ Austral Chile, Inst Acuicultura, Ave Bosque 01789, Punta Arenas, Chile; [Pizarro, Gemita] Inst Fomento Pesquero IFOP, Ctr Estudios Algas Noc CREAN, Enr Abello 0552, Punta Arenas, Chile; [Pizarro, Gemita; Frangopulos, Maximo] Univ Magallanes, Cape Horn Int Ctr CHIC, Puerto Williams, Chile; [Frangopulos, Maximo] Univ Magallanes, Ctr Invest GAIA Antart CIGA, Av Bulnes 01855, Punta Arenas, Chile; [Frangopulos, Maximo] Millennium Inst Biodivers Antarctic &amp; Subantarct E, Palmeras 3425, Santiago, Chile</t>
  </si>
  <si>
    <t>Universidad Austral de Chile; Instituto de Fomento Pesquero (Valparaiso); Universidad de Magallanes; Universidad de Magallanes</t>
  </si>
  <si>
    <t>Iriarte, JL (corresponding author), Univ Austral Chile, Inst Acuicultura, Ave Bosque 01789, Punta Arenas, Chile.</t>
  </si>
  <si>
    <t>jiriarte@uach.cl</t>
  </si>
  <si>
    <t>pizarro, gemita/0000-0003-2974-2609; frangopulos, maximo/0000-0002-6857-273X</t>
  </si>
  <si>
    <t>FONDAP IDEAL Center [ANID 15150003]; Program Prospeccion Glaciar-Oceanica de Floraciones Algales Nocivas en la region~~de Magallanes y Antartica Chilena-PROFAN Magallanes; [ANID AUB1900003]</t>
  </si>
  <si>
    <t>FONDAP IDEAL Center; Program Prospeccion Glaciar-Oceanica de Floraciones Algales Nocivas en la region~~de Magallanes y Antartica Chilena-PROFAN Magallanes;</t>
  </si>
  <si>
    <t>To promote and strengthen research between partnerships as well as to integrate environmental and HAB ecological studies in this large southernmost region, several regional institutions (Centro CREAN- Instituto de Fomento Pesquero, Universidad de Magallanes, Centro CIEP, Centro IDEAL-Universidad Austral de Chile) prepared this special issue that focuses on emerging HABs environmental-ecological studies in the region. We thank the financial support of FONDAP IDEAL Center (ANID 15150003) and Program Prospeccion Glaciar-Oceanica de Floraciones Algales Nocivas en la region &amp; nbsp;&amp; nbsp;de Magallanes y Antartica Chilena-PROFAN Magallanes (ANID AUB1900003) . We also thank the Under- secretary of Economy and Smaller Companies, Undersecretary of Fisheries (SUBPESCA) and Aquaculture, Fisheries Development Institute (IFOP) , who finance, allocate and execute, respectively, the Monitoring Program in the system of fjords and channels of Chile (Permanent Program in the framework of the Fisheries and Aquaculture Law No. 20,657) ; M. Frangopulos also thanks ANID - Millennium Science Initiative Program (ICN2021-002) and ANID BASAL (FB210018) , Cape Horn International Center (CHIC) , Universidad de Magallanes. Finally, we would like to thank Francisco Bahamonde for his help and collaboration with Figure 1. Special thanks go to the editor of Progress in Oceanography, Dr. Enrique Curchitser, for his support throughout the production process of this Special Issue. Many thanks to the captain and crews of R/V Cabo de Hornos , Armada de Chile, who assisted and supported on the field to successfully complete this study.</t>
  </si>
  <si>
    <t>10.1016/j.pocean.2023.103087</t>
  </si>
  <si>
    <t>P1EP8</t>
  </si>
  <si>
    <t>WOS:001048142600001</t>
  </si>
  <si>
    <t>Trathan, PN</t>
  </si>
  <si>
    <t>Trathan, Philip N.</t>
  </si>
  <si>
    <t>What is needed to implement a sustainable expansion of the Antarctic krill fishery in the Southern Ocean?</t>
  </si>
  <si>
    <t>CCAMLR; Decision-making; Krill fishery management; Marine Protected Areas; Climate change; Ecosystem monitoring</t>
  </si>
  <si>
    <t>CLIMATE-CHANGE; ECOSYSTEM; MANAGEMENT; EVOLUTION; WINNERS; DECLINE; SEA</t>
  </si>
  <si>
    <t>Policy differences amongst CCAMLR Members are increasingly affecting decision-making with regards to management of Southern Ocean fisheries. Major differences reflect differing interpretations of the Convention's primary objective: the conservation of marine living resources, where conservation includes rational use. The best available science historically informed decisions, but policy objectives are increasingly coming to the fore. Resolving how scientific evidence is used in decision-making is essential, given this has consequences for all management topics. In the southwest Atlantic, scientific evidence and how it is used is central to the controlled development of the Antarctic krill fishery. Much work has already been undertaken to allow catches to increase, but more is needed, including ensuring that, as yet untested, management procedures work as intended. Precautionary development should therefore now focus upon ensuring ecosystem resilience is not compromised. Generally, the area managed by CCAMLR experiences relatively light human pressures, yet with newly proposed krill catch limits, this is set to change. Before catches increase, appropriate ecosystem monitoring is needed, and spatial management tools agreed to ensure that biodiversity is adequately maintained, especially given regional climate change. Without such constraints, the krill fishery should not expand. An integrated programme could help CCAMLR adapt. In implementing this, CCAMLR should focus upon areas where economic interests are most intense, that is, over shelf areas and areas of elevated bathymetry. Large-scale remote areas with little economic interest should be set aside as closed areas, until such future time that CCAMLR has agreed appropriate ecological impact assessments and monitoring for these largely unexploited areas.</t>
  </si>
  <si>
    <t>[Trathan, Philip N.] Univ Southampton, Natl Oceanog Ctr Southampton, Sch Ocean &amp; Earth Sci, European Way, Southampton SO14 3ZH, England</t>
  </si>
  <si>
    <t>University of Southampton; NERC National Oceanography Centre</t>
  </si>
  <si>
    <t>Trathan, PN (corresponding author), Univ Southampton, Natl Oceanog Ctr Southampton, Sch Ocean &amp; Earth Sci, European Way, Southampton SO14 3ZH, England.</t>
  </si>
  <si>
    <t>p.trathan@soton.ac.uk</t>
  </si>
  <si>
    <t>Bloomberg Philanthropies Oceans Initiative and Oceans 5</t>
  </si>
  <si>
    <t>This work was made possible through the support of Bloomberg Philanthropies Oceans Initiative and Oceans 5, a sponsored project of Rockefeller Philanthropy Advisors. I would like to thank two anonymous referees for their valuable comments on earlier drafts of this paper. I also thank the many colleagues whose wisdom I appreciate and whose friendship I have enjoyed during the 30 years I contributed to CCAMLR through the UK Delegation.</t>
  </si>
  <si>
    <t>10.1016/j.marpol.2023.105770</t>
  </si>
  <si>
    <t>O9GQ9</t>
  </si>
  <si>
    <t>WOS:001046835300001</t>
  </si>
  <si>
    <t>Pecl, GT; Kelly, R; Lucas, C; van Putten, I; Badhe, R; Champion, C; Chen, IC; Defeo, O; Gaitan-Espitia, JD; Evengård, B; Fordham, DA; Guo, FY; Henriques, R; Henry, S; Lenoir, J; McGhie, H; Mustonen, T; Oliver, S; Pettorelli, N; Pinsky, ML; Potts, W; Santana-Garcon, J; Sauer, W; Stensgaard, AS; Tingley, MW; Verges, A</t>
  </si>
  <si>
    <t>Pecl, Gretta T.; Kelly, Rachel; Lucas, Chloe; van Putten, Ingrid; Badhe, Renuka; Champion, Curtis; Chen, I-Ching; Defeo, Omar; Gaitan-Espitia, Juan Diego; Evengard, Birgitta; Fordham, Damien A.; Guo, Fengyi; Henriques, Romina; Henry, Sabine; Lenoir, Jonathan; McGhie, Henry; Mustonen, Tero; Oliver, Stephen; Pettorelli, Nathalie; Pinsky, Malin L.; Potts, Warren; Santana-Garcon, Julia; Sauer, Warwick; Stensgaard, Anna-Sofie; Tingley, Morgan W.; Verges, Adriana</t>
  </si>
  <si>
    <t>Climate-driven 'species-on-the-move' provide tangible anchors to engage the public on climate change</t>
  </si>
  <si>
    <t>PEOPLE AND NATURE</t>
  </si>
  <si>
    <t>biodiversity; climate change communication; climate change engagement; environmental communication; human values; message framing; place attachment; species redistribution</t>
  </si>
  <si>
    <t>VALUES; INCREASE; SCIENCE; HEALTH; POLICY; TRUST; DISTRIBUTIONS; BIODIVERSITY; ENVIRONMENT; EMOTIONS</t>
  </si>
  <si>
    <t>1. Over recent decades, our understanding of climate change has accelerated greatly, but unfortunately, observable impacts have increased in tandem. Both mitigation and adaptation have not progressed at the level or scale warranted by our collective knowledge on climate change. More effective approaches to engage people on current and future anthropogenic climate change effects are urgently needed.2. Here, we show how species whose distributions are shifting in response to climate change, that is, 'species-on-the-move', present an opportunity to engage people with climate change by linking to human values, and our deep connections with the places in which we live, in a locally relevant yet globally coherent narrative.3. Species-on-the-move can impact ecosystem structure and function, food security, human health, livelihoods, culture and even the climate itself through feedback to the climate system, presenting a wide variety of potential pathways for people to understand that climate change affects them personally as individuals.4. Citizen science focussed on documenting changes in biodiversity is one approach to foster a deeper engagement on climate change. However, other possible avenues, which may offer potential to engage people currently unconnected with nature, include arts, games or collaborations with rural agriculture (e.g. new occurrences of pest species) or fisheries organisations (e.g. shifting stocks) or healthcare providers (e.g. changing distributions of disease vectors).5. Through the importance we place on the aspects of life impacted by the redistribution of species around us, species-on-the-move offer emotional pathways to connect with people on the complex issue of climate change in profound ways that have the potential to engender interest and action on climate change.</t>
  </si>
  <si>
    <t>[Pecl, Gretta T.; Kelly, Rachel; Lucas, Chloe; van Putten, Ingrid; Santana-Garcon, Julia] Univ Tasmania, Ctr Marine Socioecol, Hobart, Tas, Australia; [Pecl, Gretta T.; Kelly, Rachel] Univ Tasmania, Inst Marine &amp; Antarctic Studies, Hobart, Tas, Australia; [Kelly, Rachel; van Putten, Ingrid] CSIRO Oceans &amp; Atmosphere, Battery Point, Tas, Australia; [Kelly, Rachel] Mem Univ Newfoundland, Future Ocean &amp; Coastal Infrastruct Consortium, St John, NF, Canada; [Lucas, Chloe] Univ Tasmania, Sch Geog Planning &amp; Spatial Sci, Hobart, Tas, Australia; [Badhe, Renuka] European Polar Board, The Hague, Netherlands; [Champion, Curtis] Natl Marine Sci Ctr, NSW Dept Primary Ind, Fisheries Res, Coffs Harbour, NSW, Australia; [Champion, Curtis] Southern Cross Univ, Natl Marine Sci Ctr, Coffs Harbour, NSW, Australia; [Chen, I-Ching] Natl Cheng Kung Univ, Dept Life Sci, Tainan, Taiwan; [Defeo, Omar] UNDECIMAR, Fac Sci, Montevideo, Uruguay; [Gaitan-Espitia, Juan Diego] Univ Hong Kong, Swire Inst Marine Sci, Hong Kong, Peoples R China; [Gaitan-Espitia, Juan Diego] Univ Hong Kong, Sch Biol Sci, Hong Kong, Peoples R China; [Evengard, Birgitta] Umea Univ, Dept Clin Microbiol, Umea, Sweden; [Fordham, Damien A.] Univ Adelaide, Environm Inst, Adelaide, SA, Australia; [Fordham, Damien A.] Univ Adelaide, Sch Biol Sci, Adelaide, SA, Australia; [Fordham, Damien A.] Univ Copenhagen, GLOBE Inst, Ctr Macroecol Evolut &amp; Climate, Copenhagen, Denmark; [Guo, Fengyi] Princeton Univ, Dept Ecol &amp; Evolutionary Biol, Princeton, NJ USA; [Henriques, Romina] Tech Univ Denmark, Natl Inst Aquat Resources, Silkeborg, Denmark; [Henriques, Romina] Univ Pretoria, Dept Biochem Genet &amp; Microbiol, Marine Genom Grp, Hatfield, South Africa; [Henry, Sabine] Univ Namur, Dept Geog, Namur, Belgium; [Henry, Sabine] Univ Namur, Inst Life Earth &amp; Environm ILEE, Namur, Belgium; [Lenoir, Jonathan] Univ Picardie Jules Verne, UMR CNRS 7058, Ecol &amp; Dynam Syst Anthropises EDYSAN, Amiens, France; [McGhie, Henry] Curating Tomorrow, Liverpool, England; [Mustonen, Tero] Snowchange Cooperat, Selkie, Finland; [Oliver, Stephen] Australian Broadcasting Corp, Ultimo, NSW, Australia; [Pettorelli, Nathalie] Zool Soc London, Inst Zool, London, England; [Pinsky, Malin L.] Rutgers State Univ, Dept Ecol Evolut &amp; Nat Resources, New Brunswick, NJ USA; [Pinsky, Malin L.] Univ Calif Los Angeles, Dept Ecol &amp; Evolutionary Biol, Los Angeles, CA USA; [Potts, Warren; Sauer, Warwick] Rhodes Univ, Dept Ichthyol &amp; Fisheries Sci, Grahamstown, South Africa; [Santana-Garcon, Julia] Minderoo Fdn, Flourishing Oceans Initiat, Perth, Australia; [Stensgaard, Anna-Sofie] Univ Copenhagen, Dept Vet &amp; Anim Sci, Frederiksberg C, Denmark; [Verges, Adriana] UNSW Sydney, Ctr Marine Sci &amp; Innovat, Sch Biol Earth &amp; Environm Sci, Sydney, NSW, Australia</t>
  </si>
  <si>
    <t>University of Tasmania; University of Tasmania; Commonwealth Scientific &amp; Industrial Research Organisation (CSIRO); Memorial University Newfoundland; University of Tasmania; NSW Department of Primary Industries; Southern Cross University; Southern Cross University; National Cheng Kung University; University of Hong Kong; University of Hong Kong; Umea University; University of Adelaide; University of Adelaide; University of Copenhagen; Princeton University; Technical University of Denmark; University of Pretoria; University of Namur; University of Namur; Universite de Picardie Jules Verne (UPJV); Australian Broadcasting Corporation (ABC); Zoological Society of London; Rutgers University System; Rutgers University New Brunswick; University of California System; University of California Los Angeles; Rhodes University; Minderoo Foundation; University of Copenhagen; University of New South Wales Sydney</t>
  </si>
  <si>
    <t>Pecl, GT (corresponding author), Univ Tasmania, Ctr Marine Socioecol, Hobart, Tas, Australia.;Pecl, GT (corresponding author), Univ Tasmania, Inst Marine &amp; Antarctic Studies, Hobart, Tas, Australia.</t>
  </si>
  <si>
    <t>gretta.pecl@utas.edu.au</t>
  </si>
  <si>
    <t>Lucas, Chloe/E-7835-2019; Lenoir, Jonathan/AAE-8441-2019; Pettorelli, Nathalie/AAW-8438-2021; Verges, Adriana/B-8288-2013; Gaitan-Espitia, Juan Diego/A-9945-2012; Fordham, Damien A/E-9255-2013; Sauer, Warwick/GJI-2267-2022; Stensgaard, Anna-Sofie/B-9006-2015; Pecl, Gretta/D-7267-2011; Santana-Garcon, Julia/M-1410-2013</t>
  </si>
  <si>
    <t>Lucas, Chloe/0000-0002-0834-1622; Lenoir, Jonathan/0000-0003-0638-9582; Gaitan-Espitia, Juan Diego/0000-0001-8781-5736; Sauer, Warwick/0000-0002-9756-1757; Pettorelli, Nathalie/0000-0002-1594-6208; Kelly, Rachel/0000-0002-8364-1836; Badhe, Renuka/0000-0001-5255-744X; Stensgaard, Anna-Sofie/0000-0002-7858-7177; Pecl, Gretta/0000-0003-0192-4339; Henry, Sabine/0000-0002-7496-6313; Santana-Garcon, Julia/0000-0001-7961-3552</t>
  </si>
  <si>
    <t>Australian Research Council; Centre for Marine Socioecology; Commonwealth Scientific and Industrial Research Organisation; Institute for Marine and Antarctic Studies; National Research Foundation; NOAA Fisheries; Rhodes University; Snowchange; University of New South Wales; Australian Research Council Future Fellowship [FT140100596]</t>
  </si>
  <si>
    <t>Australian Research Council(Australian Research Council); Centre for Marine Socioecology; Commonwealth Scientific and Industrial Research Organisation(Commonwealth Scientific &amp; Industrial Research Organisation (CSIRO)); Institute for Marine and Antarctic Studies; National Research Foundation; NOAA Fisheries(National Oceanic Atmospheric Admin (NOAA) - USA); Rhodes University; Snowchange; University of New South Wales; Australian Research Council Future Fellowship(Australian Research Council)</t>
  </si>
  <si>
    <t>Australian Research Council; Centre for Marine Socioecology; Commonwealth Scientific and Industrial Research Organisation; Institute for Marine and Antarctic Studies; National Research Foundation; NOAA Fisheries; Rhodes University; Snowchange; University of New South WalesThis research was funded by an Australian Research Council Future Fellowship FT140100596, awarded to Gretta Pecl</t>
  </si>
  <si>
    <t>2575-8314</t>
  </si>
  <si>
    <t>PEOPLE NAT</t>
  </si>
  <si>
    <t>People Nat.</t>
  </si>
  <si>
    <t>2023 JUL 18</t>
  </si>
  <si>
    <t>10.1002/pan3.10495</t>
  </si>
  <si>
    <t>M6VT8</t>
  </si>
  <si>
    <t>WOS:001031581300001</t>
  </si>
  <si>
    <t>The future of the South Georgia and South Sandwich Islands marine protected area in a changing environment: The choice between industrial fisheries, or ecosystem protection</t>
  </si>
  <si>
    <t>CCAMLR; South Georgia and South Sandwich Islands; MPA; Industrial fisheries management; Recovery of baleen whale populations; Climate change; Protecting ecosystem biodiversity</t>
  </si>
  <si>
    <t>KRILL EUPHAUSIA-SUPERBA; TOOTHFISH DISSOSTICHUS-ELEGINOIDES; ANTARCTIC KRILL; INTERANNUAL VARIABILITY; CLIMATE-CHANGE; TRANSPORT PATHWAYS; BALEEN WHALES; BODY-SIZE; OCEAN; SEA</t>
  </si>
  <si>
    <t>South Georgia and the South Sandwich Islands (SGSSI) comprise an Overseas Territory of the UK. For over two centuries, the islands and surrounding waters were subject to serial over-exploitation of commercially valuable marine species. First seals, then whales, and later some species of fish were harvested to virtual economic extinction. Today, exploitation is strictly regulated: through the multilateral Convention on the Conservation of Antarctic Marine Living Resources; through the commercial whaling moratorium of the International Whaling Commission; and now, increasingly, through local sovereign government legislation. Commercial fisheries still operate for three species of fish and one species of crustacean, Antarctic krill. Here, I consider aspects of these fisheries, to help inform the current review of the SGSSI Marine Protected Area (MPA), highlighting how future management must take into account important ongoing changes in this biodiverse ecosystem. Two issues are of paramount importance: ongoing recovery of baleen whale species; and climate change. Both increase uncertainty for fisheries managers, so that considerations about their implications must now be directly included into the management of harvested and dependent species. With the recovery of some previously exploited species, and ongoing recovery of others, the MPA could now be managed with additional ecologically-appropriate large no -take areas, commensurate with increasing levels of ocean protection advocated for by a growing number of scientists and governments. Spatial protection reflecting the habitat use of baleen whales and their prey, krill, would, through umbrella protection, also protect other biodiversity integral to the operation of the marine ecosystem.</t>
  </si>
  <si>
    <t>Bloomberg Philanthropies Ocean Initiative and Oceans 5</t>
  </si>
  <si>
    <t>This work was made possible through the support of Bloomberg Philanthropies Ocean Initiative and Oceans 5, a sponsored project of Rockefeller Philanthropy Advisors.I would like to thank two anonymous referees for their valuable comments on an earlier draft of this paper. I also thank the many colleagues whose wisdom I appreciate and whose friendship I have enjoyed during the 30 years I contributed to CCAMLR through the UK Delegation.</t>
  </si>
  <si>
    <t>10.1016/j.marpol.2023.105773</t>
  </si>
  <si>
    <t>O9HP7</t>
  </si>
  <si>
    <t>WOS:001046860400001</t>
  </si>
  <si>
    <t>Sun, JH; Zhang, XR; Liang, YT; Zheng, KY; Kennedy, F; Han, MAX; Liu, G; Liu, YD; Wang, ZY; Chen, XC; Sung, YY; Mok, WJ; Wong, LL; McMinn, A; Wang, M</t>
  </si>
  <si>
    <t>Sun, Jianhua; Zhang, Xinran; Liang, Yantao; Zheng, Kaiyang; Kennedy, Fraser; Han, Meiaoxue; Liu, Gang; Liu, Yundan; Wang, Ziyue; Chen, Xuechao; Sung, Yeong Yik; Mok, Wen Jye; Wong, Li Lian; McMinn, Andrew; Wang, Min</t>
  </si>
  <si>
    <t>Abundance and ecological footprint of Pseudoalteromonas phage vB_PhoS_XC in the Ulva prolifera green tide</t>
  </si>
  <si>
    <t>bacteriophage; Pseudoalteromonas; Ulva prolifera blooms; genomic and meta-omics analysis; ecological footprint</t>
  </si>
  <si>
    <t>YELLOW SEA; STRUCTURAL INSIGHTS; HOST-RANGE; PROTEIN; GENOME; SEQUENCE; VIRUSES; PRIMASE; PYROPHOSPHOHYDROLASE; BACTERIOPHAGE-T4</t>
  </si>
  <si>
    <t>Pseudoalteromonas is a ubiquitous and abundant genus of marine bacteria commonly associated with algae. In this study, a novel siphoviral-morphological bacteriophage, vB_PhoS_XC, was isolated from the coastal seawaters of Qingdao (China) during a bloom of the Ulva prolifera (U. prolifera) green tide. The morphology of this phage (icosahedron head 51 &amp; PLUSMN; 1 nm in diameter; a tail length of 86 &amp; PLUSMN; 1 nm) was characterized through transmission electron microscope. The biological properties of this virus showed a short latent period (45 minutes), a large burst size (241 virions per cell) and a relatively wide range of temperatures/pH level tolerance (-20 &amp; DEG;C to 45 &amp; DEG;C and pH 4 to pH 10, respectively). The vB_PhoS_XC has a 46,490-bp double-stranded DNA genome with a G+C content of 40.0%, and encodes 72 open reading frames (ORFs). Thirty-five of these ORFs were assigned into known functions based on BLAST-based algorithm against NR database of GenBank. In addition, eco-genomic analysis provides the evidence of vB_PhoS_XC accompanied by bloom of U. prolifera, and confirmed the high expression of two phosphatase-metabolism-related auxiliary metabolic genes (AMGs). This study provides new insights into the functional and ecological roles of the Pseudoalteromonas phage vB_PhoS_XC, shedding light on the virological study approach combined with traditional isolation and meta-omics data.</t>
  </si>
  <si>
    <t>[Sun, Jianhua; Zhang, Xinran; Liang, Yantao; Zheng, Kaiyang; Han, Meiaoxue; Liu, Gang; Liu, Yundan; Wang, Ziyue; Chen, Xuechao; McMinn, Andrew; Wang, Min] Ocean Univ China, Frontiers Sci Ctr Deep Ocean Multispheres &amp; Earth, Key Lab Polar Oceanog &amp; Global Ocean Change, Coll Marine Life Sci,Inst Evolut &amp; Marine Biodiver, Qingdao, Peoples R China; [Sun, Jianhua; Zhang, Xinran; Liang, Yantao; Zheng, Kaiyang; Han, Meiaoxue; Liu, Gang; Liu, Yundan; Wang, Ziyue; Chen, Xuechao; McMinn, Andrew; Wang, Min] Ocean Univ China, Ctr Ocean Carbon Neutral, Qingdao, Peoples R China; [Liang, Yantao; Sung, Yeong Yik; Mok, Wen Jye; Wong, Li Lian; Wang, Min] Univ Malaysia Terengganu UMT Ocean Univ China OUC, Qingdao, Peoples R China; [Kennedy, Fraser; McMinn, Andrew] Univ Tasmania, Inst Marine &amp; Antarctic Studies, Hobart, Tas, Australia; [Sung, Yeong Yik; Mok, Wen Jye; Wong, Li Lian] Univ Malaysia Terengganu UMT, Inst Marine Biotechnol, Kuala Nerus, Malaysia; [Wang, Min] Ocean Univ China, Haide Coll, Qingdao, Peoples R China; [Wang, Min] Qingdao Univ, Affiliated Hosp, Qingdao, Peoples R China</t>
  </si>
  <si>
    <t>Ocean University of China; Ocean University of China; University of Tasmania; Universiti Malaysia Terengganu; Ocean University of China; Qingdao University</t>
  </si>
  <si>
    <t>Liang, YT; McMinn, A; Wang, M (corresponding author), Ocean Univ China, Frontiers Sci Ctr Deep Ocean Multispheres &amp; Earth, Key Lab Polar Oceanog &amp; Global Ocean Change, Coll Marine Life Sci,Inst Evolut &amp; Marine Biodiver, Qingdao, Peoples R China.;Liang, YT; McMinn, A; Wang, M (corresponding author), Ocean Univ China, Ctr Ocean Carbon Neutral, Qingdao, Peoples R China.;Liang, YT; Wang, M (corresponding author), Univ Malaysia Terengganu UMT Ocean Univ China OUC, Qingdao, Peoples R China.;McMinn, A (corresponding author), Univ Tasmania, Inst Marine &amp; Antarctic Studies, Hobart, Tas, Australia.;Wang, M (corresponding author), Ocean Univ China, Haide Coll, Qingdao, Peoples R China.;Wang, M (corresponding author), Qingdao Univ, Affiliated Hosp, Qingdao, Peoples R China.</t>
  </si>
  <si>
    <t>wong, li/ABF-6896-2021; yang, zhou/KBB-6972-2024; Wang, Min/AFR-9645-2022; chen, bin/KBQ-8114-2024; li, jixiang/JXN-7599-2024; Mok, Wen Jye/AAF-9229-2019; JIANG, Peng/KGL-3427-2024; Han, Yang/JVN-5921-2024</t>
  </si>
  <si>
    <t>wong, li/0000-0003-0649-2010; Wang, Min/0000-0002-2357-589X; chen, bin/0000-0002-3398-1314; Mok, Wen Jye/0000-0002-7629-8312; Yeong, Yik Sung/0000-0001-5897-9037</t>
  </si>
  <si>
    <t>Laoshan Laboratory [LSKJ202203201]; National Key Research and Development Program of China [2022YFC2807500]; Natural Science Foundation of China [42120104006, 41976117, 42176111]; Fundamental Research Funds for the Central Universities [202172002, 201812002, 202072001]</t>
  </si>
  <si>
    <t>Laoshan Laboratory; National Key Research and Development Program of China; Natural Science Foundation of China(National Natural Science Foundation of China (NSFC)); Fundamental Research Funds for the Central Universities(Fundamental Research Funds for the Central Universities)</t>
  </si>
  <si>
    <t>This work was supported by the Laoshan Laboratory (No. LSKJ202203201), National Key Research and Development Program of China (2022YFC2807500), Natural Science Foundation of China (No. 42120104006, 41976117 and 42176111), and the Fundamental Research Funds for the Central Universities (202172002, 201812002, 202072001 and AM).</t>
  </si>
  <si>
    <t>10.3389/fmars.2023.1201434</t>
  </si>
  <si>
    <t>N9XP0</t>
  </si>
  <si>
    <t>WOS:001040457700001</t>
  </si>
  <si>
    <t>Garat, LM; Talevi, M; Hospitaleche, CA</t>
  </si>
  <si>
    <t>Garat, Luis Marcial; Talevi, Marianella; Hospitaleche, Carolina Acosta</t>
  </si>
  <si>
    <t>Osteohistology of the Antarctic penguin Pygoscelis adeliae (Aves, Sphenisciformes): definitive evidence of medullary bone</t>
  </si>
  <si>
    <t>Adelie penguin; Spheniscidae; Bone microanatomy; Bone histology; Sexual differences; Antarctic Peninsula</t>
  </si>
  <si>
    <t>GROWTH; EOCENE; MICROSTRUCTURE; EVOLUTION; SKELETON; SEX</t>
  </si>
  <si>
    <t>Osteohistological studies allow us to obtain valuable information on different aspects related to the bone microstructure, physiology and ecology of organisms. Although the anatomy and morphology of penguin bones are well known, studies in osteohistology are still insufficient. In order to analyze the osteohistological variations between male and female adults of Pygoscelis adeliae (Aves, Spheniscidae), histological sections were prepared from various bones including appendicular (humerus, radius, ulna, carpometacarpus, femur, tibiotarsus, tarsometatarsus) and axial (vertebral and sternal ribs) elements. The results indicate that all sections showed compact tissue with reduced or absent medullary cavities and high bone density due to internal tissue compaction. Histologically, we identified three distinct tissue regions based on their bone matrix, vascular channels organization and compactions degree. Our results indicate osteohistological variations between sexes throughout the whole skeleton, including the first definitive evidence of medullary bone in the Sphenisciformes females. While the male specimen exhibited a medullary cavity characterized by an inner circumferential layer, the female displayed a medullary region without an inner circumferential layer, lower bone compaction, presence of medullary bone in all the sections, and greater development of intertrabecular spaces. These results are consistent with previous reports of medullary bone in females from other birds and provided an auxiliary criterion for sex differentiation.</t>
  </si>
  <si>
    <t>[Garat, Luis Marcial; Talevi, Marianella] Univ Nacl Rio Negro, Inst Invest Paleobiol &amp; Geol, Ave Roca 1242,R8332EXZ, Rio Negro, Argentina; [Hospitaleche, Carolina Acosta] Museo La Plata, Div Paleontol Vertebrados, Paseo Bosque S-N,B1900FWA, La Plata, Buenos Aires, Argentina; [Garat, Luis Marcial; Talevi, Marianella; Hospitaleche, Carolina Acosta] Consejo Nacl Invest Cient &amp; Tecnol CONICET, Buenos Aires, Buenos Aires, Argentina</t>
  </si>
  <si>
    <t>National University of La Plata; Museo La Plata; Consejo Nacional de Investigaciones Cientificas y Tecnicas (CONICET)</t>
  </si>
  <si>
    <t>Garat, LM (corresponding author), Univ Nacl Rio Negro, Inst Invest Paleobiol &amp; Geol, Ave Roca 1242,R8332EXZ, Rio Negro, Argentina.;Garat, LM (corresponding author), Consejo Nacl Invest Cient &amp; Tecnol CONICET, Buenos Aires, Buenos Aires, Argentina.</t>
  </si>
  <si>
    <t>lgarat@unrn.edu.ar</t>
  </si>
  <si>
    <t>Garat, Luis Marcial/0000-0002-4215-8610; Acosta Hospitaleche, Carolina/0000-0002-2614-1448</t>
  </si>
  <si>
    <t>10.1007/s00300-023-03176-y</t>
  </si>
  <si>
    <t>WOS:001031364500002</t>
  </si>
  <si>
    <t>Clark, MS; Shabtay, A; Waters, ER; Truebano, M</t>
  </si>
  <si>
    <t>Clark, Melody S. S.; Shabtay, Ariel; Waters, Elizabeth R. R.; Truebano, Manuela</t>
  </si>
  <si>
    <t>Organisms in a changing world</t>
  </si>
  <si>
    <t>CELL STRESS &amp; CHAPERONES</t>
  </si>
  <si>
    <t>[Clark, Melody S. S.] NERC, British Antarctic Survey, High Cross,Madingley Rd, Cambridge CB3 OET, England; [Shabtay, Ariel] Newe Yaar Res Ctr, Ramat Yishay, Israel; [Waters, Elizabeth R. R.] San Diego State Univ, Dept Biol, 5500 Campanile Dr, San Diego, CA 92182 USA; [Truebano, Manuela] Univ Plymouth, Marine Biol &amp; Ecol Res Ctr, Sch Biol &amp; Marine Sci, Drake Circus, Plymouth PL4 8AA, England</t>
  </si>
  <si>
    <t>UK Research &amp; Innovation (UKRI); Natural Environment Research Council (NERC); NERC British Antarctic Survey; California State University System; San Diego State University; University of Plymouth</t>
  </si>
  <si>
    <t>Clark, MS (corresponding author), NERC, British Antarctic Survey, High Cross,Madingley Rd, Cambridge CB3 OET, England.</t>
  </si>
  <si>
    <t>mscl@bas.ac.uk</t>
  </si>
  <si>
    <t>Clark, Melody S/D-7371-2014</t>
  </si>
  <si>
    <t>1355-8145</t>
  </si>
  <si>
    <t>1466-1268</t>
  </si>
  <si>
    <t>CELL STRESS CHAPERON</t>
  </si>
  <si>
    <t>Cell Stress Chaperones</t>
  </si>
  <si>
    <t>10.1007/s12192-023-01365-6</t>
  </si>
  <si>
    <t>Cell Biology</t>
  </si>
  <si>
    <t>HY5T9</t>
  </si>
  <si>
    <t>WOS:001032547200001</t>
  </si>
  <si>
    <t>Balter-Kennedy, A; Schaefer, JM; Schwartz, R; Lamp, JL; Penrose, L; Middleton, J; Hanley, J; Tibari, B; Blard, PH; Winckler, G; Hidy, AJ; Balco, G</t>
  </si>
  <si>
    <t>Balter-Kennedy, Allie; Schaefer, Joerg M.; Schwartz, Roseanne; Lamp, Jennifer L.; Penrose, Laura; Middleton, Jennifer; Hanley, Jean; Tibari, Bouchaib; Blard, Pierre-Henri; Winckler, Gisela; Hidy, Alan J.; Balco, Greg</t>
  </si>
  <si>
    <t>Cosmogenic 10Be in pyroxene: laboratory progress, production rate systematics, and application of the 10Be-3He nuclide pair in the Antarctic Dry Valleys</t>
  </si>
  <si>
    <t>GEOCHRONOLOGY</t>
  </si>
  <si>
    <t>SURFACE EXPOSURE AGES; SIRIUS GROUP; ICE-SHEET; TRANSANTARCTIC MOUNTAINS; GLACIER FLUCTUATIONS; HE-3; AL-26; QUARTZ; RADIONUCLIDES; CALIBRATION</t>
  </si>
  <si>
    <t>Here, we present cosmogenic Be-10 and He-3 data from Ferrar dolerite pyroxenes in surficial rock samples and a bedrock core from the McMurdo Dry Valleys, Antarctica, with the goal of refining the laboratory methods for extracting beryllium from pyroxene, further estimating the Be-10 production rate in pyroxene, and demonstrating the applicability of the Be-10-He-3 in mafic rock. The ability to routinely measure cosmogenic Be-10 in pyroxene will open new opportunities for quantifying exposure durations and Earth surface processes in mafic rocks. We describe scalable laboratory methods for isolating beryllium from pyroxene, which includes a simple hydrofluoric acid leaching procedure for removing meteoric Be-10, and the addition of a pH 8 precipitation step to reduce the cation load prior to ion exchange chromatography. Be-10 measurements in pyroxene from the surface samples have apparent He-3 exposure ages of 1-6 Ma. We estimate a spallation production rate for Be-10 in pyroxene, referenced to He-3, of 3.6 +/- 0.2 atoms g(-1) yr(-1). Be-10 and He-3 measurements in the bedrock core yield initial estimates for parameters associated with Be-10 and He-3 production by negative muon capture (f(10)(* )= 0.00183 and f(3)* f(C) f(D) = 0.00337). Next, we demonstrate that the Be-10-He-3 pair in pyroxene can be used to simultaneously resolve erosion rates and exposure ages, finding that the measured cosmogenic-nuclide concentrations in our surface samples are best explained by 2-8 Ma of exposure at erosion rates of 0-35 cm Myr(-1). Finally, given the low Be-10 in our laboratory blanks (average of 5.7 x 10(4) atoms), the reported measurement precision, and our estimated production rate, it should be possible to measure 2 g samples with Be-10 concentrations of 6 x 10(4) atoms g(-1) and 1.5 x 10(4) atoms g(-1) with 5 and 15% uncertainty, respectively. With this level of precision, Last Glacial Maximum to Late Holocene surfaces can now be dated with Be-10 in pyroxene. Application of Be-10 in pyroxene, alone or in combination with He-3, will expand possibilities for investigating glacial histories and landscape change in mafic rock.</t>
  </si>
  <si>
    <t>[Balter-Kennedy, Allie; Schaefer, Joerg M.; Schwartz, Roseanne; Lamp, Jennifer L.; Penrose, Laura; Middleton, Jennifer; Hanley, Jean; Winckler, Gisela] Columbia Univ, Lamont Doherty Earth Observ, Palisades, NY 10964 USA; [Balter-Kennedy, Allie; Schaefer, Joerg M.; Winckler, Gisela] Columbia Univ, Dept Earth &amp; Environm Sci, New York, NY 10027 USA; [Tibari, Bouchaib; Blard, Pierre-Henri] Univ Lorraine, CRPG, CNRS, F-54000 Nancy, France; [Hidy, Alan J.] Lawrence Livermore Natl Lab, Dept Ctr Accelerator Mass Spectrometry, Livermore, CA 94550 USA; [Balco, Greg] Berkeley Geochronol Ctr, Berkeley, CA 94709 USA</t>
  </si>
  <si>
    <t>Columbia University; Columbia University; Centre National de la Recherche Scientifique (CNRS); Universite de Lorraine; United States Department of Energy (DOE); Lawrence Livermore National Laboratory; Berkeley Geochronolgy Center</t>
  </si>
  <si>
    <t>Balter-Kennedy, A (corresponding author), Columbia Univ, Lamont Doherty Earth Observ, Palisades, NY 10964 USA.</t>
  </si>
  <si>
    <t>abalter@ldeo.columbia.edu</t>
  </si>
  <si>
    <t>Balter-Kennedy, Allie/0000-0002-7828-7174</t>
  </si>
  <si>
    <t>National Science Foundation [LLNL-JRNL-842145]; LLNL [DE-AC52-07NA27344]</t>
  </si>
  <si>
    <t>National Science Foundation(National Science Foundation (NSF)); LLNL</t>
  </si>
  <si>
    <t>We would like to acknowledge John Stone for kindly providing samples from the Labyrinth Core. This is LLNL-JRNL-842145, prepared in part by LLNL under contract DE-AC52-07NA27344. We would like to thank Dave Walker for help with calculating the mineral composition of the pyroxene samples.</t>
  </si>
  <si>
    <t>2628-3719</t>
  </si>
  <si>
    <t>Geochronology</t>
  </si>
  <si>
    <t>JUL 17</t>
  </si>
  <si>
    <t>10.5194/gchron-5-301-2023</t>
  </si>
  <si>
    <t>Geochemistry &amp; Geophysics; Geosciences, Multidisciplinary</t>
  </si>
  <si>
    <t>Geochemistry &amp; Geophysics; Geology</t>
  </si>
  <si>
    <t>HV8K0</t>
  </si>
  <si>
    <t>WOS:001162372500001</t>
  </si>
  <si>
    <t>Galván, V; Pascutti, F; Sandoval, NE; Lanfranconi, MP; Lozada, M; Arabolaza, AL; Cormack, WPM; Alvarez, HM; Gramajo, HC; Dionisi, HM</t>
  </si>
  <si>
    <t>Galvan, Virginia; Pascutti, Federico; Sandoval, Natalia E. E.; Lanfranconi, Mariana P. P.; Lozada, Mariana; Arabolaza, Ana L. L.; Cormack, Walter P. Mac P.; Alvarez, Hector M.; Gramajo, Hugo C. C.; Dionisi, Hebe M. M.</t>
  </si>
  <si>
    <t>High wax ester and triacylglycerol biosynthesis potential in coastal sediments of Antarctic and Subantarctic environments</t>
  </si>
  <si>
    <t>SYNTHASE/ACYL COENZYME-A; MARINOBACTER-AQUAEOLEI VT8; SP-NOV.; DIACYLGLYCEROL ACYLTRANSFERASE; GEN. NOV.; MICROTHRIX-PARVICELLA; METAGENOMIC ANALYSIS; IDENTIFICATION; ACCUMULATION; DIVERSITY</t>
  </si>
  <si>
    <t>The wax ester (WE) and triacylglycerol (TAG) biosynthetic potential of marine microorganisms is poorly understood at the microbial community level. The goal of this work was to uncover the prevalence and diversity of bacteria with the potential to synthesize these neutral lipids in coastal sediments of two high latitude environments, and to characterize the gene clusters related to this process. Homolog sequences of the key enzyme, the wax ester synthase/acyl-CoA:diacylglycerol acyltransferase (WS/DGAT) were retrieved from 13 metagenomes, including subtidal and intertidal sediments of a Subantarctic environment (Ushuaia Bay, Argentina), and subtidal sediments of an Antarctic environment (Potter Cove, Antarctica). The abundance of WS/DGAT homolog sequences in the sediment metagenomes was 1.23 &amp; PLUSMN; 0.42 times the abundance of 12 single-copy genes encoding ribosomal proteins, higher than in seawater (0.13 &amp; PLUSMN; 0.31 times in 338 metagenomes). Homolog sequences were highly diverse, and were assigned to the Pseudomonadota, Actinomycetota, Bacteroidota and Acidobacteriota phyla. The genomic context of WS/DGAT homologs included sequences related to WE and TAG biosynthesis pathways, as well as to other related pathways such as fatty-acid metabolism, suggesting carbon recycling might drive the flux to neutral lipid synthesis. These results indicate the presence of abundant and taxonomically diverse bacterial populations with the potential to synthesize lipid storage compounds in marine sediments, relating this metabolic process to bacterial survival.</t>
  </si>
  <si>
    <t>[Galvan, Virginia; Pascutti, Federico; Arabolaza, Ana L. L.; Gramajo, Hugo C. C.] Inst Biol Mol &amp; Celular Rosario IBR CONICET, FBIOyF UNR, Rosario, Santa Fe, Argentina; [Sandoval, Natalia E. E.; Lanfranconi, Mariana P. P.; Alvarez, Hector M.] Inst Biociencias Patagonia INBIOP UNPSJB CONICET, Comodoro Rivadavia, Chubut, Argentina; [Lozada, Mariana] Inst Biol Organismos Marinos IBIOMAR CONICET, Puerto Madryn, Chubut, Argentina; [Cormack, Walter P. Mac P.] Inst Nanobiotecnol NANOBIOTEC UBA CONICET, Buenos Aires, DF, Argentina; [Cormack, Walter P. Mac P.] Inst Antart Argentino IAA, San Martin, Buenos Aires, Argentina; [Dionisi, Hebe M. M.] Ctr Estudio Sistemas Marinos CESIMAR CONICET, Puerto Madryn, Chubut, Argentina</t>
  </si>
  <si>
    <t>Dionisi, HM (corresponding author), Ctr Estudio Sistemas Marinos CESIMAR CONICET, Puerto Madryn, Chubut, Argentina.</t>
  </si>
  <si>
    <t>hdionisi@cenpat-conicet.gob.ar</t>
  </si>
  <si>
    <t>Dionisi, Hebe Monica/0000-0002-8075-2311; Arabolaza, Ana/0000-0003-2347-8691</t>
  </si>
  <si>
    <t>Agencia Nacional de Promocion de la Investigacion, el Desarrollo Tecnologico y la Innovacion [PICT-2016-2101]; Proyectos de Investigacion Plurianuales del Consejo Nacional de Investigaciones Cientificas y Tecnicas [PIP 112 20080101736]; Proyectos de Investigacion y Desarrollo Tecnologico de la Iniciativa Pampa Azul; Community Science Program; Office of Science of the U.S. Department of Energy [DE-AC02-05CH11231]</t>
  </si>
  <si>
    <t>Agencia Nacional de Promocion de la Investigacion, el Desarrollo Tecnologico y la Innovacion; Proyectos de Investigacion Plurianuales del Consejo Nacional de Investigaciones Cientificas y Tecnicas; Proyectos de Investigacion y Desarrollo Tecnologico de la Iniciativa Pampa Azul; Community Science Program; Office of Science of the U.S. Department of Energy(United States Department of Energy (DOE))</t>
  </si>
  <si>
    <t>This research was supported by the following grants: Agencia Nacional de Promocion de la Investigacion, el Desarrollo Tecnologico y la Innovacion (PICT-2016-2101, https://www. argentina.gob.ar/ciencia/agencia, HMD), Proyectos de Investigacion Plurianuales del Consejo Nacional de Investigaciones Cientificas y Tecnicas (PIP 112- 200801-01736, https://convocatorias.conicet.gov. ar/proyectos-pip/, HMD), Proyectos de Investigacion y Desarrollo Tecnologico de la Iniciativa Pampa Azul (C20, https://www.argentina. gob.ar/ciencia/financiamiento/pidtpa2021, HMD) and Community Science Program (award DOI 10. 46936/10.25585/60007348, https://jgi.doe.gov/user-programs/program-info/csp-overview/, HMD) conducted by the U.S. Department of Energy Joint Genome Institute (https://ror.org/04xm1d337), a DOE Office of Science User Facility, supported by the Office of Science of the U.S. Department of Energy operated under Contract No. DE-AC02-05CH11231. The funders had no role in study design, data collection and analysis, decision to publish, or preparation of the manuscript.</t>
  </si>
  <si>
    <t>e0288509</t>
  </si>
  <si>
    <t>10.1371/journal.pone.0288509</t>
  </si>
  <si>
    <t>N1PM5</t>
  </si>
  <si>
    <t>WOS:001034815900033</t>
  </si>
  <si>
    <t>Frémand, AC; Fretwell, P; Bodart, JA; Pritchard, HD; Aitken, A; Bamber, JL; Bell, R; Bianchi, C; Bingham, RG; Blankenship, DD; Casassa, G; Catania, G; Christianson, K; Conway, H; Corr, HFJ; Cui, XB; Damaske, D; Damm, V; Drews, R; Eagles, G; Eisen, O; Eisermann, H; Ferraccioli, F; Field, E; Forsberg, R; Franke, S; Fujita, S; Gim, Y; Goel, V; Gogineni, SP; Greenbaum, J; Hills, B; Hindmarsh, RCA; Hoffman, AO; Holmlund, P; Holschuh, N; Holt, JW; Horlings, AN; Humbert, A; Jacobel, RW; Jansen, D; Jenkins, A; Jokat, W; Jordan, T; King, E; Kohler, J; Krabill, W; Gillespie, MK; Langley, K; Lee, JH; Leitchenkov, G; Leuschen, C; Luyendyk, B; MacGregor, J; MacKie, E; Matsuoka, K; Morlighem, M; Mouginot, J; Nitsche, FO; Nogi, Y; Nost, OA; Paden, J; Pattyn, F; Popov, SV; Rignot, E; Rippin, DM; Rivera, A; Roberts, J; Ross, N; Ruppel, A; Schroeder, DM; Siegert, MJ; Smith, AM; Steinhage, D; Studinger, M; Sun, B; Tabacco, I; Tinto, K; Urbini, S; Vaughan, D; Welch, BC; Wilson, DS; Young, DA; Zirizzotti, A</t>
  </si>
  <si>
    <t>Fremand, Alice C.; Fretwell, Peter; Bodart, Julien A.; Pritchard, Hamish D.; Aitken, Alan; Bamber, Jonathan L.; Bell, Robin; Bianchi, Cesidio; Bingham, Robert G.; Blankenship, Donald D.; Casassa, Gino; Catania, Ginny; Christianson, Knut; Conway, Howard; Corr, Hugh F. J.; Cui, Xiangbin; Damaske, Detlef; Damm, Volkmar; Drews, Reinhard; Eagles, Graeme; Eisen, Olaf; Eisermann, Hannes; Ferraccioli, Fausto; Field, Elena; Forsberg, Rene; Franke, Steven; Fujita, Shuji; Gim, Yonggyu; Goel, Vikram; Gogineni, Siva Prasad; Greenbaum, Jamin; Hills, Benjamin; Hindmarsh, Richard C. A.; Hoffman, Andrew O.; Holmlund, Per; Holschuh, Nicholas; Holt, John W.; Horlings, Annika N.; Humbert, Angelika; Jacobel, Robert W.; Jansen, Daniela; Jenkins, Adrian; Jokat, Wilfried; Jordan, Tom; King, Edward; Kohler, Jack; Krabill, William; Gillespie, Mette Kusk; Langley, Kirsty; Lee, Joohan; Leitchenkov, German; Leuschen, Carlton; Luyendyk, Bruce; MacGregor, Joseph; MacKie, Emma; Matsuoka, Kenichi; Morlighem, Mathieu; Mouginot, Jeremie; Nitsche, Frank O.; Nogi, Yoshifumi; Nost, Ole A.; Paden, John; Pattyn, Frank; Popov, Sergey V.; Rignot, Eric; Rippin, David M.; Rivera, Andres; Roberts, Jason; Ross, Neil; Ruppel, Anotonia; Schroeder, Dustin M.; Siegert, Martin J.; Smith, Andrew M.; Steinhage, Daniel; Studinger, Michael; Sun, Bo; Tabacco, Ignazio; Tinto, Kirsty; Urbini, Stefano; Vaughan, David; Welch, Brian C.; Wilson, Douglas S.; Young, Duncan A.; Zirizzotti, Achille</t>
  </si>
  <si>
    <t>Antarctic Bedmap data: Findable, Accessible, Interoperable, and Reusable (FAIR) sharing of 60 years of ice bed, surface, and thickness data</t>
  </si>
  <si>
    <t>SEA-LEVEL RISE; SHEET; DISCHARGE; CLIMATE; REGION; MODEL; LAND</t>
  </si>
  <si>
    <t>One of the key components of this research has been the mapping of Antarctic bed topography and ice thickness parameters that are crucial for modelling ice flow and hence for predicting future ice loss and the ensuing sea level rise. Supported by the Scientific Committee on Antarctic Research (SCAR), the Bedmap3 Action Group aims not only to produce new gridded maps of ice thickness and bed topography for the international scientific community, but also to standardize and make available all the geophysical survey data points used in producing the Bedmap gridded products. Here, we document the survey data used in the latest iteration, Bedmap3, incorporating and adding to all of the datasets previously used for Bedmap1 and Bedmap2, including ice bed, surface and thickness point data from all Antarctic geophysical campaigns since the 1950s. More specifically, we describe the processes used to standardize and make these and future surveys and gridded datasets accessible under the Findable, Accessible, Interoperable, and Reusable (FAIR) data principles. With the goals of making the gridding process reproducible and allowing scientists to re-use the data freely for their own analysis, we introduce the new SCAR Bedmap Data Portal (https://bedmap.scar.org, last access: 1 March 2023) created to provide unprecedented open access to these important datasets through a web-map interface. We believe that this data release will be a valuable asset to Antarctic research and will greatly extend the life cycle of the data held within it. Data are available from the UK Polar Data Centre: https://data.bas.ac.uk (last access: 5 May 2023 ). See the Data availability section for the complete list of datasets.</t>
  </si>
  <si>
    <t>[Fremand, Alice C.; Fretwell, Peter; Bodart, Julien A.; Pritchard, Hamish D.; Corr, Hugh F. J.; Ferraccioli, Fausto; Field, Elena; Hindmarsh, Richard C. A.; Jordan, Tom; King, Edward; Smith, Andrew M.; Vaughan, David] British Antarctic Survey, Cambridge, England; [Bodart, Julien A.; Bingham, Robert G.] Univ Edinburgh, Sch GeoSci, Edinburgh, Scotland; [Aitken, Alan] Univ Western Australia, Sch Earth Sci, Perth, Australia; [Bamber, Jonathan L.] Univ Bristol, Sch Geog Sci, Bristol, England; [Bell, Robin; Hoffman, Andrew O.; Nitsche, Frank O.; Tinto, Kirsty] Columbia Univ, Lamont Doherty Earth Observ, Palisades, NY USA; [Bianchi, Cesidio; Tabacco, Ignazio; Urbini, Stefano; Zirizzotti, Achille] Ist Nazl Geofis &amp; Vulcanol, Rome, Italy; [Blankenship, Donald D.; Catania, Ginny; Young, Duncan A.] Univ Texas Austin, Inst Geophys, Austin, TX USA; [Casassa, Gino] Gen Directorate Water DGA, Santiago, Chile; [Christianson, Knut; Conway, Howard; Horlings, Annika N.] Univ Washington, Earth &amp; Space Sci, Seattle, WA USA; [Cui, Xiangbin; Sun, Bo] Polar Res Inst China, Shanghai, Peoples R China; [Damaske, Detlef; Damm, Volkmar; Ruppel, Anotonia] Bundesanstalt Geowissensch &amp; Rohstoffe, Hannover, Germany; [Drews, Reinhard] Tubingen Univ, Dept Geosci, Tubingen, Germany; [Eagles, Graeme; Eisen, Olaf; Eisermann, Hannes; Franke, Steven; Humbert, Angelika; Jokat, Wilfried; Steinhage, Daniel] Helmholtz Ctr Polar &amp; Marine Res, Alfred Wegener Inst, Bremerhaven, Germany; [Ferraccioli, Fausto] Ist Nazl Oceanog &amp; Geofis Sperimentale, Trieste, Italy; [Forsberg, Rene] DTU Space, Lyngby, Denmark; [Fujita, Shuji; Nogi, Yoshifumi] Natl Inst Polar Res, Tokyo, Japan; [Gim, Yonggyu; Rignot, Eric] CALTECH, Jet Prop Lab, Pasadena, CA USA; [Goel, Vikram] Minist Earth Sci, Natl Ctr Polar &amp; Ocean Res NCPOR, Vasco Da Gama 403804, Goa, India; [Gogineni, Siva Prasad] Univ Alabama, Tuscaloosa, AL 35487 USA; [Greenbaum, Jamin] Scripps Inst Oceanog, La Jolla, CA USA; [Hills, Benjamin] Univ Washington, Dept Earth &amp; Space Sci, Seattle, WA USA; [Holmlund, Per] Stockholm Univ, Stockholm, Sweden; [Holschuh, Nicholas] Amherst Coll, Amherst, MA USA; [Holt, John W.] Univ Arizona, Tucson, AZ USA; [Jacobel, Robert W.; Welch, Brian C.] St Olaf Coll, Northfield, MN 55057 USA; [Jenkins, Adrian] Northumbria Univ, Newcastle, England; [Kohler, Jack] Norwegian Polar Res Inst, Fram Ctr, Tromso, Norway; [Krabill, William] NASA, Wattsville, VA USA; [Langley, Kirsty] Asiaq, Greenland Survey, Nuuk, Greenland; [Lee, Joohan] Korean Polar Res Inst, Incheon, South Korea; [Leitchenkov, German] Inst Geol &amp; Mineral Resources World Ocean, St Petersburg, Russia; [Leuschen, Carlton; Paden, John] Univ Kansas, Ctr Remote Sensing Ice Sheets, Lawrence, KS USA; [Luyendyk, Bruce] Univ Calif Santa Barbara, Earth Res Inst, Santa Barbara, CA USA; [MacGregor, Joseph] NASA, Cryospher Sci Lab, Goddard Space Flight Ctr, Greenbelt, MD USA; [MacKie, Emma; Schroeder, Dustin M.] Stanford Univ, Dept Geophys, Stanford, CA USA; [Matsuoka, Kenichi] Oceanbox Io, Tromso, Norway; [Morlighem, Mathieu] Dartmouth Coll, Dept Earth Sci, Hanover, NH USA; [Mouginot, Jeremie; Rignot, Eric] Univ Calif Irvine, Dept Earth Syst Sci, Irvine, CA USA; [Pattyn, Frank] Univ Libre Bruxelles, Lab Glaciol, Brussels, Belgium; [Popov, Sergey V.] Polar Marine Geosurvey Expedit, St Petersburg, Russia; [Gillespie, Mette Kusk] Western Norway Univ Appl Sci, Bergen, Norway; [Rippin, David M.] Univ York, Dept Environm &amp; Geog, York, England; [Rivera, Andres] Univ Chile, Dept Geog, Santiago, Chile; [Roberts, Jason] Univ Tasmania, Inst Marine &amp; Antarctic Studies, Australian Antarctic Program Partnership, Hobart, Australia; [Ross, Neil] Newcastle Univ, Sch Geog Polit &amp; Sociol, Newcastle Upon Tyne, England; [Siegert, Martin J.] Imperial Coll London, Grantham Inst, London, England; [Siegert, Martin J.] Imperial Coll London, Dept Earth Sci &amp; Engn, London, England; [Studinger, Michael] NASA, Goddard Space Flight Ctr, Greenbelt, MD USA; [Wilson, Douglas S.] Univ Calif Santa Barbara, Marine Sci Inst, Santa Barbara, CA USA; [Bamber, Jonathan L.] Tech Univ Munich, Dept Aerosp &amp; Geodesy, Munich, Germany; [Eisen, Olaf; Humbert, Angelika; Jokat, Wilfried] Univ Bremen, Dept Geosci, Bremen, Germany; [MacKie, Emma] Univ Florida, Dept Geol Sci, Gainesville, FL USA; [Mouginot, Jeremie] Univ Grenoble Alpes, CNRS, IRD, Grenoble INP,IGE, Grenoble, France; [Rignot, Eric] Univ Calif Irvine, Dept Civil &amp; Environm Engn, Irvine, CA USA; [Roberts, Jason] Australian Antarctic Div, Kingston, Australia; [Schroeder, Dustin M.] Stanford Univ, Dept Elect Engn, Stanford, CA USA; [Casassa, Gino] Univ Magallanes, Punta Arenas, Chile</t>
  </si>
  <si>
    <t>UK Research &amp; Innovation (UKRI); Natural Environment Research Council (NERC); NERC British Antarctic Survey; University of Edinburgh; University of Western Australia; University of Bristol; Columbia University; Istituto Nazionale Geofisica e Vulcanologia (INGV); University of Texas System; University of Texas Austin; University of Washington; University of Washington Seattle; Polar Research Institute of China; Eberhard Karls University of Tubingen; Helmholtz Association; Alfred Wegener Institute, Helmholtz Centre for Polar &amp; Marine Research; Istituto Nazionale di Oceanografia e di Geofisica Sperimentale; Technical University of Denmark; Research Organization of Information &amp; Systems (ROIS); National Institute of Polar Research (NIPR) - Japan; National Aeronautics &amp; Space Administration (NASA); NASA Jet Propulsion Laboratory (JPL); California Institute of Technology; Ministry of Earth Sciences (MoES) - India; National Centre for Polar and Ocean Research (NCPOR); University of Alabama System; University of Alabama Tuscaloosa; University of California System; University of California San Diego; Scripps Institution of Oceanography; University of Washington; University of Washington Seattle; Stockholm University; Amherst College; University of Arizona; Saint Olaf College; Northumbria University; Norwegian Polar Institute; National Aeronautics &amp; Space Administration (NASA); University of Kansas; University of California System; University of California Santa Barbara; National Aeronautics &amp; Space Administration (NASA); NASA Goddard Space Flight Center; Stanford University; Dartmouth College; University of California System; University of California Irvine; Universite Libre de Bruxelles; Western Norway University of Applied Sciences; University of York - UK; Universidad de Chile; University of Tasmania; Newcastle University - UK; Imperial College London; Imperial College London; National Aeronautics &amp; Space Administration (NASA); NASA Goddard Space Flight Center; University of California System; University of California Santa Barbara; Technical University of Munich; University of Bremen; State University System of Florida; University of Florida; Communaute Universite Grenoble Alpes; Universite Grenoble Alpes (UGA); Centre National de la Recherche Scientifique (CNRS); Institut National Polytechnique de Grenoble; Institut de Recherche pour le Developpement (IRD); University of California System; University of California Irvine; Australian Antarctic Division; Stanford University; Universidad de Magallanes</t>
  </si>
  <si>
    <t>Frémand, AC; Fretwell, P (corresponding author), British Antarctic Survey, Cambridge, England.</t>
  </si>
  <si>
    <t>almand@bas.ac.uk; ptf@bas.ac.uk</t>
  </si>
  <si>
    <t>Matsuoka, Kenichi/B-7298-2017; Morlighem, Mathieu/O-9942-2014; Mouginot, Jeremie/G-7045-2015; Pattyn, Frank/AAA-9640-2019; Goel, Vikram/ABV-7985-2022; Li, Xiaoli/JVZ-4089-2024; Catania, Ginny/B-9787-2008; Fujita, Shuji/A-7884-2016; Jenkins, Adrian/IUN-2406-2023; Rignot, Eric/A-4560-2014; Popov, Sergey/IYJ-2371-2023; Young, Duncan A./G-6256-2010; sun, bo/JFA-9978-2023; Siegert, Martin/A-3826-2008</t>
  </si>
  <si>
    <t>Morlighem, Mathieu/0000-0001-5219-1310; Mouginot, Jeremie/0000-0001-9155-5455; Pattyn, Frank/0000-0003-4805-5636; Goel, Vikram/0000-0002-8393-0195; Rignot, Eric/0000-0002-3366-0481; Popov, Sergey/0000-0002-1830-8658; Eagles, Graeme/0000-0001-5325-0810; Conway, Howard/0000-0003-4634-3474; Bodart, Dr Julien A/0000-0002-8237-0675; Aitken, Alan/0000-0002-6375-2504; Schroeder, Dustin/0000-0003-1916-3929; Siegert, Martin/0000-0002-0090-4806; Jenkins, Adrian/0000-0002-9117-0616; Drews, Reinhard/0000-0002-2328-294X; urbini, stefano/0000-0002-8053-4197; Forsberg, Rene/0000-0002-7288-9545; Fremand, Alice/0000-0001-8272-0981</t>
  </si>
  <si>
    <t>Natural Environment Research Council [NE/R016038/1]; NERC [NE/R016038/1] Funding Source: UKRI</t>
  </si>
  <si>
    <t>Natural Environment Research Council(UK Research &amp; Innovation (UKRI)Natural Environment Research Council (NERC)); NERC(UK Research &amp; Innovation (UKRI)Natural Environment Research Council (NERC))</t>
  </si>
  <si>
    <t>This research has been supported by the Natural Environment Research Council (grant no. NE/R016038/1).</t>
  </si>
  <si>
    <t>10.5194/essd-15-2695-2023</t>
  </si>
  <si>
    <t>N4UI8</t>
  </si>
  <si>
    <t>Green Accepted, Green Submitted, gold</t>
  </si>
  <si>
    <t>WOS:001036977900001</t>
  </si>
  <si>
    <t>Aguiar, W; Lee, SK; Lopez, H; Dong, SF; Seroussi, H; Jones, DC; Morrison, AK</t>
  </si>
  <si>
    <t>Aguiar, Wilton; Lee, Sang-Ki; Lopez, Hosmay; Dong, Shenfu; Seroussi, Helene; Jones, Dani C.; Morrison, Adele K.</t>
  </si>
  <si>
    <t>Antarctic Bottom Water Sensitivity to Spatio-Temporal Variations in Antarctic Meltwater Fluxes</t>
  </si>
  <si>
    <t>Southern Ocean; Antarctic Bottom Water (AABW); Antarctic sea ice; AABW freshening; sea ice expansion; ocean model</t>
  </si>
  <si>
    <t>SEA-ICE MODEL; MERIDIONAL OVERTURNING CIRCULATION; SOUTHERN-OCEAN; FRESH-WATER; EXPERIMENTAL PROTOCOLS; DEEP CONVECTION; NORTH-ATLANTIC; CLIMATE; IMPACT; MELT</t>
  </si>
  <si>
    <t>Ice sheet melting into the Southern Ocean can change the formation and properties of the Antarctic Bottom Water (AABW). Ocean models often mimic ice sheet melting by adding freshwater fluxes in the Southern Ocean under diverse spatial distributions. We use a global ocean and sea-ice model to explore whether the spatial distribution and magnitude of meltwater fluxes can alter AABW properties and formation. We find that a realistic spatially varying meltwater flux sustains AABW with higher salinities compared to simulations with uniform meltwater fluxes. Finally, we show that increases in ice sheet melting above 12% since 1958 can trigger AABW freshening rates similar to those observed in the Southern Ocean since 1990, suggesting that the increasing Antarctic meltwater discharge can drive the observed AABW freshening.</t>
  </si>
  <si>
    <t>[Aguiar, Wilton] Univ Miami, Cooperat Inst Marine &amp; Atmospher Studies, Miami, FL 33146 USA; [Aguiar, Wilton; Lee, Sang-Ki; Lopez, Hosmay; Dong, Shenfu] NOAA, Atlantic Oceanog &amp; Meteorol Lab, Miami, FL 33165 USA; [Aguiar, Wilton; Morrison, Adele K.] Australian Natl Univ, Australian Ctr Excellence Antarctic Sci, Res Sch Earth Sci, Acton, ACT, Australia; [Seroussi, Helene] Thayer Sch Engn, Dartmouth Coll, Hanover, NH USA; [Jones, Dani C.] UK Res &amp; Innovat, Nat Environm Res Council, British Antarctic Survey, Cambridge, England</t>
  </si>
  <si>
    <t>University of Miami; National Oceanic Atmospheric Admin (NOAA) - USA; Atlantic Oceanographic &amp; Meteorological Laboratory (AOML); Australian National University; Dartmouth College; UK Research &amp; Innovation (UKRI); Natural Environment Research Council (NERC); NERC British Antarctic Survey</t>
  </si>
  <si>
    <t>Aguiar, W (corresponding author), Univ Miami, Cooperat Inst Marine &amp; Atmospher Studies, Miami, FL 33146 USA.;Aguiar, W (corresponding author), NOAA, Atlantic Oceanog &amp; Meteorol Lab, Miami, FL 33165 USA.;Aguiar, W (corresponding author), Australian Natl Univ, Australian Ctr Excellence Antarctic Sci, Res Sch Earth Sci, Acton, ACT, Australia.</t>
  </si>
  <si>
    <t>Wilton.Aguiar@anu.edu.au</t>
  </si>
  <si>
    <t>Lee, Sang-Ki/A-5703-2011; Lopez, Hosmay/M-3278-2015; Dong, Shenfu/I-4435-2013; Morrison, Adele/C-1774-2012</t>
  </si>
  <si>
    <t>Lee, Sang-Ki/0000-0002-4047-3545; Lopez, Hosmay/0000-0002-8422-8699; Dong, Shenfu/0000-0001-8247-8072; Morrison, Adele/0000-0002-9904-4980; Aguiar, Wilton/0000-0003-2453-9791; Jones, Dani/0000-0002-8701-4506</t>
  </si>
  <si>
    <t>NOAA's Atlantic Oceanographic and Meteorological Laboratory (AOML); NOAA's Climate Program Office's Modeling, Analysis, Predictions, and Projections program; Cooperative Institute for Marine and Atmospheric Studies; National Oceanic and Atmospheric Administration (NOAA) [NA 20OAR4320472]; UKRI Future Leaders Fellowship [MR/T020822/1]; NASA Cryospheric Science Program [80NSSC21K1939, 80NSSC22K0383]; Australian Research Council (ARC) DECRA Fellowship [DE170100184]; ARC Discovery Project [DP190100494]; ARC Special Research Initiative; Australian Centre for Excellence in Antarctic Science [SR200100008]</t>
  </si>
  <si>
    <t>NOAA's Atlantic Oceanographic and Meteorological Laboratory (AOML)(National Oceanic Atmospheric Admin (NOAA) - USA); NOAA's Climate Program Office's Modeling, Analysis, Predictions, and Projections program; Cooperative Institute for Marine and Atmospheric Studies; National Oceanic and Atmospheric Administration (NOAA)(National Oceanic Atmospheric Admin (NOAA) - USA); UKRI Future Leaders Fellowship(UK Research &amp; Innovation (UKRI)); NASA Cryospheric Science Program; Australian Research Council (ARC) DECRA Fellowship(Australian Research Council); ARC Discovery Project(Australian Research Council); ARC Special Research Initiative(Australian Research Council); Australian Centre for Excellence in Antarctic Science</t>
  </si>
  <si>
    <t>The authors acknowledge Denis Volkov and Marlos Goes for helpful discussions and comments. This work was supported by the base funding of NOAA's Atlantic Oceanographic and Meteorological Laboratory (AOML), and by NOAA's Climate Program Office's Modeling, Analysis, Predictions, and Projections program. This research was carried out under the auspices of the Cooperative Institute for Marine and Atmospheric Studies, a cooperative institute of the University of Miami, and the National Oceanic and Atmospheric Administration (NOAA), cooperative agreement NA 20OAR4320472. DJ is supported by a UKRI Future Leaders Fellowship (MR/T020822/1). HS is supported by a grant from NASA Cryospheric Science Program (80NSSC21K1939 and 80NSSC22K0383). AKM was supported by an Australian Research Council (ARC) DECRA Fellowship (DE170100184), an ARC Discovery Project (DP190100494). AKM and Wilton Aguiar were supported by the ARC Special Research Initiative, Australian Centre for Excellence in Antarctic Science (SR200100008).</t>
  </si>
  <si>
    <t>JUL 16</t>
  </si>
  <si>
    <t>e2022GL101595</t>
  </si>
  <si>
    <t>10.1029/2022GL101595</t>
  </si>
  <si>
    <t>L2PF1</t>
  </si>
  <si>
    <t>WOS:001021722600001</t>
  </si>
  <si>
    <t>Parera-Portell, JA; Mancilla, FDL; Almendros, J; Morales, J; Stich, D</t>
  </si>
  <si>
    <t>Parera-Portell, J. A.; Mancilla, F. D. L.; Almendros, J.; Morales, J.; Stich, D.</t>
  </si>
  <si>
    <t>Slab Tearing Underneath the Bransfield Strait, Antarctica</t>
  </si>
  <si>
    <t>receiver functions; back-arc basin; slab tearing; Antarctica</t>
  </si>
  <si>
    <t>SOUTH SHETLAND ISLANDS; DECEPTION ISLAND; VELOCITY STRUCTURE; MOHO DEPTH; PENINSULA; BASIN; WAVE; TRENCH; RIDGE; CONSTRAINTS</t>
  </si>
  <si>
    <t>We conduct a P-wave receiver function analysis of the Bransfield Strait (West Antarctica) to determine the lithospheric structure of this back-arc basin, thanks to 31 temporary and permanent stations. Our main finding is a 15 km tear of the Phoenix slab, coinciding with the location of the 2020-2021 Orca earthquake swarm's epicenters. Teleseismic wave modeling reveals that the two major earthquakes occurred at the base of the crust, suggesting that the swarm could have been triggered by active underplating driven by mantle flow through the slab tear. There is evidence for such an underplating layer at least under Deception Island and for a widespread low velocity zone in the mantle wedge probably undergoing partial melting. We found average crustal thickness (30.5 &amp; PLUSMN; 1.0 km) and Vp/Vs (1.81 &amp; PLUSMN; 0.04) values close to average extended continental crust, although results in the South Shetland Islands are significantly more heterogeneous than in the Antarctic Peninsula.</t>
  </si>
  <si>
    <t>[Parera-Portell, J. A.; Mancilla, F. D. L.; Almendros, J.; Morales, J.; Stich, D.] Univ Granada, Inst Andaluz Geofis, Granada, Spain; [Parera-Portell, J. A.; Mancilla, F. D. L.; Almendros, J.; Morales, J.; Stich, D.] Univ Granada, Dept Fis Teor &amp; Cosmos, Granada, Spain</t>
  </si>
  <si>
    <t>University of Granada; University of Granada</t>
  </si>
  <si>
    <t>Parera-Portell, JA (corresponding author), Univ Granada, Inst Andaluz Geofis, Granada, Spain.;Parera-Portell, JA (corresponding author), Univ Granada, Dept Fis Teor &amp; Cosmos, Granada, Spain.</t>
  </si>
  <si>
    <t>jpareraportell@ugr.es</t>
  </si>
  <si>
    <t>Almendros, Javier/M-2468-2014; Morales, Jose/N-5052-2014</t>
  </si>
  <si>
    <t>Almendros, Javier/0000-0001-5936-6160; Parera Portell, Joan Antoni/0000-0002-3219-2524; Stich, Daniel Alexander/0000-0001-7178-9887; Morales, Jose/0000-0002-8497-0850; Mancilla, Flor de Lis/0000-0003-4161-3260</t>
  </si>
  <si>
    <t>Spanish national projects [PID2019-109608GB-100/SRA/10.13039/501100011033, CMT2016-77315-R]; Andalusian regional project [A-RNM-421-UGR18]; European Social Fund; FPI Grant [MCIN/AEI/10.13039/501100011033]</t>
  </si>
  <si>
    <t>Spanish national projects(Spanish Government); Andalusian regional project; European Social Fund(European Social Fund (ESF)); FPI Grant</t>
  </si>
  <si>
    <t>We are grateful to the staff involved in the Antarctic campaigns run by the Instituto Andaluz de Geofisica-Universidad de Granada (that manages the IAG-UGR network) and in the BRAVOSEIS experiment and the ASAIN and SEPA seismic networks. This work was funded by Spanish national projects PID2019-109608GB-100/SRA/10.13039/501100011033 and CMT2016-77315-R, the Andalusian regional project A-RNM-421-UGR18 and the FPI Grant PRE2020-092556 (funded by MCIN/AEI/10.13039/501100011033 and the European Social Fund). We acknowledge work on free software SAC (Goldstein &amp; Snoke,&amp; nbsp;2005), QGIS and Blender. Last but not least, thanks to the reviewers and editor for their suggestions and help.</t>
  </si>
  <si>
    <t>e2023GL103813</t>
  </si>
  <si>
    <t>10.1029/2023GL103813</t>
  </si>
  <si>
    <t>L4IL6</t>
  </si>
  <si>
    <t>WOS:001022910600001</t>
  </si>
  <si>
    <t>Beasy, K; Jones, C; Kelly, R; Lucas, C; Mocatta, G; Pecl, G; Yildiz, D</t>
  </si>
  <si>
    <t>Beasy, Kim; Jones, Charlotte; Kelly, Rachel; Lucas, Chloe; Mocatta, Gabi; Pecl, Gretta; Yildiz, Deniz</t>
  </si>
  <si>
    <t>The burden of bad news: educators' experiences of navigating climate change education</t>
  </si>
  <si>
    <t>ENVIRONMENTAL EDUCATION RESEARCH</t>
  </si>
  <si>
    <t>Affect; emotion; climate change education; Australia; educator</t>
  </si>
  <si>
    <t>TEACHERS; COMMUNICATION</t>
  </si>
  <si>
    <t>Teaching about climate change should be a top priority for all education sectors. However, research to date suggests that climate change education is sparse and ad hoc across school contexts, is not mandated, and relies on the efforts of an impassioned few. Here, we present educators' experiences of teaching climate change in Australian classrooms. We find that biases remain in educators' perceptions of which discipline subjects are, and should be, responsible for teaching about climate change. We reflect on these apparent disciplinary siloes, and advocate for holistic approaches that cut across curriculum divides. Further, we reveal the challenges educators experience in navigating affective dimensions of climate change education. Finally, we recommend that professional capacity building opportunities be developed, alongside additional support services. We outline that such work does not require radical changes in education systems, and highlight that pedagogies already exist within school contexts and subject areas that can support effective and action-oriented climate change education for all.</t>
  </si>
  <si>
    <t>[Beasy, Kim] Univ Tasmania, Sch Educ, Hobart, Australia; [Jones, Charlotte; Lucas, Chloe; Yildiz, Deniz] Univ Tasmania, Sch Geog Planning &amp; Spatial Sci, Hobart, Australia; [Kelly, Rachel; Lucas, Chloe; Pecl, Gretta] Univ Tasmania, Ctr Marine Socioecol, Hobart, Australia; [Kelly, Rachel] Inst Marine &amp; Antarctic Studies, Hobart, Australia; [Mocatta, Gabi] Univ Tasmania, Climate Futures, Hobart, Australia; [Mocatta, Gabi] Deakin Univ, Sch Commun &amp; Creat Arts, Melbourne, Australia</t>
  </si>
  <si>
    <t>University of Tasmania; University of Tasmania; University of Tasmania; University of Tasmania; Deakin University</t>
  </si>
  <si>
    <t>Beasy, K (corresponding author), Univ Tasmania, Sch Educ, Hobart, Australia.</t>
  </si>
  <si>
    <t>kim.beasy@utas.edu.au</t>
  </si>
  <si>
    <t>Lucas, Chloe/E-7835-2019; Jones, Charlotte/AAN-2420-2021; Pecl, Gretta/D-7267-2011; Beasy, Kim/F-7375-2015</t>
  </si>
  <si>
    <t>Lucas, Chloe/0000-0002-0834-1622; Jones, Charlotte/0000-0002-6322-1551; Yildiz, Deniz/0009-0000-3213-9208; Pecl, Gretta/0000-0003-0192-4339; Kelly, Rachel/0000-0002-8364-1836; Beasy, Kim/0000-0002-5998-1419; Mocatta, Gabi/0000-0001-6093-8330</t>
  </si>
  <si>
    <t>ROUTLEDGE JOURNALS, TAYLOR &amp; FRANCIS LTD</t>
  </si>
  <si>
    <t>2-4 PARK SQUARE, MILTON PARK, ABINGDON OX14 4RN, OXON, ENGLAND</t>
  </si>
  <si>
    <t>1350-4622</t>
  </si>
  <si>
    <t>1469-5871</t>
  </si>
  <si>
    <t>ENVIRON EDUC RES</t>
  </si>
  <si>
    <t>Environ. Educ. Res.</t>
  </si>
  <si>
    <t>NOV 2</t>
  </si>
  <si>
    <t>10.1080/13504622.2023.2238136</t>
  </si>
  <si>
    <t>Education &amp; Educational Research; Environmental Studies</t>
  </si>
  <si>
    <t>Education &amp; Educational Research; Environmental Sciences &amp; Ecology</t>
  </si>
  <si>
    <t>CO8M8</t>
  </si>
  <si>
    <t>WOS:001033685400001</t>
  </si>
  <si>
    <t>Kim, J; Lee, S; Nguyen, PT; Han, DW; Kim, IL; Kim, JH</t>
  </si>
  <si>
    <t>Kim, Jihun; Lee, Seungyeon; Nguyen, Phuong Thi; Han, Dong-Won; Kim, IL-Chan; Kim, Jin-Hyoung</t>
  </si>
  <si>
    <t>Length-weight relationships and condition factors of six notothenioid fish species occurring off King George Island and Northern Victoria Land (Antarctica)</t>
  </si>
  <si>
    <t>Notothenioidei; Length-weight relationships; Condition factors; Antarctic fish</t>
  </si>
  <si>
    <t>SOUTHERN SCOTIA ARC; RIVER GANGA; CHANNICHTHYIDAE; SILURIFORMES; REPRODUCTION; CORIICEPS; BUOYANCY; INSHORE; PISCES; WATERS</t>
  </si>
  <si>
    <t>This research was conducted to study length-weight relationships (LWR) and condition factors of six Antarctic notothenioidei fish species including blackfin icefish (Chaenocephalus aceratus), single-angle icefish (Chionodraco hamatus), marbled rockcod (Notothenia rossii), black rockcod (Notothenia coriiceps), emerald rockcod (Trematomus bernacchii), and dusky rockcod (Trematomus newnesi) from the King Sejong Station on King George Island and Jang Bogo Station on the Northern Victoria Land. A total of 232 specimens were collected by fishing on the icebreaking research vessel ARAON from December 2020 to February 2021. The LWR parameters and condition factors differed depending on species, which can be affected by their distribution, species characteristics, and gravidity status. The exponent b values in LWR (W = aL(b)) ranged from 2.593 to 5.184. Four species including C. aceratus, C. hamatus, N. rossii, and T. bernacchii followed positive allometric growth, T. newnesi followed negative allometric growth, and only N. coriiceps showed isometric growth. These results can be helpful in understanding the ecological and growth conditions of six fish species living in the Antarctic Ocean, providing more information for future research on Antarctic fish.</t>
  </si>
  <si>
    <t>[Kim, Jihun; Lee, Seungyeon; Nguyen, Phuong Thi; Han, Dong-Won; Kim, IL-Chan; Kim, Jin-Hyoung] Korea Polar Res Inst, Div Life Sci, Incheon, South Korea; [Kim, Jihun; Lee, Seungyeon; Nguyen, Phuong Thi; Kim, Jin-Hyoung] Univ Sci &amp; Technol, Polar Sci, Incheon, South Korea</t>
  </si>
  <si>
    <t>Korea Polar Research Institute (KOPRI)</t>
  </si>
  <si>
    <t>Kim, JH (corresponding author), Korea Polar Res Inst, Div Life Sci, Incheon, South Korea.;Kim, JH (corresponding author), Univ Sci &amp; Technol, Polar Sci, Incheon, South Korea.</t>
  </si>
  <si>
    <t>kimjh@kopri.re.kr</t>
  </si>
  <si>
    <t>Korea Polar Research Institute (KOPRI) - Ministry of Oceans and Fisheries (KOPRI) [PE23160, PE23150]</t>
  </si>
  <si>
    <t>Korea Polar Research Institute (KOPRI) - Ministry of Oceans and Fisheries (KOPRI)</t>
  </si>
  <si>
    <t>This work was supported by Korea Polar Research Institute (KOPRI) grant funded by the Ministry of Oceans and Fisheries (KOPRI PE23160 and PE23150).</t>
  </si>
  <si>
    <t>10.1007/s00300-023-03178-w</t>
  </si>
  <si>
    <t>AA7P5</t>
  </si>
  <si>
    <t>WOS:001029104000001</t>
  </si>
  <si>
    <t>Yao, MK; Gai, XL; Zhang, MS; Liu, X; Cui, TT; Liu, CH; Liu, DT; Jia, AR</t>
  </si>
  <si>
    <t>Yao, Mengke; Gai, Xuelei; Zhang, Miansong; Liu, Xue; Cui, Tingting; Liu, Changheng; Liu, Deting; Jia, Airong</t>
  </si>
  <si>
    <t>Two proteins prepared from defatted Antarctic krill (Euphausia superba) powder: Composition, structure and functional properties</t>
  </si>
  <si>
    <t>FOOD HYDROCOLLOIDS</t>
  </si>
  <si>
    <t>Defatted antarctic krill protein; Structure; Solubility; Gelling properties</t>
  </si>
  <si>
    <t>LOW FLUORIDE LEVEL; ISOELECTRIC SOLUBILIZATION/PRECIPITATION; ISOLATE; GELATION; THERMO; CONCENTRATE; EXTRACTION; EMULSION; PH</t>
  </si>
  <si>
    <t>Defatted krill powder, rich in protein, has emerged as a potential, novel food raw material. The present study aimed to prepare Antarctic krill protein from the supernatant (AKP-S) and precipitation (AKP-P) using the ultrasound-assisted alkali dissolution and acid precipitation method, and analyze their composition, structure, and functional properties were analyzed. The protein contents of AKP-P and AKP-S were more than 85% (dry weight), and their total amino acid content was 48.75 and 43.59 g/100 g of protein, respectively. The SDS-polyacrylamide gel electrophoresis (SDS-PAGE) and surface morphology analysis (SEM) results showed that the AKP-S was degraded during acid treatment and had a smaller particle size than AKP-P. The &amp; alpha;-helix and random curled structures of AKP-P and AKP-S were few or even disappeared. The solubility of AKP-S was more than 70% in the pH range of 3-13, and the change in AKP-P solubility with pH was consistent with the trend of &amp; beta;-sheets. Except for pH 7.0-9.0, the solubility of AKP-P and AKP-S with pH was positively correlated with surface-hydrophobicity (H0). The emulsifying activity of AKP-P and AKP-S at different pH was approximately positively correlated with the solubility. The minimum gel-forming concentration of AKP-P was 8%, while AKP-S could not form gel at 14%. The gel water holding capacity reached more than 90% when the AKP-P concen-tration was 12%. The rheological results showed that the storage modulus (G &amp; PRIME;) predominated over the loss modulus (G &amp; DPRIME;) of AKP-P in the range of 8%-14% concentration.</t>
  </si>
  <si>
    <t>[Yao, Mengke; Gai, Xuelei; Zhang, Miansong; Liu, Xue; Cui, Tingting; Liu, Changheng; Liu, Deting; Jia, Airong] Qilu Univ Technol, Biol Inst, Shandong Acad Sci, Jinan 250103, Shandong, Peoples R China; [Yao, Mengke] Ocean Univ China, Coll Food Sci &amp; Engn, Qingdao 266404, Shandong, Peoples R China; [Zhang, Miansong] Flinders Univ S Australia, Coll Med &amp; Publ Hlth, Ctr Marine Bioprod Dev, Adv Marine Biomfg Lab, Adelaide, SA 5042, Australia</t>
  </si>
  <si>
    <t>Qilu University of Technology; Ocean University of China; Flinders University South Australia</t>
  </si>
  <si>
    <t>Jia, AR (corresponding author), Qilu Univ Technol, Biol Inst, Shandong Acad Sci, Jinan 250103, Shandong, Peoples R China.</t>
  </si>
  <si>
    <t>jiaar@sdas.org</t>
  </si>
  <si>
    <t>Yao, Mengke/0009-0008-3564-5649</t>
  </si>
  <si>
    <t>Key R amp; D plan of Shandong Province (major scientific and technological innovation project) [2021TZXD008]; Key innovation Project of Qilu University of Technology (Shandong Academy of Sciences) [2022JBZ01-06]; Shandong Science and Technology SMEs Innovation Capacity Improvement Project [2022TSGC2500]</t>
  </si>
  <si>
    <t>Key R amp; D plan of Shandong Province (major scientific and technological innovation project); Key innovation Project of Qilu University of Technology (Shandong Academy of Sciences); Shandong Science and Technology SMEs Innovation Capacity Improvement Project</t>
  </si>
  <si>
    <t>This work was supported by the Key R &amp; D plan of Shandong Province (major scientific and technological innovation project) (2021TZXD008) , the Key innovation Project of Qilu University of Technology (Shandong Academy of Sciences) (2022JBZ01-06) and the Shandong Science and Technology SMEs Innovation Capacity Improvement Project (2022TSGC2500) . We would like to thank MogoEdit (https:// www.mog oedit.com ) for its English editing during the preparation of this manuscript.</t>
  </si>
  <si>
    <t>0268-005X</t>
  </si>
  <si>
    <t>1873-7137</t>
  </si>
  <si>
    <t>FOOD HYDROCOLLOID</t>
  </si>
  <si>
    <t>Food Hydrocolloids</t>
  </si>
  <si>
    <t>10.1016/j.foodhyd.2023.109009</t>
  </si>
  <si>
    <t>Chemistry, Applied; Food Science &amp; Technology</t>
  </si>
  <si>
    <t>Chemistry; Food Science &amp; Technology</t>
  </si>
  <si>
    <t>O3SC1</t>
  </si>
  <si>
    <t>WOS:001043038300001</t>
  </si>
  <si>
    <t>Liu, HW; Zheng, W; Bergquist, BA; Gao, YS; Yue, FE; Yang, LJ; Sun, LG; Xie, ZQ</t>
  </si>
  <si>
    <t>Liu, Hongwei; Zheng, Wang; Bergquist, Bridget A.; Gao, Yuesong; Yue, Fange; Yang, Lianjiao; Sun, Liguang; Xie, Zhouqing</t>
  </si>
  <si>
    <t>A 1500-year record of mercury isotopes in seal feces documents sea ice changes in the Antarctic</t>
  </si>
  <si>
    <t>KING GEORGE ISLAND; MASS-INDEPENDENT FRACTIONATION; STABLE-ISOTOPES; TROPHIC TRANSFER; GASEOUS MERCURY; KATABATIC WIND; ARDLEY ISLAND; ROSS SEA; METHYLMERCURY; PENINSULA</t>
  </si>
  <si>
    <t>Temporal and spatial variations in sea ice coverage at high Northern Hemisphere latitudes have been shown to affect the photodegradation of methylmercury in seawater and the mercury isotope signatures in biological samples, suggesting the potential of mercury isotopes to reconstruct sea ice variability. Here we study the mercury isotopic composition of a 1500-year sediment profile strongly affected by seal activities on the Fildes Peninsula, King George Island, Antarctic Peninsula. The mass independent isotope fractionation of mercury (represented by Delta Hg-199) in sediments dominated by seal feces input reflects the Delta Hg-199 of marine methylmercury before entering the food web, documenting the changes in the degree of photodemethylation. We found much higher Delta Hg-199 in sediments deposited during a warm period (similar to 700-1000 years ago), suggesting that reduced sea ice promoted greater photodemethylation. Thus, this study demonstrates the modulation of methylmercury photodegradation by sea ice in the Antarctic, and that mercury isotopes can record historical sea ice changes.</t>
  </si>
  <si>
    <t>[Liu, Hongwei; Gao, Yuesong; Yue, Fange; Yang, Lianjiao; Sun, Liguang; Xie, Zhouqing] Univ Sci &amp; Technol China, Dept Environm Sci &amp; Engn, Anhui Key Lab Polar Environm &amp; Global Change, Hefei 230026, Anhui, Peoples R China; [Zheng, Wang] Tianjin Univ, Inst Surface Earth Syst Sci, Sch Earth Syst Sci, Tianjin 300072, Peoples R China; [Zheng, Wang; Bergquist, Bridget A.] Univ Toronto, Dept Earth Sci, 22 Ursula Franklin St, Toronto, ON M5S 3B1, Canada</t>
  </si>
  <si>
    <t>Chinese Academy of Sciences; University of Science &amp; Technology of China, CAS; Tianjin University; University of Toronto</t>
  </si>
  <si>
    <t>Xie, ZQ (corresponding author), Univ Sci &amp; Technol China, Dept Environm Sci &amp; Engn, Anhui Key Lab Polar Environm &amp; Global Change, Hefei 230026, Anhui, Peoples R China.;Zheng, W (corresponding author), Tianjin Univ, Inst Surface Earth Syst Sci, Sch Earth Syst Sci, Tianjin 300072, Peoples R China.;Zheng, W (corresponding author), Univ Toronto, Dept Earth Sci, 22 Ursula Franklin St, Toronto, ON M5S 3B1, Canada.</t>
  </si>
  <si>
    <t>zhengw3@tju.edu.cn; zqxie@ustc.edu.cn</t>
  </si>
  <si>
    <t>Zheng, Wang/O-1975-2013</t>
  </si>
  <si>
    <t>National Natural Science Foundation of China [41930532, 41973009]</t>
  </si>
  <si>
    <t>This study was funded by the National Natural Science Foundation of China (grant No. 41930532; 41973009). The authors thank the Chinese Arctic and Antarctic Administration for supporting the field campaign. The authors are grateful to Prof. R.B. Zhu and X.D. Liu for sample collection and analysis, and Dr. H. Li at University of Toronto for assistance in Hg isotope analysis. We especially thank Joel D. Blum for his critical comments and careful corrections on the manuscripts. Sample information are available at the Resource Sharing Platform of Polar Samples (http://birds.chinare.org.cn) maintained by Polar Research Institute of China (PRIC) and Chinese National Arctic &amp; amp; Antarctic Data Center (CN-NADC).</t>
  </si>
  <si>
    <t>JUL 14</t>
  </si>
  <si>
    <t>10.1038/s43247-023-00921-3</t>
  </si>
  <si>
    <t>M2UV8</t>
  </si>
  <si>
    <t>WOS:001028791400002</t>
  </si>
  <si>
    <t>Merkel, B; Trathan, P; Thorpe, S; Murphy, EJ; Pehlke, H; Teschke, K; Griffith, GP</t>
  </si>
  <si>
    <t>Merkel, B.; Trathan, P.; Thorpe, S.; Murphy, E. J.; Pehlke, H.; Teschke, K.; Griffith, G. P.</t>
  </si>
  <si>
    <t>Quantifying circumpolar summer habitat for Antarctic krill and Ice krill, two key species of the Antarctic marine ecosystem</t>
  </si>
  <si>
    <t>Euphausia crystallorophias; Euphausia superba; habitat suitability model; species distribution model; Southern Ocean</t>
  </si>
  <si>
    <t>EUPHAUSIA-SUPERBA; SOUTHERN-OCEAN; ATLANTIC SECTOR; LARVAL STAGES; FOOD WEBS; SEA-ICE; CRYSTALLOROPHIAS; MODELS; ABUNDANCE; GROWTH</t>
  </si>
  <si>
    <t>Antarctic krill (Euphausia superba) and Ice krill (Euphausia crystallorophias) are key species within Southern Ocean marine ecosystems. Given their importance in regional food webs, coupled with the uncertain impacts of climate change, the on-going recovery of krill-eating marine mammals, and the expanding commercial fishery for Antarctic krill, there is an increasing need to improve current estimates of their circumpolar habitat distribution. Here, we provide an estimate of the austral summer circumpolar habitat distribution of both species using an ensemble of habitat models and updated environmental covariates. Our models were able to resolve the segregated habitats of both species. We find that extensive potential habitat for Antarctic krill is mainly situated in the open ocean and concentrated in the Atlantic sector of the Southern Ocean, while Ice krill habitat was concentrated more evenly around the continent, largely over the continental shelf. Ice krill habitat was mainly predicted by surface oxygen concentration and water column temperature, while Antarctic krill was additionally characterized by mixed layer depth, distance to the continental shelf edge, and surface salinity. Our results further improve understanding about these key species, helping inform sustainable circumpolar management practices.</t>
  </si>
  <si>
    <t>[Merkel, B.] Akvaplan niva AS, Fram Ctr, POB 6606 Langnes, N-9296 Tromso, Norway; [Trathan, P.; Thorpe, S.; Murphy, E. J.] NERC, British Antarctic Survey, High Cross, Madingley Rd, Cambridge CB3 0ET, England; [Trathan, P.] Univ Southampton, Natl Oceanog Ctr Southampton, Ocean &amp; Earth Sci, European Way, Southampton SO17 1BJ, England; [Pehlke, H.; Teschke, K.] Alfred Wegener Inst, Helmholtz Ctr Polar &amp; Marine Res, D-27570 Bremerhaven, Germany; [Teschke, K.] Carl von Ossietzky Univ Oldenburg, Helmholtz Inst Funct Marine Biodivers, Ammerlander Heerstr 231, D-23129 Oldenburg, Germany; [Griffith, G. P.] Norwegian Polar Res Inst, Fram Ctr, POB 6606 Langnes, N-9296 Tromso, Norway; [Griffith, G. P.] Princeton Univ, High Meadows Environm Inst, Guyot Hall, Princeton, NJ USA</t>
  </si>
  <si>
    <t>Akvaplan-niva; UK Research &amp; Innovation (UKRI); Natural Environment Research Council (NERC); NERC British Antarctic Survey; University of Southampton; NERC National Oceanography Centre; Helmholtz Association; Alfred Wegener Institute, Helmholtz Centre for Polar &amp; Marine Research; Carl von Ossietzky Universitat Oldenburg; Norwegian Polar Institute; Princeton University</t>
  </si>
  <si>
    <t>Merkel, B (corresponding author), Akvaplan niva AS, Fram Ctr, POB 6606 Langnes, N-9296 Tromso, Norway.</t>
  </si>
  <si>
    <t>merkel.scholar@gmail.com</t>
  </si>
  <si>
    <t>Teschke, Katharina/0000-0001-9595-7443; Merkel, Benjamin/0000-0002-8637-7655; Thorpe, Sally/0000-0002-5193-6955; Pehlke, Hendrik/0000-0003-1916-7831</t>
  </si>
  <si>
    <t>German Federal Ministry of Food and Agriculture (BMEL) through the Federal Office for Agriculture and Food (BLE) [2819HS015]; Volkswagen Foundation through the Niedersauml;chsisches Vorab grant program [ZN3285]; MAUD Project at the Norwegian Polar Institute; Ministry for Science and Culture of Lower Saxony; NC-ALI</t>
  </si>
  <si>
    <t>German Federal Ministry of Food and Agriculture (BMEL) through the Federal Office for Agriculture and Food (BLE); Volkswagen Foundation through the Niedersauml;chsisches Vorab grant program; MAUD Project at the Norwegian Polar Institute; Ministry for Science and Culture of Lower Saxony; NC-ALI</t>
  </si>
  <si>
    <t>This work was supported and conducted as part of the MAUD Project at the Norwegian Polar Institute. K. Teschke and H. Pehlke were financially supported by the German Federal Ministry of Food and Agriculture (BMEL) through the Federal Office for Agriculture and Food (BLE) [grant no.2819HS015]. HIFMB is a collaboration between the Alfred Wegener Institute, Helmholtz Centre for Polar and Marine Research, and the Carl-von-Ossietzky University Oldenburg, initially funded by the Ministry for Science and Culture of Lower Saxony and the Volkswagen Foundation through the Niedersachsisches Vorab grant program [grant no. ZN3285]. S. Thorpe and E. Murphy were supported by NC-ALI funding to the Ecosystems team at the British Antarctic Survey.</t>
  </si>
  <si>
    <t>10.1093/icesjms/fsad110</t>
  </si>
  <si>
    <t>WOS:001027780000001</t>
  </si>
  <si>
    <t>Cassaro, A; Pacelli, C; Baqué, M; Maturilli, A; Böttger, U; Fujimori, A; Moeller, R; de Vera, JPP; Onofri, S</t>
  </si>
  <si>
    <t>Cassaro, A.; Pacelli, C.; Baque, M.; Maturilli, A.; Boettger, U.; Fujimori, A.; Moeller, R.; de Vera, J-P. P.; Onofri, S.</t>
  </si>
  <si>
    <t>Spectroscopic investigations of fungal biomarkers after exposure to heavy ion irradiation</t>
  </si>
  <si>
    <t>SPECTROCHIMICA ACTA PART A-MOLECULAR AND BIOMOLECULAR SPECTROSCOPY</t>
  </si>
  <si>
    <t>Mars exploration; Ionizing radiation; Biomarkers stability; Raman and FTIR spectroscopies</t>
  </si>
  <si>
    <t>FT-IR MICROSPECTROSCOPY; GALE CRATER; RAMAN; RADIATION; MARS; IDENTIFICATION; PATHWAY; CHITIN; ANALOG</t>
  </si>
  <si>
    <t>The main objective of the ongoing and future space exploration missions is the search for traces of extant or extinct life (biomarkers) on Mars. One of the main limiting factors on the survival of Earth-like life is the presence of harmful space radiation, that could damage or modify also biomolecules, therefore understanding the effects of radiation on terrestrial biomolecules stability and detectability is of utmost importance. Which terrestrial molecules could be preserved in a Martian radiation scenario? Here, we investigated the potential endurance of fungal biomolecules, by exposing de-hydrated colonies of the Antarctic cryptoendolithic black fungus Cryomyces antarcticus mixed with Antarctic sandstone and with two Martian regolith analogues to increasing doses (0, 250 and 1000 Gy) of accelerated ions, namely iron (Fe), argon (Ar) and helium (He) ions. We analyzed the feasibility</t>
  </si>
  <si>
    <t>[Cassaro, A.; Pacelli, C.; Onofri, S.] Univ Tuscia, Dept Ecol &amp; Biol Sci, Largo Univ Snc, I-01100 Viterbo, Italy; [Pacelli, C.] Italian Space Agcy, Via Politecn Snc, Rome, Italy; [Baque, M.; Maturilli, A.] Inst Planetary Res, German Aerosp Ctr DLR, Planetary Labs Dept Berlin, Berlin, Germany; [Boettger, U.] Inst Opt Sensor Syst Berlin, German Aerosp Ctr DLR, Berlin, Germany; [Fujimori, A.] Dept Basic Med Sci Radiat Damages, Mol &amp; Cellular Radiat Biol Grp, NIRS QST, Chiba, Japan; [Moeller, R.] Inst Aerosp Med, German Aerosp Ctr, Radiat Biol Dept, Space Microbiol Res Grp,DLR, D-51147 Cologne, Germany; [Moeller, R.] Univ Appl Sci Bonn Rhein Sieg BRSU, Nat Sci, von Liebig Str 20, D-53359 Rheinbach, Germany; [de Vera, J-P. P.] German Aerosp Ctr DLR, Space Operat &amp; Astronaut Training, MUSC, D-51147 Cologne, Germany; [de Vera, J-P. P.] Univ Potsdam, Inst Biochem &amp; Biol, WG Biodivers Systemat Bot, Maulbeerallee 1, D-14469 Potsdam, Germany; [Pacelli, C.] Italian Space Agcy ASI, Human Spaceflight &amp; Sci Res Unit, Via Politecn Snc, I-00133 Rome, Italy</t>
  </si>
  <si>
    <t>Tuscia University; Agenzia Spaziale Italiana (ASI); Helmholtz Association; German Aerospace Centre (DLR); Helmholtz Association; German Aerospace Centre (DLR); Helmholtz Association; German Aerospace Centre (DLR); Helmholtz Association; German Aerospace Centre (DLR); University of Potsdam; Agenzia Spaziale Italiana (ASI)</t>
  </si>
  <si>
    <t>Pacelli, C (corresponding author), Italian Space Agcy ASI, Human Spaceflight &amp; Sci Res Unit, Via Politecn Snc, I-00133 Rome, Italy.</t>
  </si>
  <si>
    <t>claudia.pacelli@asi.it</t>
  </si>
  <si>
    <t>Italian Space Agency (ASI) [2019-3-U.0]; ASI [2018-6- U.0]; MEXT [15H05935, 15K21745]; DLR grant FuE-Projekt ISS LIFE [TP 475]</t>
  </si>
  <si>
    <t>Italian Space Agency (ASI)(Agenzia Spaziale Italiana (ASI)); ASI(Agenzia Spaziale Italiana (ASI)); MEXT(Ministry of Education, Culture, Sports, Science and Technology, Japan (MEXT)); DLR grant FuE-Projekt ISS LIFE</t>
  </si>
  <si>
    <t>This research was financially supported by the Italian Space Agency (ASI), ASI grant N. 2019-3-U.0 (Life in Space) and ASI grant n. 2018-6- U.0 (BioSigN MicroFossils). STARLIFE project was supported by the MEXT Grant-in-Aid for Scientific Research on Innovative Areas Living in Space (Grant Numbers: 15H05935 and 15K21745). RM was supported by the DLR grant FuE-Projekt ISS LIFE (Programm RF-FuW, TP 475)</t>
  </si>
  <si>
    <t>1386-1425</t>
  </si>
  <si>
    <t>1873-3557</t>
  </si>
  <si>
    <t>SPECTROCHIM ACTA A</t>
  </si>
  <si>
    <t>Spectroc. Acta Pt. A-Molec. Biomolec. Spectr.</t>
  </si>
  <si>
    <t>DEC 5</t>
  </si>
  <si>
    <t>10.1016/j.saa.2023.123073</t>
  </si>
  <si>
    <t>FF6Y5</t>
  </si>
  <si>
    <t>WOS:001144399100001</t>
  </si>
  <si>
    <t>Parker, RL; Foster, GL; Gutjahr, M; Wilson, PA; Obrochta, SP; Fagel, N; Cooper, MJ; Michalik, A; Milton, JA; Bailey, I</t>
  </si>
  <si>
    <t>Parker, Rebecca L.; Foster, Gavin L.; Gutjahr, Marcus; Wilson, Paul A.; Obrochta, Stephen P.; Fagel, Nathalie; Cooper, Matthew J.; Michalik, Agnes; Milton, James A.; Bailey, Ian</t>
  </si>
  <si>
    <t>The history of ice-sheet retreat on North America during Termination 5: Implications for the origin of the sea-level highstand during interglacial stage 11</t>
  </si>
  <si>
    <t>Laurentide Ice Sheet; MIS 11; interglacial sea-level; Pb isotope; chemical weathering; North Atlantic</t>
  </si>
  <si>
    <t>MARINE ISOTOPE STAGE-11; RARE-EARTH-ELEMENTS; SOUTHERN GREENLAND; PB ISOTOPES; ANTARCTIC ICE; MULTI-PROXY; ND ISOTOPES; LAURENTIDE; SEDIMENTS; CLIMATE</t>
  </si>
  <si>
    <t>Termination (T) 5,-424 ka, involved the biggest deglaciation of land-ice mass during the Quaternary. Warming and ice-sheet retreat during T5 led to an exceptionally long period of interglacial warmth known as Marine Isotope Stage (MIS) 11,-424-395 ka. A detailed understanding of the history of continental ice-sheet decay during T5 is required to disentangle regional contributions of ice-sheet retreat to sea-level rise (that range between-1 and 13 m above present day) and to correct it for glacio-isostatic adjustments (GIA). Yet little is known about the timing and magnitude of retreat during this time of the volumetrically most important continental ice sheet in the Northern Hemisphere, the Laurentide Ice Sheet (LIS). Here we present new authigenic Fe-Mn oxyhydroxide-derived high-resolution records of Pb isotope data and associated rare earth element profiles for samples spanning T5 from Labrador Sea IODP Site U1302/3. These records feature astronomically-paced radiogenic Pb isotope excursions that track increases in chemical weathering of North American bedrock and freshwater routing to the Labrador Sea via Hudson Straits associated with LIS retreat. Our records show that LIS retreat during T5 began 429. 2 &amp; PLUSMN; 7.9 ka (2 &amp; sigma;) and likely occurred over a longer timescale (by-10 to 5 kyr) than that observed for T2 and T1. They also show that Hudson Bay Ice Saddle collapse (and therefore LIS break-up) occurred -419 &amp; PLUSMN; 4.7 ka (2 &amp; sigma;), around the same time as best estimates of southern Greenland deglaciation, but -12 kyr before LIS deglaciation and the sea-level high-stand associated with the latter half of MIS 11 likely occurred. Our findings therefore highlight that ice-mass loss on North America likely played an important role in the seemingly protracted nature of T5 sea-level rise. A comparison of the deglaciation histories of the LIS and the southern Greenland Ice Sheet during T5, T2 and T1 also demonstrates that the well-constrained history of regional ice-sheet retreat during T1 is not always applicable as a template for older late Pleistocene terminations in GIA modelling.&amp; COPY; 2023 The Author(s). Published by Elsevier B.V. This is an open access article under the CC BY license (http://creativecommons .org /licenses /by /4 .0/).</t>
  </si>
  <si>
    <t>[Parker, Rebecca L.; Bailey, Ian] Univ Exeter, Coll Engn Math &amp; Phys Sci, Camborne Sch Mines, Treliever Rd, Penryn TR10 9FE, England; [Foster, Gavin L.; Wilson, Paul A.; Cooper, Matthew J.; Michalik, Agnes; Milton, James A.] Univ Southampton, Sch Ocean &amp; Earth Sci, Waterfront Campus,European Way, Southampton SO14 3ZH, England; [Gutjahr, Marcus] GEOMAR Helmholtz Ctr Ocean Res Kiel, Wischhofstr 1-3, D-24148 Kiel, Germany; [Obrochta, Stephen P.] Akita Univ, Grad Sch Int Resource Sci, 1-1 Tegatagakuen Machi, Akita 0108502, Japan; [Fagel, Nathalie] Univ Liege, Dept Geol, AGEs Clay &amp; Sedimentary Environm, Allee Six Aout 14, B-4000 Liege, Belgium; [Parker, Rebecca L.] Univ New South Wales, Mark Wainwright Analyt Ctr, Chronos Carbon Cycle Facil 14, Sydney, NSW 2052, Australia</t>
  </si>
  <si>
    <t>University of Exeter; University of Southampton; NERC National Oceanography Centre; Helmholtz Association; GEOMAR Helmholtz Center for Ocean Research Kiel; Akita University; University of Liege; University of New South Wales Sydney</t>
  </si>
  <si>
    <t>Parker, RL (corresponding author), Univ New South Wales, Mark Wainwright Analyt Ctr, Chronos Carbon Cycle Facil 14, Sydney, NSW 2052, Australia.</t>
  </si>
  <si>
    <t>rebecca.parker1@unsw.edu.au</t>
  </si>
  <si>
    <t>Gutjahr, Marcus/L-9158-2013; Foster, Gavin/W-5968-2019</t>
  </si>
  <si>
    <t>Gutjahr, Marcus/0000-0003-2556-2619; Milton, James/0000-0003-4245-5532; Wilson, Paul/0000-0001-6425-8906; Michalik, Agnieszka/0000-0001-7715-6482; Foster, Gavin/0000-0003-3688-9668</t>
  </si>
  <si>
    <t>University of Exeter International Excellence Scholarship; Natural Environment Research Council [NE/K014137/1]; Royal Society (Wolfson Merit Awards)</t>
  </si>
  <si>
    <t>University of Exeter International Excellence Scholarship; Natural Environment Research Council(UK Research &amp; Innovation (UKRI)Natural Environment Research Council (NERC)); Royal Society (Wolfson Merit Awards)</t>
  </si>
  <si>
    <t>&amp; nbsp;This research used samples provided by the Integrated Ocean Drilling Program (IODP). We thank James Channell, the shipboard party of IODP Expedition 303, and H. Kuhlmann for their help at the Bremen Core Repository. We also thank two anonymous reviewers for their constructive comments that helped us to improve our manuscript significantly. R.L.P. acknowledges funding from a University of Exeter International Excellence Scholarship. P.A.W. acknowledges support from Natural Environment Research Council (grant number NE/K014137/1) and P.A.W. and G.L.F. acknowledge the Royal Society (Wolfson Merit Awards).</t>
  </si>
  <si>
    <t>10.1016/j.epsl.2023.118286</t>
  </si>
  <si>
    <t>O8IQ2</t>
  </si>
  <si>
    <t>WOS:001046194300001</t>
  </si>
  <si>
    <t>Zou, Y; Chen, LJ; Walsh, BM; Burkholder, B; Ma, YZ; Bristow, WA; Lyons, LR; Liu, J; Tian, S; Yadav, S; Coster, AJ; McWilliams, KA</t>
  </si>
  <si>
    <t>Zou, Ying; Chen, Li-Jen; Walsh, Brian M.; Burkholder, Brandon; Ma, Yuzhang; Bristow, William A.; Lyons, Larry R.; Liu, Jiang; Tian, Sheng; Yadav, Sneha; Coster, Antea J.; McWilliams, Kathryn A.</t>
  </si>
  <si>
    <t>Hemispheric symmetry and asymmetry of poleward moving radar auroral forms (PMRAFs) and associated polar cap patches during a geomagnetic storm</t>
  </si>
  <si>
    <t>FRONTIERS IN PHYSICS</t>
  </si>
  <si>
    <t>hemispheric symmetry/asymmetry; magnetopause reconnection; polar cap patches; pulsed ionospheric flows; poleward moving radar auroral forms (PMRAFs)</t>
  </si>
  <si>
    <t>GRADIENT DRIFT INSTABILITY; FLUX-TRANSFER EVENTS; PULSED IONOSPHERIC FLOWS; ENHANCED DENSITY; MAGNETOPAUSE RECONNECTION; DAYSIDE RECONNECTION; CLUSTER SPACECRAFT; GROWTH-RATES; LATITUDE; CUTLASS</t>
  </si>
  <si>
    <t>Introduction: Magnetopause reconnection is known to impact the dayside ionosphere by driving fast ionospheric flows, auroral transients, and highdensity plasma structures named polar cap patches. However, most of the observed reconnection impact is limited to one hemisphere, and a question arises as to how symmetric the impact is between hemispheres. Methods: We address the question using interhemispheric observations of poleward moving radar auroral forms (PMRAFs), which are a fossil signature of magnetopause reconnection, during a geomagnetic storm. We are particularly interested in the temporal repetition and spatial structure of PMRAFs, which are directly affected by the temporal and spatial variation of magnetopause reconnection. PMRAFs are detected and traced using SuperDARN complemented by DMSP, Swarm, and GPS TEC measurements. Results: The results show that PMRAFs occurred repetitively on time scales of about 10 min. They were one-to-one related to pulsed ionospheric flows, and were collocated with polar cap patches embedded in a Tongue of Ionization. The temporal repetition of PMRAFs exhibited a remarkably high degree of correlation between hemispheres, indicating that PMRAFs were produced at a similar rate, or even in close synchronization, in the two hemispheres. However, the spatial structure exhibited significant hemispherical asymmetry. In the Northern Hemisphere, PMRAFs/patches had a dawn-dusk elongated cigar shape that extended &gt;1,000 km, at times reaching &gt;2,000 km, whereas in the Southern Hemisphere, PMRAFs/patches were 2-3 times shorter. Conclusion: The interesting symmetry and asymmetry of PMRAFs suggests that both magnetopause reconnection and local ionospheric conditions play important roles in determining the degree of symmetry of PMRAFs/patches.</t>
  </si>
  <si>
    <t>[Zou, Ying] Johns Hopkins Univ, Appl Phys Lab, Laurel, MD 20723 USA; [Chen, Li-Jen; Burkholder, Brandon] NASA, Goddard Space Flight Ctr, Greenbelt, MD USA; [Walsh, Brian M.] Boston Univ, Dept Mech Engn, Boston, MA USA; [Walsh, Brian M.] Boston Univ, Ctr Space Phys, Boston, MA USA; [Burkholder, Brandon] Univ Maryland Baltimore Cty, Goddard Planetary Heliophys Inst, Baltimore, MD USA; [Ma, Yuzhang] Shandong Univ, Inst Space Sci, Shandong Prov Key Lab Opt Astron &amp; Solar Terr Envi, Weihai, Peoples R China; [Bristow, William A.] Penn State Univ, Dept Meteorol &amp; Atmospher Sci, University Pk, PA USA; [Lyons, Larry R.; Liu, Jiang] Univ Calif Los Angeles, Dept Atmospher &amp; Ocean Sci, Los Angeles, CA USA; [Liu, Jiang; Tian, Sheng; Yadav, Sneha] Univ Calif Los Angeles, Dept Earth Planetary &amp; Space Sci, Los Angeles, CA USA; [Coster, Antea J.] MIT, Haystack Observ, Westford, MA USA; [McWilliams, Kathryn A.] Univ Saskatchewan, Dept Phys &amp; Engn Phys, Saskatoon, SK, Canada</t>
  </si>
  <si>
    <t>Johns Hopkins University; Johns Hopkins University Applied Physics Laboratory; National Aeronautics &amp; Space Administration (NASA); NASA Goddard Space Flight Center; Boston University; Boston University; University System of Maryland; University of Maryland Baltimore County; Shandong University; Pennsylvania Commonwealth System of Higher Education (PCSHE); Pennsylvania State University; Pennsylvania State University - University Park; University of California System; University of California Los Angeles; University of California System; University of California Los Angeles; Massachusetts Institute of Technology (MIT); University of Saskatchewan</t>
  </si>
  <si>
    <t>Zou, Y (corresponding author), Johns Hopkins Univ, Appl Phys Lab, Laurel, MD 20723 USA.</t>
  </si>
  <si>
    <t>ying.zou@jhuapl.edu</t>
  </si>
  <si>
    <t>Chen, L.J./F-1669-2010; Liu, Jiang/B-3015-2014; Walsh, Brian/C-4899-2016; Chen, Li-Jen/C-2106-2012</t>
  </si>
  <si>
    <t>Chen, Li-Jen/0000-0002-4768-189X; Zou, Ying/0000-0002-9704-1735</t>
  </si>
  <si>
    <t>NSF [AGS-1934997]; NASA DRIVE Science Center for Geospace Storms (CGS) [80NSSC22M0163]; AFOSR [FA9559-16-1-0364, NSF AGS-2055192, NASA 80NSSC20K1314, 80NSSC20K1316, 80NSSC21K1407]; NASA [NAS5-02099, NSF PLR-1443504]; Office of Polar Programs [AGS-1934419]; Geospace Section of NSF Division of Atmospheric and Geospace Sciences; Institut Polaire Francais (IPEV); Institut National des Sciences de l'Univers (INSU); Italian National Program for Antarctic Research (PNRA); Italian National Research Council (CNR); Istituto Nazionale di Astrofisica (INAF); Institute for Space Astrophysics and Planetology (IAPS) of INAF; CNR; PNRA</t>
  </si>
  <si>
    <t>NSF(National Science Foundation (NSF)); NASA DRIVE Science Center for Geospace Storms (CGS); AFOSR(United States Department of DefenseAir Force Office of Scientific Research (AFOSR)); NASA(National Aeronautics &amp; Space Administration (NASA)); Office of Polar Programs(National Science Foundation (NSF)NSF - Directorate for Geosciences (GEO)); Geospace Section of NSF Division of Atmospheric and Geospace Sciences; Institut Polaire Francais (IPEV); Institut National des Sciences de l'Univers (INSU); Italian National Program for Antarctic Research (PNRA); Italian National Research Council (CNR)(Consiglio Nazionale delle Ricerche (CNR)); Istituto Nazionale di Astrofisica (INAF)(Istituto Nazionale Astrofisica (INAF)); Institute for Space Astrophysics and Planetology (IAPS) of INAF; CNR(Consiglio Nazionale delle Ricerche (CNR)); PNRA</t>
  </si>
  <si>
    <t>YZ is supported by NSF AGS-2025570 and NASA DRIVE Science Center for Geospace Storms (CGS) under award 80NSSC22M0163. LL, JL and SY are supported by AFOSR FA9559-16-1-0364, NSF AGS-2055192, and NASA 80NSSC20K1314, 80NSSC20K1316, and 80NSSC21K1407, and NASA contract NAS5-02099. SuperDARN is a collection of radars funded by national scientific funding agencies of Australia, Canada, China, France, Italy, Japan, Norway, South Africa, United Kingdom and the United States. SuperDARN operations and research at Pennsylvania State University are supported under NSF PLR-1443504 from the Office of Polar Programs, and AGS-1934419 from the Geospace Section of NSF Division of Atmospheric and Geospace Sciences. The CVW SuperDARN radar is supported by NSF grant AGS-1934997 to Dartmouth College. The Dome C East radar was installed in the framework of a French-Italian collaboration with contribution from the Institut Polaire Francais (IPEV), the Institut National des Sciences de l'Univers (INSU), the Italian National Program for Antarctic Research (PNRA), the Italian National Research Council (CNR) and the Istituto Nazionale di Astrofisica (INAF). Dome C East is operated by the Institute for Space Astrophysics and Planetology (IAPS) of INAF with support from CNR and PNRA.</t>
  </si>
  <si>
    <t>2296-424X</t>
  </si>
  <si>
    <t>FRONT PHYS-LAUSANNE</t>
  </si>
  <si>
    <t>Front. Physics</t>
  </si>
  <si>
    <t>JUL 13</t>
  </si>
  <si>
    <t>10.3389/fphy.2023.1174209</t>
  </si>
  <si>
    <t>Physics, Multidisciplinary</t>
  </si>
  <si>
    <t>Physics</t>
  </si>
  <si>
    <t>N6WT4</t>
  </si>
  <si>
    <t>WOS:001038398300001</t>
  </si>
  <si>
    <t>Pan, BJ; Gierach, MM; Meredith, MP; Reynolds, RA; Schofield, O; Orona, AJ</t>
  </si>
  <si>
    <t>Pan, B. Jack; Gierach, Michelle M.; Meredith, Michael P.; Reynolds, Rick A.; Schofield, Oscar; Orona, Alexander J.</t>
  </si>
  <si>
    <t>Remote sensing of sea surface glacial meltwater on the Antarctic Peninsula shelf</t>
  </si>
  <si>
    <t>glacial meltwater; ocean color; coastal ocean; Western Antarctic Peninsula; high latitude; polar region</t>
  </si>
  <si>
    <t>COASTAL WATERS; MARGUERITE BAY; WEST; MARINE; VARIABILITY; BALANCE; SUMMER</t>
  </si>
  <si>
    <t>Glacial meltwater is an important environmental variable for ecosystem dynamics along the biologically productive Western Antarctic Peninsula (WAP) shelf. This region is experiencing rapid change, including increasing glacial meltwater discharge associated with the melting of land ice. To better understand the WAP environment and aid ecosystem forecasting, additional methods are needed for monitoring and quantifying glacial meltwater for this remote, sparsely sampled location. Prior studies showed that sea surface glacial meltwater (SSGM) has unique optical characteristics which may allow remote sensing detection via ocean color data. In this study, we develop a first-generation model for quantifying SSGM that can be applied to both spaceborne (MODIS-Aqua) and airborne (PRISM) ocean color platforms. In addition, the model was prepared and verified with one of the more comprehensive in-situ stable oxygen isotope datasets compiled for the WAP region. The SSGM model appears robust and provides accurate predictions of the fractional contribution of glacial meltwater to seawater when compared with in-situ data (r = 0.82, median absolute percent difference = 6.38%, median bias = -0.04), thus offering an additional novel method for quantifying and studying glacial meltwater in the WAP region.</t>
  </si>
  <si>
    <t>[Pan, B. Jack; Gierach, Michelle M.] CALTECH, Jet Prop Lab, Pasadena, CA 91125 USA; [Meredith, Michael P.] British Antarctic Survey, Cambridge, England; [Reynolds, Rick A.] Univ Calif San Diego, Scripps Inst Oceanog, Marine Phys Lab, La Jolla, CA USA; [Schofield, Oscar] Rutgers State Univ, Dept Marine &amp; Coastal Sci, New Brunswick, NJ USA; [Orona, Alexander J.] Ocean Mot Technol Inc, Data Sci &amp; Artificial Intelligence Grp, San Diego, CA USA</t>
  </si>
  <si>
    <t>California Institute of Technology; National Aeronautics &amp; Space Administration (NASA); NASA Jet Propulsion Laboratory (JPL); UK Research &amp; Innovation (UKRI); Natural Environment Research Council (NERC); NERC British Antarctic Survey; University of California System; University of California San Diego; Scripps Institution of Oceanography; Rutgers University System; Rutgers University New Brunswick</t>
  </si>
  <si>
    <t>Pan, BJ (corresponding author), CALTECH, Jet Prop Lab, Pasadena, CA 91125 USA.</t>
  </si>
  <si>
    <t>jackpan@jpl.nasa.gov</t>
  </si>
  <si>
    <t>Gierach, Michelle/G-6316-2017; Reynolds, Rick A/C-7470-2014; Schofield, Oscar/H-4169-2018</t>
  </si>
  <si>
    <t>Gierach, Michelle/0000-0002-8161-4121; Reynolds, Rick A/0000-0002-1579-3600; Schofield, Oscar/0000-0003-2359-4131</t>
  </si>
  <si>
    <t>Jet Propulsion Laboratory, California Institute of Technology; National Aeronautics and Space Administration and Oak Ridge Associated Universities; FjordPhyto citizen science project (NASA) [80NSSC21K0856]</t>
  </si>
  <si>
    <t>Jet Propulsion Laboratory, California Institute of Technology; National Aeronautics and Space Administration and Oak Ridge Associated Universities; FjordPhyto citizen science project (NASA)</t>
  </si>
  <si>
    <t>This research was carried out at the Jet Propulsion Laboratory, California Institute of Technology, under a contract with the National Aeronautics and Space Administration and Oak Ridge Associated Universities. The research was also partly supported through the FjordPhyto citizen science project (NASA 80NSSC21K0856). The views and conclusions contained in this document are those of the authors and should not be interpreted as representing the official policies, either expressed or implied, of NASA or the U.S. Government. The U.S. Government is authorized to reproduce and distribute reprints for Government purposes notwithstanding any copyright notation herein.</t>
  </si>
  <si>
    <t>10.3389/fmars.2023.1209159</t>
  </si>
  <si>
    <t>N8EB9</t>
  </si>
  <si>
    <t>WOS:001039271800001</t>
  </si>
  <si>
    <t>Grant, GR; Williams, JHT; Naeher, S; Seki, O; McClymont, EL; Patterson, MO; Haywood, AM; Behrens, E; Yamamoto, M; Johnson, K</t>
  </si>
  <si>
    <t>Grant, Georgia R.; Williams, Jonny H. T.; Naeher, Sebastian; Seki, Osamu; McClymont, Erin L.; Patterson, Molly O.; Haywood, Alan M.; Behrens, Erik; Yamamoto, Masanobu; Johnson, Katelyn</t>
  </si>
  <si>
    <t>Amplified surface warming in the south-west Pacific during the mid-Pliocene (3.3-3.0 Ma) and future implications</t>
  </si>
  <si>
    <t>ANTARCTIC ICE-SHEET; NEW-ZEALAND; SEA-LEVEL; CLIMATE SENSITIVITY; EXPERIMENTAL-DESIGN; LIPID BIOMARKERS; TEMPERATURE; CALIBRATION; CONSTRAINTS; TEX86</t>
  </si>
  <si>
    <t>Based on Nationally Determined Contributions concurrent with Shared Socioeconomic Pathways (SSPs) 2-4.5, the IPCC predicts global warming of 2.1-3.5 degrees C (very likely range 10-90th percentile) by 2100 CE. However, global average temperature is a poor indicator of regional warming and global climate models (GCMs) require validation with instrumental or proxy data from geological archives to assess their ability to simulate regional ocean and atmospheric circulation, and thus, to evaluate their performance for regional climate projections. The south-west Pacific is a region that performs poorly when GCMs are evaluated against instrumental observations. The New Zealand Earth System Model (NZESM) was developed from the United Kingdom Earth System Model (UKESM) to better understand south-west Pacific response to global change, by including a nested ocean grid in the south-west Pacific with 80 % greater horizontal resolution than the global-scale host. Here, we reconstruct regional south-west Pacific sea-surface temperatures (SSTs) for the mid-Pliocene warm period (mPWP; 3.3-3.0 Ma), which has been widely considered a past analogue with an equilibrium surface temperature response of +3 degrees C to an atmospheric CO2 concentration of similar to 350-400 ppm, in order to assess the warming distribution in the south-west Pacific. This study presents proxy SSTs from seven deep sea sediment cores distributed across the south-west Pacific. Our reconstructed SSTs are derived from molecular biomarkers preserved in the sediment - alkenones (i.e. UK37K ' index) and isoprenoid glycerol dialkyl glycerol tetraethers (i.e. TEX86 index) - and are compared with SSTs reconstructed from the Last Interglacial (125 ka), Pliocene Model Intercomparison Project (PlioMIP) outputs and transient climate model projections (NZESM and UKESM) of low- to high-range SSPs for 2090-2099 CE. Mean interglacial equilibrium SSTs during the mPWP for the south-west Pacific sites were on average 4.2 degrees C (1.8-6.1 degrees C likely range) above pre-industrial temperatures and show good agreement with model outputs from NZESM and UKESM under mid-range SSP 2-4.6 conditions. These results highlight that not only is the mPWP an appropriate analogue when considering future temperature change in the centuries to come, but they also demonstrate that the southwest Pacific region will experience warming that exceeds that of the global mean if atmospheric CO2 remains above 350 ppm.</t>
  </si>
  <si>
    <t>[Grant, Georgia R.; Naeher, Sebastian; Johnson, Katelyn] GNS Sci, Lower Hutt, New Zealand; [Williams, Jonny H. T.; Behrens, Erik] NIWA, Wellington, New Zealand; [Seki, Osamu; Yamamoto, Masanobu] Hokkaido Univ, Inst Low Temp Sci, Sapporo, Hokkaido, Japan; [McClymont, Erin L.] Univ Durham, Dept Geog, Durham, England; [Patterson, Molly O.] SUNY Binghamton, Binghamton Univ, Environm Studies, Binghamton, NY USA; [Haywood, Alan M.] Univ Leeds, Sch Earth &amp; Environm, Leeds, England</t>
  </si>
  <si>
    <t>GNS Science - New Zealand; National Institute of Water &amp; Atmospheric Research (NIWA) - New Zealand; Hokkaido University; Durham University; State University of New York (SUNY) System; State University of New York (SUNY) Binghamton; University of Leeds</t>
  </si>
  <si>
    <t>Grant, GR (corresponding author), GNS Sci, Lower Hutt, New Zealand.</t>
  </si>
  <si>
    <t>g.grant@gns.cri.nz</t>
  </si>
  <si>
    <t>Behrens, Erik/B-9631-2013; McClymont, Erin/AAX-3657-2020</t>
  </si>
  <si>
    <t>McClymont, Erin/0000-0003-1562-8768; Patterso, Molly/0000-0002-5058-9269; Grant, Georgia Rose/0000-0002-2615-9322; Williams, Jonny/0000-0002-0680-0098; Johnson, Katelyn M./0000-0002-6152-9712</t>
  </si>
  <si>
    <t>Australian Government [LE160100067]; ANZIC of universities and government agencies; GNS Science; New Zealand Ministry of Business, Innovation and Employment through the Global Change Through Time research programme and Organic Geochemistry Laboratory [C05X1702]; Ministry of Business Innovation and Employment Deep South National Science Challenge [C01X1412]; Japan Society of Promotion of Science - Ministry of Education, Culture, Sports, Science and Technology, Japan [KAKENHI 26287129, 17H06318]</t>
  </si>
  <si>
    <t>Australian Government(Australian Government); ANZIC of universities and government agencies; GNS Science; New Zealand Ministry of Business, Innovation and Employment through the Global Change Through Time research programme and Organic Geochemistry Laboratory; Ministry of Business Innovation and Employment Deep South National Science Challenge; Japan Society of Promotion of Science - Ministry of Education, Culture, Sports, Science and Technology, Japan</t>
  </si>
  <si>
    <t>ANZIC is supported by the Australian Government through the Australian Research Council's LIEF funding scheme (grant no. LE160100067) and the ANZIC of universities and government agencies. This research has been supported by the GNS Science and the New Zealand Ministry of Business, Innovation and Employment through the Global Change Through Time research programme and Organic Geochemistry Laboratory (contract no. C05X1702). Jonny H. T. Williams obtained funding and support through the Ministry of Business Innovation and Employment Deep South National Science Challenge project no. C01X1412. Osamu Seki was supported by the Japan Society of Promotion of Science funded by the Ministry of Education, Culture, Sports, Science and Technology, Japan (grant nos. KAKENHI 26287129 and 17H06318).</t>
  </si>
  <si>
    <t>10.5194/cp-19-1359-2023</t>
  </si>
  <si>
    <t>M2XP9</t>
  </si>
  <si>
    <t>gold, Green Submitted, Green Published</t>
  </si>
  <si>
    <t>WOS:001028863500001</t>
  </si>
  <si>
    <t>Lim, Y; Park, SH; Kim, EJ; Lim, H; Jang, J; Hong, IS; Kim, S; Jung, YJ</t>
  </si>
  <si>
    <t>Lim, YoonHee; Park, So-Hyun; Kim, Eun Jae; Lim, HeeJun; Jang, Jinsun; Hong, In-Sun; Kim, Sanghee; Jung, YunJae</t>
  </si>
  <si>
    <t>Polar microalgae extracts protect human HaCaT keratinocytes from damaging stimuli and ameliorate psoriatic skin inflammation in mice</t>
  </si>
  <si>
    <t>BIOLOGICAL RESEARCH</t>
  </si>
  <si>
    <t>Polar microalgae; Compound profiles; Barrier protection; Psoriasis; Anti-inflammation</t>
  </si>
  <si>
    <t>UV-RADIATION; METHYL-ESTER; ACID; EXPRESSION; STRINGTIE; RESPONSES; EPIDERMIS; FEATURES; MODELS; HISAT</t>
  </si>
  <si>
    <t>BackgroundPolar microalgae contain unique compounds that enable them to adapt to extreme environments. As the skin barrier is our first line of defense against external threats, polar microalgae extracts may possess restorative properties for damaged skin, but the potential of microalgae extracts as skin protective agents remains unknown.PurposeThis study aimed to analyze compound profiles from polar microalgae extracts, evaluate their potential as skin epithelial protective agents, and examine the underlying mechanisms.MethodsSix different polar microalgae, Micractinium sp. (KSF0015 and KSF0041), Chlamydomonas sp. (KNM0029C, KSF0037, and KSF0134), and Chlorococcum sp. (KSF0003), were collected from the Antarctic or Arctic regions. Compound profiles of polar and non-polar microalgae extracts were analyzed using gas chromatography-mass spectrometry (GC-MS). The protective activities of polar microalgae extracts on human keratinocyte cell lines against oxidative stress, radiation, and psoriatic cytokine exposure were assessed. The potential anti-inflammatory mechanisms mediated by KSF0041, a polar microalga with protective properties against oxidative stress, ultraviolet (UV) B, and an inflammatory cytokine cocktail, were investigated using RNA-sequencing analysis. To evaluate the therapeutic activity of KSF0041, an imiquimod-induced murine model of psoriatic dermatitis was used.ResultsPolar microalgae contain components comparable to those of their non-polar counterparts, but also showed distinct differences, particularly in fatty acid composition. Polar microalgae extracts had a greater ability to scavenge free radicals than did non-polar microalgae and enhanced the viability of HaCaT cells, a human keratinocyte cell line, following exposure to UVB radiation or psoriatic cytokines. These extracts also reduced barrier integrity damage and decreased mRNA levels of inflammatory cytokines in psoriatic HaCaT cells. Treatment with KSF0041 extract altered the transcriptome of psoriatic HaCaT cells toward a more normal state. Furthermore, KSF0041 extract had a therapeutic effect in a mouse model of psoriasis.ConclusionsBioactive compounds from polar microalgae extracts could provide novel therapeutics for damaged and/or inflamed skin.</t>
  </si>
  <si>
    <t>[Lim, YoonHee; Jung, YunJae] Gachon Univ, Coll Med, Dept Microbiol, 155 Gaetbeol Ro, Incheon 21999, South Korea; [Lim, YoonHee; Hong, In-Sun; Jung, YunJae] Gachon Univ, Lee Gil Ya Canc &amp; Diabet Inst, Incheon 21999, South Korea; [Park, So-Hyun; Lim, HeeJun; Jang, Jinsun; Hong, In-Sun; Jung, YunJae] Gachon Univ, Gachon Adv Inst Hlth Sci &amp; Technol, Dept Hlth Sci &amp; Technol, Incheon 21999, South Korea; [Kim, Eun Jae; Kim, Sanghee] Korea Polar Res Inst, Div Life Sci, Incheon 21990, South Korea; [Lim, HeeJun] Gachon Univ, Dept Food Sci &amp; Biotechnol, Seongnam 13120, South Korea; [Hong, In-Sun] Gachon Univ, Coll Med, Dept Mol Med, Incheon 21999, South Korea</t>
  </si>
  <si>
    <t>Gachon University; Gachon University; Gachon University; Korea Polar Research Institute (KOPRI); Gachon University; Gachon University</t>
  </si>
  <si>
    <t>Jung, YJ (corresponding author), Gachon Univ, Coll Med, Dept Microbiol, 155 Gaetbeol Ro, Incheon 21999, South Korea.;Jung, YJ (corresponding author), Gachon Univ, Lee Gil Ya Canc &amp; Diabet Inst, Incheon 21999, South Korea.;Jung, YJ (corresponding author), Gachon Univ, Gachon Adv Inst Hlth Sci &amp; Technol, Dept Hlth Sci &amp; Technol, Incheon 21999, South Korea.</t>
  </si>
  <si>
    <t>yjjung@gachon.ac.kr</t>
  </si>
  <si>
    <t>Hong, In-Sun/0000-0002-3267-0127; JUNG, YUNJAE/0000-0002-1574-696X</t>
  </si>
  <si>
    <t>Korea Polar Research Institute (KOPRI) grant - Ministry of Oceans and Fisheries [KOPRI PE22900]; National Research Foundation of Korea (NRF) - Korean government (MSIT) [NRF-2021R1A5A2030333]; Gachon University [GCU-202008440003]</t>
  </si>
  <si>
    <t>Korea Polar Research Institute (KOPRI) grant - Ministry of Oceans and Fisheries; National Research Foundation of Korea (NRF) - Korean government (MSIT)(National Research Foundation of KoreaMinistry of Science &amp; ICT (MSIT), Republic of Korea); Gachon University</t>
  </si>
  <si>
    <t>&amp; nbsp;This work was supported by Korea Polar Research Institute (KOPRI) grant funded by the Ministry of Oceans and Fisheries (KOPRI PE22900), a National Research Foundation of Korea (NRF) grant funded by the Korean government (MSIT) (No. NRF-2021R1A5A2030333), and the Gachon University research fund of 2020 (GCU-202008440003).</t>
  </si>
  <si>
    <t>SOC BIOLGIA CHILE</t>
  </si>
  <si>
    <t>SANTIAGO</t>
  </si>
  <si>
    <t>CASILLA 16164, SANTIAGO 9, CHILE</t>
  </si>
  <si>
    <t>0716-9760</t>
  </si>
  <si>
    <t>0717-6287</t>
  </si>
  <si>
    <t>BIOL RES</t>
  </si>
  <si>
    <t>Biol. Res.</t>
  </si>
  <si>
    <t>10.1186/s40659-023-00454-1</t>
  </si>
  <si>
    <t>M0LD7</t>
  </si>
  <si>
    <t>WOS:001027104800002</t>
  </si>
  <si>
    <t>Richter, T; Dansereau, V; Lessig, C; Minakowski, P</t>
  </si>
  <si>
    <t>Richter, Thomas; Dansereau, Veronique; Lessig, Christian; Minakowski, Piotr</t>
  </si>
  <si>
    <t>A dynamical core based on a discontinuous Galerkin method for higher-order finite-element sea ice modeling</t>
  </si>
  <si>
    <t>PARTICLE-IN-CELL; SCALING PROPERTIES; EVP MODEL; DEFORMATION; RHEOLOGY; STRENGTH; RIDGES; OCEAN</t>
  </si>
  <si>
    <t>The ability of numerical sea ice models to reproduce localized deformation features associated with fracture processes is key for an accurate representation of the ice dynamics and of dynamically coupled physical processes in the Arctic and Antarctic.Equally key is the capacity of these models to minimize the numerical diffusion stemming from the advection of these features to ensure that the associated strong gradients persist in time, without the need to unphysically re-inject energy for re-localization.To control diffusion and improve the approximation quality,we present a new numerical core for the dynamics of sea ice that is based on higher-order finite-element discretizations for the momentum equation and higher-order discontinuous Galerkin methods for the advection. The mathematical properties of this core are discussed, and a detailed description of an efficient shared-memory parallel implementation is given. In addition, we present different numerical tests and apply the new framework to a benchmark problem to quantify the advantages of the higher-order discretization. These tests are based on Hibler's viscous-plastic sea ice model, but the implementation of the developed framework in the context of other physical models reproducing a strong localization of the deformation is possible.</t>
  </si>
  <si>
    <t>[Richter, Thomas; Minakowski, Piotr] Otto von Guericke Univ, Inst Anal &amp; Numer, Magdeburg, Germany; [Dansereau, Veronique] Univ Grenoble Alpes, Inst Sci Terre, CNRS, UMR5275, Gieres, France; [Lessig, Christian] Otto von Guericke Univ, Inst Simulat &amp; Graph, Magdeburg, Germany</t>
  </si>
  <si>
    <t>Otto von Guericke University; Centre National de la Recherche Scientifique (CNRS); Communaute Universite Grenoble Alpes; Universite Grenoble Alpes (UGA); Otto von Guericke University</t>
  </si>
  <si>
    <t>Richter, T (corresponding author), Otto von Guericke Univ, Inst Anal &amp; Numer, Magdeburg, Germany.</t>
  </si>
  <si>
    <t>thomas.richter@ovgu.de</t>
  </si>
  <si>
    <t>Richter, Thomas/ISR-9938-2023</t>
  </si>
  <si>
    <t>Richter, Thomas/0000-0003-0206-3606</t>
  </si>
  <si>
    <t>10.5194/gmd-16-3907-2023</t>
  </si>
  <si>
    <t>L6GZ6</t>
  </si>
  <si>
    <t>WOS:001024241000001</t>
  </si>
  <si>
    <t>Quillfeldt, P; Bedolla-Guzmán, Y; Libertelli, MM; Cherel, Y; Massaro, M; Bustamante, P</t>
  </si>
  <si>
    <t>Quillfeldt, Petra; Bedolla-Guzman, Yuliana; Libertelli, Marcela M.; Cherel, Yves; Massaro, Melanie; Bustamante, Paco</t>
  </si>
  <si>
    <t>Mercury in Ten Storm-Petrel Populations from the Antarctic to the Subtropics</t>
  </si>
  <si>
    <t>ARCHIVES OF ENVIRONMENTAL CONTAMINATION AND TOXICOLOGY</t>
  </si>
  <si>
    <t>KING-GEORGE-ISLAND; PERSISTENT ORGANIC POLLUTANTS; STABLE-ISOTOPE; OCEANITES-OCEANICUS; MYCTOPHID FISHES; TRACE-ELEMENTS; FEATHERS; BLOOD; CONTAMINATION; PRESERVATION</t>
  </si>
  <si>
    <t>The oceans become increasingly contaminated as a result of global industrial production and consumer behaviour, and this affects wildlife in areas far removed from sources of pollution. Migratory seabirds such as storm-petrels may forage in areas with different contaminant levels throughout the annual cycle and may show a carry-over of mercury from the winter quarters to the breeding sites. In this study, we compared mercury levels among seven species of storm-petrels breeding on the Antarctic South Shetlands and subantarctic Kerguelen Islands, in temperate waters of the Chatham Islands, New Zealand, and in temperate waters of the Pacific off Mexico. We tested for differences in the level of contamination associated with breeding and inter-breeding distribution and trophic position. We collected inert body feathers and metabolically active blood samples in ten colonies, reflecting long-term (feathers) and short-term (blood) exposures during different periods ranging from early non-breeding (moult) to late breeding. Feathers represent mercury accumulated over the annual cycle between two successive moults. Mercury concentrations in feathers ranged over more than an order of magnitude among species, being lowest in subantarctic Grey-backed Storm-petrels (0.5 &amp; mu;g g(-1) dw) and highest in subtropical Leach's Storm-petrels (7.6 &amp; mu;g g(-1) dw, i.e. posing a moderate toxicological risk). Among Antarctic Storm-petrels, Black-bellied Storm-petrels had threefold higher values than Wilson's Storm-petrels, and in both species, birds from the South Shetlands (Antarctica) had threefold higher values than birds from Kerguelen (subantarctic Indian Ocean). Blood represents mercury taken up over several weeks, and showed similar trends, being lowest in Grey-backed Storm-petrels from Kerguelen (0.5 &amp; mu;g g(-1) dw) and highest in Leach's Storm-petrels (3.6 &amp; mu;g g(-1) dw). Among Antarctic storm-petrels, species differences in the blood samples were similar to those in feathers, but site differences were less consistent. Over the breeding season, mercury decreased in blood samples of Antarctic Wilson's Storm-petrels, but did not change in Wilson's Storm-petrels from Kerguelen or in Antarctic Black-bellied Storm-petrels. In summary, we found that mercury concentrations in storm-petrels varied due to the distribution of species and differences in prey choice. Depending on prey choices, Antarctic storm-petrels can have similar mercury concentrations as temperate species. The lowest contamination was observed in subantarctic species and populations. The study shows how seabirds, which accumulate dietary pollutants in their tissues in the breeding and non-breeding seasons, can be used to survey marine pollution. Storm-petrels with their wide distributions and relatively low trophic levels may be especially useful, but more detailed knowledge on their prey choice and distributions is needed.</t>
  </si>
  <si>
    <t>[Quillfeldt, Petra; Bedolla-Guzman, Yuliana] Justus Liebig Univ Giessen, Dept Anim Ecol &amp; Systemat, Heinrich Buff Ring 26, D-35392 Giessen, Germany; [Bedolla-Guzman, Yuliana] Grp Ecol &amp; Conservac Islas AC, Ensenada 22800, Baja California, Mexico; [Libertelli, Marcela M.] Inst Antart Argentino, Dept Biol Predadores Tope, Coordinac Ciencias Vida, Ave 25 Mayo 1143,B1650HML, Buenos Aires, Argentina; [Cherel, Yves] La Rochelle Univ, Ctr Etud Biol Chize, UMR 7372, CNRS, F-79360 Villiers En Bois, France; [Massaro, Melanie] Charles Sturt Univ, Gulbali Inst, Sch Agr Environm &amp; Vet Sci, Albury, NSW 2640, Australia; [Bustamante, Paco] La Rochelle Univ, Littoral Environm &amp; Soc LIENSs, UMR 7266, CNRS, 2 Rue Olympe Gouges, F-17000 La Rochelle, France</t>
  </si>
  <si>
    <t>Justus Liebig University Giessen; Instituto Antartico Argentino; Centre National de la Recherche Scientifique (CNRS); CNRS - Institute of Ecology &amp; Environment (INEE); Charles Sturt University; Centre National de la Recherche Scientifique (CNRS); CNRS - Institute of Ecology &amp; Environment (INEE)</t>
  </si>
  <si>
    <t>Quillfeldt, P (corresponding author), Justus Liebig Univ Giessen, Dept Anim Ecol &amp; Systemat, Heinrich Buff Ring 26, D-35392 Giessen, Germany.</t>
  </si>
  <si>
    <t>petra.quillfeldt@bio.uni-giessen.de; yuliana.bedolla@islas.org.mx; mlibertelli5@yahoo.com.ar; yves.cherel@cebc.cnrs.fr; mmassaro@csu.edu.au; paco.bustamante@univ-lr.fr</t>
  </si>
  <si>
    <t>Bustamante, Paco/G-5833-2011; Quillfeldt, Petra/A-9549-2009; Massaro, Melanie/P-4791-2017</t>
  </si>
  <si>
    <t>Bustamante, Paco/0000-0003-3877-9390; Quillfeldt, Petra/0000-0002-4450-8688; Massaro, Melanie/0000-0001-9039-1268; Cherel, Yves/0000-0001-9469-9489</t>
  </si>
  <si>
    <t>0090-4341</t>
  </si>
  <si>
    <t>1432-0703</t>
  </si>
  <si>
    <t>ARCH ENVIRON CON TOX</t>
  </si>
  <si>
    <t>Arch. Environ. Contam. Toxicol.</t>
  </si>
  <si>
    <t>10.1007/s00244-023-01011-3</t>
  </si>
  <si>
    <t>M9MX4</t>
  </si>
  <si>
    <t>WOS:001024130800001</t>
  </si>
  <si>
    <t>Shi, CC; Mao, R; Gong, DY; Kim, SJ; Feng, XY; Sun, YJ; Dong, HL</t>
  </si>
  <si>
    <t>Shi, Cuicui; Mao, Rui; Gong, Dao-Yi; Kim, Seong-Joong; Feng, Xingya; Sun, Yijie; Dong, Huilong</t>
  </si>
  <si>
    <t>Increased dust transport from Patagonia to eastern Antarctica during 2000-2020</t>
  </si>
  <si>
    <t>Dust event frequency; Variation of dust; Climate change</t>
  </si>
  <si>
    <t>PACIFIC DECADAL OSCILLATION; HIGH-LATITUDE DUST; ARCTIC OSCILLATION; DOME C; SOUTH; DESERT; IRON; FLUXES; STORM; ENSO</t>
  </si>
  <si>
    <t>Patagonia is an important dust source for Antarctica due to its proximity. However, the changes in the dust transport from Patagonia to Antarctica during the last two decades remain poorly understood. In this study, we used in-situ observations, remote sensing data, and reanalysis data to show changes in the frequency of dust events in Patagonia and their influence on the dust deposition in eastern Antarctica during the austral springs of 2000-2020. An increasing trend in the frequency of Patagonian dust events was observed from 2000 to 2020, with average frequencies of 3.1 and 8.1 in 2000-2006 and 2007-2020, respectively. The increased dust event frequency in Patagonia was caused by an increase in both the mean wind speed, the downslope wind frequency and air temperature and a decrease in the local soil moisture. The increased Patagonian dust event led to an increasing trend in dust deposition in austral spring from the eastern coast of Patagonia to the northeast of the Antarctic Peninsula and northern Weddell Sea, indicating increasing dust transport from Patagonia to eastern Antarctica from 2000 to 2020. This increased dust transport was related to enhanced westerly winds from Patagonia to the northern Weddell Sea. The increased frequency of circulation patterns conducive to dust events also contributed to the increased transport of Patagonian dust to the Weddell Sea and East Antarctica during 2000-2020.</t>
  </si>
  <si>
    <t>[Shi, Cuicui] Beijing Normal Univ, Fac Geog Sci, Engn Ctr Desertificat &amp; Blown Sand Control, Minist Educ, Beijing 100875, Peoples R China; [Mao, Rui] Beijing Normal Univ, Sch Natl Safety &amp; Emergency Management, Beijing 100875, Peoples R China; [Shi, Cuicui; Gong, Dao-Yi; Feng, Xingya; Sun, Yijie] Beijing Normal Univ, Fac Geog Sci, Acad Disaster Reduct &amp; Emergency Management, Beijing, Peoples R China; [Kim, Seong-Joong] Korea Polar Res Inst, Div Atmospher Sci, Incheon 406130, South Korea; [Dong, Huilong] CSSC Marine Technol Co Ltd, Beijing 100875, Peoples R China</t>
  </si>
  <si>
    <t>Beijing Normal University; Beijing Normal University; Beijing Normal University; Korea Polar Research Institute (KOPRI)</t>
  </si>
  <si>
    <t>Mao, R (corresponding author), Beijing Normal Univ, Sch Natl Safety &amp; Emergency Management, Beijing 100875, Peoples R China.</t>
  </si>
  <si>
    <t>mr@bnu.edu.cn</t>
  </si>
  <si>
    <t>China's Second Tibetan Plateau Scientific Expedition and Research project [2019QZKK0906]; Opening Foundation of Engineering Center of Desertification and Blown-Sand Control of Ministry of Education, Beijing Normal University [PE22030]; Korea Polar Research Institute; [2022-A3-5]</t>
  </si>
  <si>
    <t>China's Second Tibetan Plateau Scientific Expedition and Research project; Opening Foundation of Engineering Center of Desertification and Blown-Sand Control of Ministry of Education, Beijing Normal University; Korea Polar Research Institute(Korea Polar Research Institute of Marine Research Placement (KOPRI));</t>
  </si>
  <si>
    <t>This study was supported by China's Second Tibetan Plateau Scientific Expedition and Research project (2019QZKK0906) . Mao and Kim were supported by Project PE22030 of the Korea Polar Research Institute. Shi was supported by Opening Foundation of Engineering Center of Desertification and Blown-Sand Control of Ministry of Education, Beijing Normal University (NO. 2022-A3-5) .</t>
  </si>
  <si>
    <t>10.1016/j.gloplacha.2023.104186</t>
  </si>
  <si>
    <t>O9OA6</t>
  </si>
  <si>
    <t>WOS:001047027800001</t>
  </si>
  <si>
    <t>Attard, MRG; Bowen, J; Portugal, SJ</t>
  </si>
  <si>
    <t>Attard, Marie R. G.; Bowen, James; Portugal, Steven J.</t>
  </si>
  <si>
    <t>Surface texture heterogeneity in maculated bird eggshells</t>
  </si>
  <si>
    <t>JOURNAL OF THE ROYAL SOCIETY INTERFACE</t>
  </si>
  <si>
    <t>bird; eggshell; maculation; roughness; surface texture; topography</t>
  </si>
  <si>
    <t>EGG COLOR; AVIAN EGG; ROUGHNESS; EVOLUTION; SELECTION; PATTERNS; VATERITE; BEHAVIOR; CUCKOO</t>
  </si>
  <si>
    <t>Many of the world's 10 000 bird species lay coloured or patterned eggs. The large diversity of eggshell patterning among birds, achieved through pigment, has been attributed to a few selective agents such as crypsis, thermoregulation, egg recognition, mate signalling, egg strength and protecting the embryo from UV. Pigmentation may influence the texture of eggshells, which in turn may be important for dealing with water and microbes. We measured surface roughness (S-a, nm), surface skewness (S-sk) and surface kurtosis (S-ku), which describe different aspects of surface texture, across 204 bird species with maculated (patterned) eggs and 166 species with immaculate (non-patterned) eggs. Using phylogenetically controlled analyses, we tested whether maculated eggshells have different surface topography between the foreground colour and background colour, and between the background colour of maculated eggshells and the surface of immaculate eggshells. Secondly, we determined to what extent variation in eggshell pigmentation of the foreground and background colour is determined by phylogenetic relatedness, and whether certain life-history traits are important predictors of eggshell surface structure. We show that the surface of maculated eggs consists of a rougher foreground pigment compared to the background pigment across 71% of the 204 bird species (54 families) investigated. Species that lay immaculate eggs showed no difference in surface roughness, kurtosis or skewness compared to background pigment of maculated eggs. The difference in eggshell surface roughness between foreground and background pigmentation was greater among species that occupied dense habitats, such as forests with closed canopies, compared to those that nest in open and semi-open habitats (e.g. cities, deserts, grasslands, open shrubland and seashores). Among maculated eggs, foreground texture was correlated with habitat, parental care, diet, nest location, avian group and nest type, while background texture was correlated with clutch size, annual temperature, development mode and annual precipitation. Surface roughness among immaculate eggs was greatest for herbivores, and species that have larger clutch sizes. Together, this suggests that multiple life-history traits have influenced the evolution of eggshell surface textures in modern birds.</t>
  </si>
  <si>
    <t>[Attard, Marie R. G.; Portugal, Steven J.] Royal Holloway Univ London, Sch Life &amp; Environm Sci, Dept Biol Sci, Egham TW20 0EX, England; [Attard, Marie R. G.; Bowen, James] Open Univ, Sch Engn &amp; Innovat, Milton Keynes MK7 6AA, England; [Attard, Marie R. G.] British Antarctic Survey, Mapping &amp; Geog Informat Ctr, Cambridge CB3 0ET, England; [Portugal, Steven J.] Nat Hist Museum, Tring HP23 6AP, England</t>
  </si>
  <si>
    <t>University of London; Royal Holloway University London; Open University - UK; UK Research &amp; Innovation (UKRI); Natural Environment Research Council (NERC); NERC British Antarctic Survey; Natural History Museum London</t>
  </si>
  <si>
    <t>Portugal, SJ (corresponding author), Royal Holloway Univ London, Sch Life &amp; Environm Sci, Dept Biol Sci, Egham TW20 0EX, England.;Portugal, SJ (corresponding author), Nat Hist Museum, Tring HP23 6AP, England.</t>
  </si>
  <si>
    <t>steve.portugal@rhul.ac.uk</t>
  </si>
  <si>
    <t>; Bowen, James/B-9874-2011</t>
  </si>
  <si>
    <t>Portugal, Steven/0000-0002-2438-2352; Attard, Marie/0000-0002-8509-3677; Bowen, James/0000-0002-8452-0139</t>
  </si>
  <si>
    <t>Leverhulme Trust [RPG-2018-332]</t>
  </si>
  <si>
    <t>Leverhulme Trust(Leverhulme Trust)</t>
  </si>
  <si>
    <t>This project and M.R.G.A. were funded by a Research Project Grant (grant no. RPG-2018-332) from the Leverhulme Trust, awarded to S.J.P.</t>
  </si>
  <si>
    <t>1742-5689</t>
  </si>
  <si>
    <t>1742-5662</t>
  </si>
  <si>
    <t>J R SOC INTERFACE</t>
  </si>
  <si>
    <t>J. R. Soc. Interface</t>
  </si>
  <si>
    <t>JUL 12</t>
  </si>
  <si>
    <t>10.1098/rsif.2023.0293</t>
  </si>
  <si>
    <t>M1OY2</t>
  </si>
  <si>
    <t>WOS:001027939000001</t>
  </si>
  <si>
    <t>Banwell, AF; Burton, JC; Cenedese, C; Golden, K; Åström, J</t>
  </si>
  <si>
    <t>Banwell, Alison F.; Burton, Justin C.; Cenedese, Claudia; Golden, Kenneth; Astrom, Jan</t>
  </si>
  <si>
    <t>Physics of the cryosphere</t>
  </si>
  <si>
    <t>NATURE REVIEWS PHYSICS</t>
  </si>
  <si>
    <t>OCEAN</t>
  </si>
  <si>
    <t>The cryosphere - the part of Earth's climate system consisting of snow and ice - is undergoing rapid and massive perturbations due to planetary warming. For instance, almost half the summer Arctic sea-ice cover has been lost over recent decades; February 2023 saw the extent of Antarctic sea ice reach a record low. Such melting has ripple effects and feedbacks on the climate system that are powerful and can travel far, challenging efforts at modelling and prediction. Five researchers discuss how diverse physics ideas can help better understand the cryosphere.</t>
  </si>
  <si>
    <t>[Banwell, Alison F.] Univ Colorado Boulder, Cooperat Inst Res Environm Sci CIRES, Boulder, CO 80309 USA; [Burton, Justin C.] Emory Univ, Dept Phys, Atlanta, GA 30322 USA; [Cenedese, Claudia] Woods Hole Oceanog Inst, Phys Oceanog Dept, Woods Hole, MA 02543 USA; [Golden, Kenneth] Univ Utah, Dept Math, Salt Lake City, UT 84112 USA; [Astrom, Jan] CSC Sci Comp Ltd, Espoo, Finland</t>
  </si>
  <si>
    <t>University of Colorado System; University of Colorado Boulder; Emory University; Woods Hole Oceanographic Institution; Utah System of Higher Education; University of Utah; Finnish IT center for science</t>
  </si>
  <si>
    <t>Banwell, AF (corresponding author), Univ Colorado Boulder, Cooperat Inst Res Environm Sci CIRES, Boulder, CO 80309 USA.;Burton, JC (corresponding author), Emory Univ, Dept Phys, Atlanta, GA 30322 USA.;Cenedese, C (corresponding author), Woods Hole Oceanog Inst, Phys Oceanog Dept, Woods Hole, MA 02543 USA.;Golden, K (corresponding author), Univ Utah, Dept Math, Salt Lake City, UT 84112 USA.;Åström, J (corresponding author), CSC Sci Comp Ltd, Espoo, Finland.</t>
  </si>
  <si>
    <t>Alison.Banwell@Colorado.edu; justin.c.burton@emory.edu; ccenedese@whoi.edu; golden@math.utah.edu; jan.astrom@csc.fi</t>
  </si>
  <si>
    <t>Banwell, Alison/W-8180-2018</t>
  </si>
  <si>
    <t>Banwell, Alison/0000-0001-9545-829X; Burton, Justin/0000-0002-4797-8968</t>
  </si>
  <si>
    <t>2522-5820</t>
  </si>
  <si>
    <t>NAT REV PHYS</t>
  </si>
  <si>
    <t>Nat. Rev. Phys.</t>
  </si>
  <si>
    <t>10.1038/s42254-023-00610-2</t>
  </si>
  <si>
    <t>Physics, Applied; Physics, Multidisciplinary</t>
  </si>
  <si>
    <t>O2CR0</t>
  </si>
  <si>
    <t>WOS:001026683800001</t>
  </si>
  <si>
    <t>Bharali, P; Gogoi, B; Sorhie, V; Acharjee, SA; Walling, B; Vishwakarma, V; Shah, MP</t>
  </si>
  <si>
    <t>Bharali, Pranjal; Gogoi, Bhagyudoy; Sorhie, Viphrezolie; Acharjee, Shiva Aley; Walling, Bendangtula; Vishwakarma, Vinita; Shah, Maulin Pramod</t>
  </si>
  <si>
    <t>Autochthonous psychrophilic hydrocarbonoclastic bacteria and its ecological function in contaminated cold environments</t>
  </si>
  <si>
    <t>BIODEGRADATION</t>
  </si>
  <si>
    <t>Petroleum hydrocarbon; Pollution; Psychrophilic; Hydrocarbonoclastic; Bioremediation</t>
  </si>
  <si>
    <t>POLYCYCLIC AROMATIC-HYDROCARBONS; MICROBIAL COMMUNITY STRUCTURE; TERRA-NOVA BAY; BIOREMEDIATION NATURAL ATTENUATION; HALOGENATED ORGANIC-CHEMICALS; MARINE OIL-SPILLS; ARCTIC SEA-ICE; CRUDE-OIL; PETROLEUM-HYDROCARBONS; DEGRADING BACTERIA</t>
  </si>
  <si>
    <t>Petroleum hydrocarbon (PH) pollution has mostly been caused by oil exploration, extraction, and transportation activities in colder regions, particularly in the Arctic and Antarctic regions, where it serves as a primary source of energy. Due to the resilience feature of nature, such polluted environments become the realized ecological niches for a wide community of psychrophilic hydrocarbonoclastic bacteria (PHcB). In contrast, to other psychrophilic species, PHcB is extremely cold-adapted and has unique characteristics that allow them to thrive in greater parts of the cold environment burdened with PHs. The stated group of bacteria in its ecological niche aids in the breakdown of litter, turnover of nutrients, cycling of carbon and nutrients, and bioremediation. Although such bacteria are the pioneers of harsh colder environments, their growth and distribution remain under the influence of various biotic and abiotic factors of the environment. The review discusses the prevalence of PHcB community in colder habitats, the metabolic processes involved in the biodegradation of PH, and the influence of biotic and abiotic stress factors. The existing understanding of the PH metabolism by PHcB offers confirmation of excellent enzymatic proficiency with high cold stability. The discovery of more flexible PH degrading strategies used by PHcB in colder environments could have a significant beneficial outcome on existing bioremediation technologies. Still, PHcB is least explored for other industrial and biotechnological applications as compared to non-PHcB psychrophiles. The present review highlights the pros and cons of the existing bioremediation technologies as well as the potential of different bioaugmentation processes for the effective removal of PH from the contaminated cold environment. Such research will not only serve to investigate the effects of pollution on the basic functional relationships that form the cold ecosystem but also to assess the efficacy of various remediation solutions for diverse settings and climatic conditions.</t>
  </si>
  <si>
    <t>[Bharali, Pranjal; Gogoi, Bhagyudoy; Sorhie, Viphrezolie; Acharjee, Shiva Aley; Walling, Bendangtula] Nagaland Univ, Dept Environm Sci, Appl Environm Microbial Biotechnol Lab, Lumami 798627, Nagaland, India; [Vishwakarma, Vinita] Galgotias Univ, Ctr Nanosci &amp; Nanotechnol, Greater Noida, NCR Delhi, India; [Shah, Maulin Pramod] Enviro Technol Ltd, Div Appl &amp; Environm Microbiol Lab, Ind Waste Water Res Lab, Ankleshwar, Gujarat, India</t>
  </si>
  <si>
    <t>Nagaland University; Galgotias University</t>
  </si>
  <si>
    <t>Bharali, P (corresponding author), Nagaland Univ, Dept Environm Sci, Appl Environm Microbial Biotechnol Lab, Lumami 798627, Nagaland, India.</t>
  </si>
  <si>
    <t>prangenetu@gmail.com</t>
  </si>
  <si>
    <t>Department of Tribal Affairs, Government of India; Nagaland University, Lumami, Nagaland</t>
  </si>
  <si>
    <t>The authors would like to convey their sincere gratitude to the Department of Tribal Affairs, Government of India, and Nagaland University, Lumami, Nagaland for facilitate financial support in the form of NFST, and Institutional fellowship throughout the research work.</t>
  </si>
  <si>
    <t>0923-9820</t>
  </si>
  <si>
    <t>1572-9729</t>
  </si>
  <si>
    <t>Biodegradation</t>
  </si>
  <si>
    <t>10.1007/s10532-023-10042-5</t>
  </si>
  <si>
    <t>EG1T0</t>
  </si>
  <si>
    <t>WOS:001026743900002</t>
  </si>
  <si>
    <t>Greve, R; Chambers, C; Obase, T; Saito, F; Chan, WL; Abe-Ouchi, A</t>
  </si>
  <si>
    <t>Greve, Ralf; Chambers, Christopher; Obase, Takashi; Saito, Fuyuki; Chan, Wing-Le; Abe-Ouchi, Ayako</t>
  </si>
  <si>
    <t>Future projections for the Antarctic ice sheet until the year 2300 with a climate-index method</t>
  </si>
  <si>
    <t>JOURNAL OF GLACIOLOGY</t>
  </si>
  <si>
    <t>Antarctic glaciology; climate change; ice and climate; ice-sheet modelling</t>
  </si>
  <si>
    <t>SEA-LEVEL RISE; MODEL; GREENLAND; HYSTERESIS; COMMITMENT; GLACIERS; COLLAPSE; THWAITES; SCHEMES; RETREAT</t>
  </si>
  <si>
    <t>As part of the Coupled Model Intercomparison Project Phase 6 (CMIP6), the Ice Sheet Model Intercomparison Project for CMIP6 (ISMIP6) was devised to assess the likely sea-level-rise contribution from the Earth's ice sheets. Here, we construct an ensemble of climate forcings for Antarctica until the year 2300 based on original ISMIP6 forcings until 2100, combined with climate indices from simulations with the MIROC4m climate model until 2300. We then use these forcings to run simulations for the Antarctic ice sheet with the SICOPOLIS model. For the unabated warming pathway RCP8.5/SSP5-8.5, the ice sheet suffers a severe mass loss, amounting to similar to 1.5 m SLE (sea-level equivalent) for the fourteen-experiment mean, and similar to 3.3 m SLE for the most sensitive experiment. Most of this loss originates from West Antarctica. For the reduced emissions pathway RCP2.6/SSP1-2.6, the loss is limited to a three-experiment mean of similar to 0.16 m SLE. The means are approximately two times larger than what was found in a previous study (Chambers and others, 2022, doi:10.1017/jog.2021.124) that assumed a sustained late-21st-century climate beyond 2100, demonstrating the importance of post-2100 climate trends on Antarctic mass changes in the 22nd and 23rd centuries.</t>
  </si>
  <si>
    <t>[Greve, Ralf; Chambers, Christopher] Hokkaido Univ, Inst Low Temp Sci, Sapporo, Japan; [Greve, Ralf] Hokkaido Univ, Arctic Res Ctr, Sapporo, Japan; [Obase, Takashi; Chan, Wing-Le; Abe-Ouchi, Ayako] Univ Tokyo, Atmosphere &amp; Ocean Res Inst, Kashiwa, Japan; [Saito, Fuyuki; Chan, Wing-Le] Japan Agcy Marine Earth Sci &amp; Technol, Yokohama, Japan</t>
  </si>
  <si>
    <t>Hokkaido University; Hokkaido University; University of Tokyo; Japan Agency for Marine-Earth Science &amp; Technology (JAMSTEC)</t>
  </si>
  <si>
    <t>Greve, R (corresponding author), Hokkaido Univ, Inst Low Temp Sci, Sapporo, Japan.;Greve, R (corresponding author), Hokkaido Univ, Arctic Res Ctr, Sapporo, Japan.</t>
  </si>
  <si>
    <t>greve@lowtem.hokudai.ac.jp</t>
  </si>
  <si>
    <t>; Chan, Wing-Le/E-9550-2012</t>
  </si>
  <si>
    <t>Chambers, Christopher/0000-0001-8847-6123; Chan, Wing-Le/0000-0002-5646-6104; SAITO, Fuyuki/0000-0001-5935-9614</t>
  </si>
  <si>
    <t>0022-1430</t>
  </si>
  <si>
    <t>1727-5652</t>
  </si>
  <si>
    <t>J GLACIOL</t>
  </si>
  <si>
    <t>J. Glaciol.</t>
  </si>
  <si>
    <t>2023 JUL 11</t>
  </si>
  <si>
    <t>10.1017/jog.2023.41</t>
  </si>
  <si>
    <t>S9SK6</t>
  </si>
  <si>
    <t>WOS:001074489900001</t>
  </si>
  <si>
    <t>Karplus, MS; Young, TJ; Anandakrishnan, S; Bassis, JN; Case, EH; Crawford, AJ; Gold, A; Henry, L; Kingslake, J; Lehrmann, AA; Montaño, PA; Pettit, EC; Scambos, TA; Sheffield, EM; Smith, EC; Turrin, M; Wellner, JS</t>
  </si>
  <si>
    <t>Karplus, Marianne S.; Young, Tun Jan; Anandakrishnan, Sridhar; Bassis, Jeremy N.; Case, Elizabeth H.; Crawford, Anna J.; Gold, Anne; Henry, Leilani; Kingslake, Jonathan; Lehrmann, Asmara A.; Montano, Patricia A.; Pettit, Erin C.; Scambos, Ted A.; Sheffield, Elizabeth M.; Smith, Emma C.; Turrin, Margie; Wellner, Julia S.</t>
  </si>
  <si>
    <t>Strategies to build a positive and inclusive Antarctic field work environment</t>
  </si>
  <si>
    <t>ANNALS OF GLACIOLOGY</t>
  </si>
  <si>
    <t>Antarctic glaciology; atmosphere/ice/ocean interactions; climate change</t>
  </si>
  <si>
    <t>To increase inclusivity, diversity, equity and accessibility in Antarctic science, we must build more positive and inclusive Antarctic field work environments. The International Thwaites Glacier Collaboration (ITGC) has engaged in efforts to contribute to that goal through a variety of activities since 2018, including creating an open-access 'Field and Ship Best Practices' guide, engaging in pre-field season team dynamics meetings, and surveying post-field season reflections and experiences. We report specific actions taken by ITGC and their outcomes. We found that strong and supported early career researchers brought new and important perspectives regarding strategies for transforming culture. We discovered that engaged and involved senior leadership was also critical for expanding participation and securing funding to support efforts. Pre-field discussions involving all field team members were particularly helpful for setting expectations, improving sense of belonging, describing field work best practices, and co-creating a positive work culture.</t>
  </si>
  <si>
    <t>[Karplus, Marianne S.] Univ Texas El Paso, Dept Earth Environm &amp; Resource Sci, El Paso, TX 79968 USA; [Young, Tun Jan] Univ St Andrews, Sch Geog &amp; Sustainable Dev, St Andrews, Scotland; [Young, Tun Jan] Univ Cambridge, Scott Polar Res Inst, Cambridge, England; [Anandakrishnan, Sridhar] Penn State Univ, Dept Geosci, University Pk, PA USA; [Bassis, Jeremy N.] Univ Michigan, Dept Climate &amp; Space Sci &amp; Engn, Ann Arbor, MI USA; [Case, Elizabeth H.; Kingslake, Jonathan] Columbia Univ, Dept Earth &amp; Environm Sci, New York, NY USA; [Case, Elizabeth H.; Kingslake, Jonathan; Turrin, Margie] Lamont Doherty Earth Observ, Palisades, NY USA; [Crawford, Anna J.] Univ Edinburgh, Sch Geosci, Edinburgh, Scotland; [Gold, Anne; Montano, Patricia A.; Scambos, Ted A.; Sheffield, Elizabeth M.] Cooperat Inst Res Environm Sci, Boulder, CO USA; [Henry, Leilani] Being &amp; Living Enterprises LTD, Conifer, CO USA; [Lehrmann, Asmara A.] Univ Alabama, Dept Geol Sci, Tuscaloosa, AL USA; [Montano, Patricia A.] Natl Ctr Atmospher Res, Boulder, CO USA; [Pettit, Erin C.] Oregon State Univ, Coll Earth Ocean &amp; Atmospher Sci, Corvallis, OR USA; [Smith, Emma C.] Univ Leeds, Sch Earth &amp; Environm, Leeds, England; [Wellner, Julia S.] Univ Houston, Dept Earth &amp; Atmospher Sci, Houston, TX USA</t>
  </si>
  <si>
    <t>University of Texas System; University of Texas El Paso; University of St Andrews; University of Cambridge; Pennsylvania Commonwealth System of Higher Education (PCSHE); Pennsylvania State University; Pennsylvania State University - University Park; University of Michigan System; University of Michigan; Columbia University; Columbia University; University of Edinburgh; University of Alabama System; University of Alabama Tuscaloosa; National Center Atmospheric Research (NCAR) - USA; Oregon State University; University of Leeds; University of Houston System; University of Houston</t>
  </si>
  <si>
    <t>Karplus, MS (corresponding author), Univ Texas El Paso, Dept Earth Environm &amp; Resource Sci, El Paso, TX 79968 USA.</t>
  </si>
  <si>
    <t>mkarplus@utep.edu</t>
  </si>
  <si>
    <t>Smith, Emma/AAO-5329-2021; Bassis, Jeremy/J-1706-2012</t>
  </si>
  <si>
    <t>Smith, Emma/0000-0002-8672-8259; Lehrmann, Asmara/0000-0001-6327-8622; Young, Tun Jan/0000-0001-5865-3459; GOLD, ANNE/0000-0002-5309-0762; Case, Elizabeth/0000-0002-8169-0343; Bassis, Jeremy/0000-0003-2946-7176; SCAMBOS, Ted A./0000-0003-4268-6322; Turrin, Margaret/0000-0001-8960-0034</t>
  </si>
  <si>
    <t>National Science Foundation (NSF) [1738913, 1738896, 1738942, 1738992, 1738934]; Natural Environment Research Council (NERC) [NE/S006788/1, NE/S006605/1, NE/S00677X/1]; NOAA [NA17OAR4320101]; NERC [NE/S006605/1, NE/S00677X/1, NE/S006788/1] Funding Source: UKRI</t>
  </si>
  <si>
    <t>National Science Foundation (NSF)(National Science Foundation (NSF)); Natural Environment Research Council (NERC)(UK Research &amp; Innovation (UKRI)Natural Environment Research Council (NERC)); NOAA(National Oceanic Atmospheric Admin (NOAA) - USA); NERC(UK Research &amp; Innovation (UKRI)Natural Environment Research Council (NERC))</t>
  </si>
  <si>
    <t>This work is from the Inclusivity, Diversity, Equity and Accessibility (IDEA) Council of the International Thwaites Glacier Collaboration (ITGC). Support from National Science Foundation (NSF: Grants 1738913, 1738896, 1738942, 1738992, 1738896, 1738934) and Natural Environment Research Council (NERC: Grants NE/S006788/1, NE/S006605/1, NE/S00677X/1). This research was supported in part by the NOAA cooperative agreement NA17OAR4320101. Logistics provided by NSF-U.S. Antarctic Program and NERC-British Antarctic Survey. ITGC Contribution No. ITGC-084. The post-field surveys were created by Patricia A. Montano for the SCO during P. Montano's term at Education and Outreach within the University of Colorado CIRES. We thank Irfanul Alam (graduate research assistant, CIRES) who also contributed to analysis of the 2021-22 survey. We thank all members of the ITGC IDEA Council for productive conversations on these topics. All documents authored by the ITGC IDEA Council are accessible and are live documents through the github version control platform:Community Norms and Values: https://github.com/ldeo-glaciology/ITGC-community-normsField and Ship Best Practices: https://github.com/ldeo-glaciology/ITGC-field-doc</t>
  </si>
  <si>
    <t>0260-3055</t>
  </si>
  <si>
    <t>1727-5644</t>
  </si>
  <si>
    <t>ANN GLACIOL</t>
  </si>
  <si>
    <t>Ann. Glaciol.</t>
  </si>
  <si>
    <t>87-89</t>
  </si>
  <si>
    <t>10.1017/aog.2023.32</t>
  </si>
  <si>
    <t>U6EA8</t>
  </si>
  <si>
    <t>WOS:001074722900001</t>
  </si>
  <si>
    <t>Bif, MB; Long, JS; Johnson, KS</t>
  </si>
  <si>
    <t>Bif, Mariana B.; Long, Jacqueline S.; Johnson, Kenneth S.</t>
  </si>
  <si>
    <t>Seasonality modulates particulate organic carbon dynamics in mid-latitudes of South Pacific and South Atlantic Oceans</t>
  </si>
  <si>
    <t>Biological carbon pump; Marine carbon cycle; Particulate organic carbon; Primary production; Southern Ocean; Transfer efficiency</t>
  </si>
  <si>
    <t>SUBSURFACE CHLOROPHYLL MAXIMUM; OPTICAL BACKSCATTERING; PRIMARY PRODUCTIVITY; FLUX; EXPORT; IRON; PHYTOPLANKTON; VARIABILITY; LAYER; SEQUESTRATION</t>
  </si>
  <si>
    <t>Here we used data from six BGC-floats deployed in the southeast Pacific and southwest Atlantic Oceans, within the Southern Ocean's Subtropical Zone, to assess the seasonality of particulate organic carbon production from phytoplankton (POCphyto) and estimate POC transfer efficiencies at 100 m below the euphotic zone (T_100). While small particles &lt;100 mu M dominated the mixed layer, large particles &gt;100 mu M comprised a significant fraction of POCphyto below the mixed layer in both areas, possibly due to a shade flora composed by large diatoms. POCphyto was highly seasonal with highest biomass accumulation in the Atlantic side for both small and large particles. In the Pacific, the seasonal change in small particle production Delta POCphyto was similar to 66 mg m(-2) versus similar to 54 mg m(-2) from large particles. In the Atlantic, Delta POC(phyt)o was similar to 852 mg m(-2) for small particles versus Delta POCphyto similar to 262 mg m(-2) for large particles. Monthly T_100s in the Pacific ranged from 76% to 92% with maximum efficiencies during the deepening of the mixed layer depth. In the Atlantic, T_100s ranged from 43% to 76% with two periods of high T_100s: the first coinciding with the decline of large particles from the shade flora, and the second coinciding with the deepening of the mixed layer during elevated small particle production.</t>
  </si>
  <si>
    <t>[Bif, Mariana B.; Long, Jacqueline S.; Johnson, Kenneth S.] Monterey Bay Aquarium Res Inst MBARI, Moss Landing, CA 95039 USA</t>
  </si>
  <si>
    <t>Monterey Bay Aquarium Research Institute</t>
  </si>
  <si>
    <t>Bif, MB (corresponding author), Monterey Bay Aquarium Res Inst MBARI, Moss Landing, CA 95039 USA.</t>
  </si>
  <si>
    <t>mariana@mbari.org</t>
  </si>
  <si>
    <t>David and Lucile Packard Foundation [3901497]; Southern Ocean Carbon and Climate Observations and Modeling (SOCCOM) Project under the NSF Awards [PLR-1425989, OPP-1936222]; NOAA; NASA; U.S. National Science Foundation through the U.S. Antarctic Program</t>
  </si>
  <si>
    <t>David and Lucile Packard Foundation(The David &amp; Lucile Packard Foundation); Southern Ocean Carbon and Climate Observations and Modeling (SOCCOM) Project under the NSF Awards; NOAA(National Oceanic Atmospheric Admin (NOAA) - USA); NASA(National Aeronautics &amp; Space Administration (NASA)); U.S. National Science Foundation through the U.S. Antarctic Program(National Science Foundation (NSF))</t>
  </si>
  <si>
    <t>The authors would like to thank all the personnel involved in efforts to build, deploy floats and process data. We also thank UK BioArgo-BODC project to make data available for the float WMO#3901497, and the SOCCOM project for data availability of the remaining floats. All authors were supported through MBARI by the David and Lucile Packard Foundation. This work was sponsored by Southern Ocean Carbon and Climate Observations and Modeling (SOCCOM) Project under the NSF Awards PLR-1425989 and OPP-1936222, with additional support from NOAA and NASA. Logistical support for this project in the Antarctic was provided by the U.S. National Science Foundation through the U.S. Antarctic Program.</t>
  </si>
  <si>
    <t>10.1016/j.jmarsys.2023.103916</t>
  </si>
  <si>
    <t>O7WU5</t>
  </si>
  <si>
    <t>WOS:001045880100001</t>
  </si>
  <si>
    <t>Wyatt, NJ; Birchill, A; Ussher, S; Milne, A; Bouman, HA; Troein, ES; Pabortsava, K; Wright, A; Flanagan, O; Bibby, TS; Martin, A; Moore, CM</t>
  </si>
  <si>
    <t>Wyatt, Neil J.; Birchill, Antony; Ussher, Simon; Milne, Angela; Bouman, Heather A.; Troein, Elizabeth Shoenfelt; Pabortsava, Katsiaryna; Wright, Alan; Flanagan, Oliver; Bibby, Thomas S.; Martin, Adrian; Moore, C. Mark</t>
  </si>
  <si>
    <t>Phytoplankton responses to dust addition in the Fe-Mn co- limited eastern Pacific sub- Antarctic differ by source region</t>
  </si>
  <si>
    <t>biogeochemistry; phytoplankton; ecophysiology</t>
  </si>
  <si>
    <t>SOUTHERN-OCEAN PHYTOPLANKTON; IRON FERTILIZATION; EXPORT PRODUCTION; CLIMATE-CHANGE; TRACE-METALS; LIMITATION; STRATIFICATION; DISSOLUTION; SOLUBILITY; IMPACTS</t>
  </si>
  <si>
    <t>The seasonal availability of light and micronutrients strongly regulates productivity in the Southern Ocean, restricting biological utilization of macronutrients and CO2 draw -down. Mineral dust flux is a key conduit for micronutrients to the Southern Ocean and a critical mediator of multimillennial- scale atmospheric CO2 oscillations. While the role of dust -borne iron (Fe) in Southern Ocean biogeochemistry has been examined in detail, manganese (Mn) availability is also emerging as a potential driver of past, present, and future Southern Ocean biogeochemistry. Here, we present results from fifteen bioassay experiments along a north-south transect in the undersampled eastern Pacific sub-Antarctic zone. In addition to widespread Fe limitation of phytoplankton photochem-ical efficiency, we found further responses following the addition of Mn at our southerly stations, supporting the importance of Fe-Mn co-limitation in the Southern Ocean. Moreover, addition of different Patagonian dusts resulted in enhanced photochemical efficiency with differential responses linked to source region dust characteristics in terms of relative Fe/Mn solubility. Changes in the relative magnitude of dust deposition, com-bined with source region mineralogy, could hence determine whether Fe or Mn limitation control Southern Ocean productivity under future as well as past climate states.</t>
  </si>
  <si>
    <t>[Wyatt, Neil J.; Wright, Alan; Flanagan, Oliver; Bibby, Thomas S.; Moore, C. Mark] Univ Southampton, Natl Oceanog Ctr Southampton, Sch Ocean &amp; Earth Sci, Southampton SO14 3ZH, England; [Wyatt, Neil J.; Birchill, Antony; Ussher, Simon; Milne, Angela] Univ Plymouth, Sch Geog Earth &amp; Environm Sci, Plymouth PL4 8AA, England; [Bouman, Heather A.] Univ Oxford, Dept Earth Sci, Oxford OX1 2JD, England; [Troein, Elizabeth Shoenfelt] MIT, Dept Earth Atmospher &amp; Planetary Sci, Cambridge, MA 02139 USA; [Pabortsava, Katsiaryna; Martin, Adrian] Natl Oceanog Ctr, Southampton SO14 3ZH, England; [Birchill, Antony] Environm Agcy, Chief Scientists Grp, Romsey SO51 7LP, England; [Troein, Elizabeth Shoenfelt] Isometric, Canterbury CT1 3DN, Kent, England</t>
  </si>
  <si>
    <t>University of Southampton; NERC National Oceanography Centre; University of Plymouth; University of Oxford; Massachusetts Institute of Technology (MIT); NERC National Oceanography Centre</t>
  </si>
  <si>
    <t>Wyatt, NJ (corresponding author), Univ Southampton, Natl Oceanog Ctr Southampton, Sch Ocean &amp; Earth Sci, Southampton SO14 3ZH, England.;Wyatt, NJ (corresponding author), Univ Plymouth, Sch Geog Earth &amp; Environm Sci, Plymouth PL4 8AA, England.</t>
  </si>
  <si>
    <t>neil.j.wyatt@plymouth.ac.uk</t>
  </si>
  <si>
    <t>Flanagan, Oliver/0000-0002-4352-7078; Troein, Elizabeth/0000-0003-1785-7310; Wyatt, Neil/0000-0002-1080-7778; Moore, Mark/0000-0002-9541-6046; birchill, antony/0000-0002-1453-5781</t>
  </si>
  <si>
    <t>Natural Environment Research Council UK project Carbon Uptake and Seasonal Traits in Antarctic Remineralisation Depth (CUSTARD) [NE/P021328/1, NE/P021336/1, NE/P021247/2]; NERC [NE/P021336/1, NE/P021247/2] Funding Source: UKRI</t>
  </si>
  <si>
    <t>Natural Environment Research Council UK project Carbon Uptake and Seasonal Traits in Antarctic Remineralisation Depth (CUSTARD); NERC(UK Research &amp; Innovation (UKRI)Natural Environment Research Council (NERC))</t>
  </si>
  <si>
    <t>We thank the captain, officers, and crew of the R.R.S. Discovery DY111 cruise. We are further grateful to Michael Kaplan (Columbia University) for supplying the Patagonian dust sources used in our experiments. Two reviewers are thanked for comments which considerably improved the manuscript. For the purpose of open access, we have applied a CC BY public copyright license to any author-accepted manuscript version arising from this submission. The work was supported by the Natural Environment Research Council UK project Carbon Uptake and Seasonal Traits in Antarctic Remineralisation Depth (CUSTARD) through grants NE/P021328/1 (C.M.M., H.A.B., and T.S.B.) , NE/P021336/1 (S.U. and A.M.) , and NE/P021247/2 (A.M.) .</t>
  </si>
  <si>
    <t>JUL 11</t>
  </si>
  <si>
    <t>e2220111120</t>
  </si>
  <si>
    <t>10.1073/pnas.2220111120</t>
  </si>
  <si>
    <t>O1GB7</t>
  </si>
  <si>
    <t>Green Accepted, hybrid, Green Published, Green Submitted</t>
  </si>
  <si>
    <t>WOS:001041361900001</t>
  </si>
  <si>
    <t>Cantero, ALP</t>
  </si>
  <si>
    <t>Cantero, Alvaro L. Pena</t>
  </si>
  <si>
    <t>New insights into the diversity and ecology of benthic hydroids (Cnidaria, Hydrozoa) from the Ross Sea (Antarctica)</t>
  </si>
  <si>
    <t>Hydrozoans; New genus; New species; Biodiversity; Biocenology; Distribution</t>
  </si>
  <si>
    <t>SYMPLECTOSCYPHUS MARKTANNER-TURNERETSCHER; SOUTHERN-OCEAN; R.V. POLARSTERN; EXPEDITIONS; US; SERTULARIIDAE; BIODIVERSITY; BIOGEOGRAPHY; ALLMAN; GENUS</t>
  </si>
  <si>
    <t>Hydrozoans are recognized as one of the main and most characteristic zoological groups of the Antarctic benthos, despite the fact that there are still large Antarctic areas where the hydrozoan fauna is completely unknown or poorly known (e.g., the Admunsen Sea and Mary Byrd Land, in West Antarctica, and Queen Maud Land and Enderby Land, in East Antarctica). The present study contributes to a better understanding of the Ross Sea benthic hydroid fauna by studying material collected through several New Zealand expeditions mostly with RV Tangaroa. The Ross Sea includes the world's largest marine-protected area (MPA) and is of considerable biological value and importance for scientific research. Although some parts of the Ross Sea shelf have been intensively sampled, others have not, including deeper parts of the continental shelf and the slope. Forty species were found, belonging to 15 families and 19 genera. Six species, including Eudendrium megaloarmatus sp. nov., Nemertesia gelida sp. nov., Schizotricha frigida sp. nov., Symplectoscyphus pseudofrondosus sp. nov. and Symplectoscyphus tortuosus sp. nov., represent new records, bringing the number of known species in the Ross Sea to 84. Leptothecata is dominant, with 35 species, while Anthoathecata is represented by five species. Symplectoscyphidae is the most diversified family with 12 species (30%), and Symplectoscyphus is the most speciose genus with nine species (23%). Three main hydroid assemblages have been found in the studied area, two with a wide bathymetric range and relatively high species diversity, and a third with a narrow and deep bathymetric range and remarkably low hydroid diversity. The hydroid fauna is dominated by species with a wide bathymetric distribution and virtually all species are restricted to Antarctic or Antarctic/sub-Antarctic waters, with 70% endemic to the Antarctic region.</t>
  </si>
  <si>
    <t>[Cantero, Alvaro L. Pena] Univ Valencia, Dept Zool, Inst Cavanilles Biodivers &amp; Biol Evolut, Apdo Correos 22085, Valencia 46071, Spain</t>
  </si>
  <si>
    <t>University of Valencia</t>
  </si>
  <si>
    <t>Cantero, ALP (corresponding author), Univ Valencia, Dept Zool, Inst Cavanilles Biodivers &amp; Biol Evolut, Apdo Correos 22085, Valencia 46071, Spain.</t>
  </si>
  <si>
    <t>alvaro.l.pena@uv.es</t>
  </si>
  <si>
    <t>Pena Cantero, Alvaro/0000-0003-3056-6673</t>
  </si>
  <si>
    <t>New Zealand Ministry of Fisheries; Antarctica New Zealand; Australian Antarctica Division; NIWA; Ministry of Business, Innovation and Employment (NIWA project) [VES15303]; Ministry of Business, Innovation and Employment (MBIE); University of Auckland; New Zealand Ministry for Primary Industries</t>
  </si>
  <si>
    <t>New Zealand Ministry of Fisheries; Antarctica New Zealand; Australian Antarctica Division; NIWA; Ministry of Business, Innovation and Employment (NIWA project); Ministry of Business, Innovation and Employment (MBIE)(New Zealand Ministry of Business, Innovation and Employment (MBIE)); University of Auckland; New Zealand Ministry for Primary Industries</t>
  </si>
  <si>
    <t>I want to express my gratitude to the NIWA Invertebrate Collection, Sadie Mills, Di Tracey, and Diana Macpherson (NIWA), who provided access to samples and associated sample data. Likewise, I am grateful to two anonymous reviewers for their review of the submitted manuscript. I also want to acknowledge the following research programs that funded the collection studied. Voyage TAN0402: specimens were collected during a biodiversity survey of the western Ross Sea and Balleny Islands in 2004 undertaken by NIWA and financed by the former New Zealand Ministry of Fisheries. Voyage TAN0602: specimens were collected as part of the project Antarctic Geophysical &amp; Scientific Studies' funded by the New Zealand Ministry of Fisheries. Voyage TAN1502: specimens were collected by NIWA on the New Zealand-Australia Antarctic Ecosystems Voyage (TAN1502), funded by Antarctica New Zealand, Australian Antarctica Division, NIWA, and the Ministry of Business, Innovation and Employment (NIWA project VES15303). Voyage TAN1901: the Ross Sea Marine Environment and Ecosystem Voyage 2019 in the Ross Sea sector of Antarctica and the Southern Ocean on the R/V Tangaroa was carried out by NIWA, jointly funded by the Ministry of Business, Innovation and Employment (MBIE), NIWA, and the University of Auckland. Stations beginning with TRIP: specimens were collected under the Scientific Observer Program funded by the New Zealand Ministry for Primary Industries. Dr. Ben Sharp, New Zealand Scientific Committee representative to the Commission for the Conservation of Antarctic Marine Living Resources (CCAMLR) Convention, for approving the provision of the sample data, MPI and CCAMLR Observers for collecting the samples at sea. Dr. Steve Parker (NIWA) for coordinating the collection of CCAMLR VME program samples.</t>
  </si>
  <si>
    <t>10.1007/s00300-023-03175-z</t>
  </si>
  <si>
    <t>WOS:001026371700001</t>
  </si>
  <si>
    <t>Candelori, A; Di Giuseppe, G; Villalobo, E; Sjöodin, A; Vallesi, A</t>
  </si>
  <si>
    <t>Candelori, Annalisa; Di Giuseppe, Graziano; Villalobo, Eduardo; Sjodin, Andreas; Vallesi, Adriana</t>
  </si>
  <si>
    <t>Bipolar Biogeographical Distribution of Parafrancisella Bacteria Carried by the Ciliate Euplotes</t>
  </si>
  <si>
    <t>MICROBIAL ECOLOGY</t>
  </si>
  <si>
    <t>Francisella-like endosymbiont; Francisella adeliensis; Parafrancisella; Euplotes; Microbial associations; Polar microorganisms</t>
  </si>
  <si>
    <t>NOBILII</t>
  </si>
  <si>
    <t>Parafrancisella adeliensis, a Francisella-like endosymbiont, was found to reside in the cytoplasm of an Antarctic strain of the bipolar ciliate species, Euplotes petzi. To inquire whether Euplotes cells collected from distant Arctic and peri-Antarctic sites host Parafrancisella bacteria, wild-type strains of the congeneric bipolar species, E. nobilii, were screened for Parafrancisella by in situ hybridization and 16S gene amplification and sequencing. Results indicate that all Euplotes strains analyzed contained endosymbiotic bacteria with 16S nucleotide sequences closely similar to the P. adeliensis 16S gene sequence. This finding suggests that Parafrancisella/Euplotes associations are not endemic to Antarctica, but are common in both the Antarctic and Arctic regions.</t>
  </si>
  <si>
    <t>[Candelori, Annalisa; Vallesi, Adriana] Univ Camerino, Sch Biosci &amp; Vet Med, Camerino, Italy; [Di Giuseppe, Graziano] Univ Pisa, Dept Biol, Pisa, Italy; [Villalobo, Eduardo] Univ Seville, Fac Biol, Dept Microbiol, Seville, Spain; [Sjodin, Andreas] FOI Swedish Def Res Agcy, Div CBRN Secur &amp; Def, Umea, Sweden</t>
  </si>
  <si>
    <t>University of Camerino; University of Pisa; University of Sevilla; FOI - Swedish Defence Research Agency</t>
  </si>
  <si>
    <t>Vallesi, A (corresponding author), Univ Camerino, Sch Biosci &amp; Vet Med, Camerino, Italy.</t>
  </si>
  <si>
    <t>adriana.vallesi@unicam.it</t>
  </si>
  <si>
    <t>Vallesi, Adriana/I-9933-2016; Sjodin, Andreas/A-7245-2008</t>
  </si>
  <si>
    <t>Vallesi, Adriana/0000-0002-4127-090X; Sjodin, Andreas/0000-0001-5350-4219; Di Giuseppe, Graziano/0000-0002-9999-7650; Villalobo, Eduardo/0000-0002-0331-115X</t>
  </si>
  <si>
    <t>0095-3628</t>
  </si>
  <si>
    <t>1432-184X</t>
  </si>
  <si>
    <t>MICROB ECOL</t>
  </si>
  <si>
    <t>Microb. Ecol.</t>
  </si>
  <si>
    <t>10.1007/s00248-023-02263-1</t>
  </si>
  <si>
    <t>Ecology; Marine &amp; Freshwater Biology; Microbiology</t>
  </si>
  <si>
    <t>Environmental Sciences &amp; Ecology; Marine &amp; Freshwater Biology; Microbiology</t>
  </si>
  <si>
    <t>EO2N6</t>
  </si>
  <si>
    <t>WOS:001026362200001</t>
  </si>
  <si>
    <t>Silva, FV; Pola, M; Cervera, JL</t>
  </si>
  <si>
    <t>Silva, Felipe De Vasconcelos; Pola, Marta; Cervera, Juan Lucas</t>
  </si>
  <si>
    <t>A stomach plate to divide them all: a phylogenetic reassessment of the family Tritoniidae (Nudibranchia: Cladobranchia)</t>
  </si>
  <si>
    <t>ZOOLOGICAL JOURNAL OF THE LINNEAN SOCIETY</t>
  </si>
  <si>
    <t>marine biodiversity; molecular phylogeny; morphological analysis; pseudocryptic speciation; sea slug</t>
  </si>
  <si>
    <t>SPECIES MOLLUSCA; INTEGRATIVE TAXONOMY; BELLI ELIOT; WATER-FLOW; OPISTHOBRANCHIA; GASTROPODA; ATLANTIC; ORIENTATION; PREY; NAVIGATION</t>
  </si>
  <si>
    <t>The phylogeny of the family Tritoniidae has recently been studied with significant advances, but the relationships between genera are still controversial. In our study, we investigated the phylogeny of Tritoniidae using the most diverse taxon sampling possible. We applied an integrative approach based on new sequences of two mitochondrial genes (COI and 16S), a nuclear gene (H3) and morpho-anatomical characters. The monophyly of the family Tritoniidae was not recovered in our phylogenetic analyses. In view of our results, we propose a new rearrangement at the subfamily and genus levels. The plate-bearing genera are raised to the subfamily level as the monophyletic Marioniinae subfam. nov., formed by Marionia and the reinstated Marioniopsis. The remaining plate-less genera are raised to the subfamily level as the monophyletic Tritoniinae subfam. nov.. The genus Myrella is reinstated to assign the Antarctic and sub-Antarctic tritoniids. The taxonomic status of the monotypic Tritonidoxa is confirmed. Species delimitation analyses reveal a new large Marionia species from the Gulf of Cadiz (south-west Spain, Atlantic Ocean) and evidence for the pseudocryptic speciation of numerous Atlantic-Mediterranean and Indo-Pacific tritoniids. Finally, taxonomic notes are provided for several species according to the proposed rearrangement.</t>
  </si>
  <si>
    <t>[Silva, Felipe De Vasconcelos; Cervera, Juan Lucas] Univ Cadiz, Fac Ciencias Mar &amp; Ambientales, Dept Biol, Campus Excelencia Int Mar CEI MAR, Av Republ Saharaui S-N,Ap 40, Puerto Real 11510, Cadiz, Spain; [Pola, Marta] Univ Autonoma Madrid, Fac Ciencias, Dept Biol, Campus Excelencia Int UAM CSIC, C Darwin 2, Madrid 28049, Spain; [Cervera, Juan Lucas] Univ Cadiz, Inst Univ Invest Marina INMAR, Campus Excelencia Int Mar CEI MAR, Av Republ Saharaui S-N,Ap 40, Puerto Real 11510, Cadiz, Spain</t>
  </si>
  <si>
    <t>Universidad de Cadiz; Autonomous University of Madrid; Universidad de Cadiz</t>
  </si>
  <si>
    <t>Silva, FV (corresponding author), Univ Cadiz, Fac Ciencias Mar &amp; Ambientales, Dept Biol, Campus Excelencia Int Mar CEI MAR, Av Republ Saharaui S-N,Ap 40, Puerto Real 11510, Cadiz, Spain.</t>
  </si>
  <si>
    <t>felipe.devasconcelos@uca.es</t>
  </si>
  <si>
    <t>Cervera, Juan Lucas/D-9733-2018</t>
  </si>
  <si>
    <t>Cervera, Juan Lucas/0000-0002-8337-2867; de Vasconcelos Silva, Felipe/0000-0002-8145-4260</t>
  </si>
  <si>
    <t>Progress in Mediterranean Sea Slugs biodiversity' ASSEMBLE (7th FP) [22779]; Conselho Nacional de Desenvolvimento Cientifico e Tecnologico (CNPq-Brazil) [PR2018-039]; University of Cadiz; [232557/2014-4]</t>
  </si>
  <si>
    <t>Progress in Mediterranean Sea Slugs biodiversity' ASSEMBLE (7th FP); Conselho Nacional de Desenvolvimento Cientifico e Tecnologico (CNPq-Brazil)(Conselho Nacional de Desenvolvimento Cientifico e Tecnologico (CNPQ)); University of Cadiz;</t>
  </si>
  <si>
    <t>We are thankful to all reviewers and editors for their thoughtful comments and efforts towards improving our manuscript. We are also thankful to all colleagues and institutions that have provided samples and photographs to this work, such as A. Dimitris, A. Macali, A. Osborne, B. Picton, C. Farias, C. Galia, D. Ortigosa, G. Calado, G. Fufaro, J. Goncalves, J. A. Kongsrud, J. Prkic, K. Malmberg, L. Lanca, M. Caballer, M. Poddubetskaia, N. Tamsouri, S. Thiebaud, T. D'Onofrio, T. Schiotte, V. Fraser and Y. Tibirica. Part of this research was supported by the research projects Progress in Mediterranean Sea Slugs biodiversity' ASSEMBLE (7th FP) grant agreement no. 22779, and Desentranando la diversidad criptica en las regions Lusitanica y Mediterranea: Heterobranquios marinos (Mollusca), Silidos (Annelida) y Caprelidos (Arthropoda, Pancrustacea) como casos de estudio' founded by the University of Cadiz (PR2018-039) to J.L. Cervera. Felipe de Vaconcelos Silva was supported by a Ph. D. scholarship from the Conselho Nacional de Desenvolvimento Cientifico e Tecnologico (CNPq-Brazil) (232557/2014-4).</t>
  </si>
  <si>
    <t>0024-4082</t>
  </si>
  <si>
    <t>1096-3642</t>
  </si>
  <si>
    <t>ZOOL J LINN SOC-LOND</t>
  </si>
  <si>
    <t>Zool. J. Linn. Soc.</t>
  </si>
  <si>
    <t>OCT 3</t>
  </si>
  <si>
    <t>10.1093/zoolinnean/zlad013</t>
  </si>
  <si>
    <t>T8RU6</t>
  </si>
  <si>
    <t>WOS:001026138800001</t>
  </si>
  <si>
    <t>Jeong, H; Turner, AK; Roberts, AF; Veneziani, M; Price, SF; Asay-Davis, XS; Van Roekel, LP; Lin, WY; Caldwell, PM; Park, HS; Wolfe, JD; Mametjanov, A</t>
  </si>
  <si>
    <t>Jeong, Hyein; Turner, Adrian K.; Roberts, Andrew F.; Veneziani, Milena; Price, Stephen F.; Asay-Davis, Xylar S.; Van Roekel, Luke P.; Lin, Wuyin; Caldwell, Peter M.; Park, Hyo-Seok; Wolfe, Jonathan D.; Mametjanov, Azamat</t>
  </si>
  <si>
    <t>Southern Ocean polynyas and dense water formation in a high-resolution, coupled Earth system model</t>
  </si>
  <si>
    <t>WEDDELL SEA POLYNYA; DEEP CONVECTION; VERSION 1; ICE; CIRCULATION; VARIABILITY; SURFACE; ANTARCTICA; MESOSCALE; TRANSPORT</t>
  </si>
  <si>
    <t>Antarctic coastal polynyas produce dense shelf water, a primary source of Antarctic Bottom Water that contributes to the global overturningcirculation. This paper investigates Antarctic dense water formation in the high-resolution version of the Energy Exascale Earth System Model(E3SM-HR). The model is able to reproduce the main Antarctic coastal polynyas, although the polynyas are smaller in area compared toobservations. E3SM-HR also simulates several occurrences of open-ocean polynyas (OOPs) in the Weddell Sea at a higher rate than what the last50 years of the satellite sea ice observational record suggests, but similarly to other high-resolution Earth system model simulations. Furthermore,the densest water masses in the model are formed within the OOPs rather than on the continental shelf as is typically observed. Biases related tothe lack of dense water formation on the continental shelf are associated with overly strong atmospheric polar easterlies, which lead to a strongAntarctic Slope Front and too little exchange between on- and off-continental shelf water masses. Strong polar easterlies also produce excessivesouthward Ekman transport, causing a build-up of sea ice over the continental shelf and enhanced ice melting in the summer season. This, in turn,produces water masses on the continental shelf that are overly fresh and less dense relative to observations. Our results indicate that highresolution alone is insufficient for models to properly reproduce Antarctic dense water; the large-scale polar atmospheric circulation aroundAntarctica must also be accurately simulated.</t>
  </si>
  <si>
    <t>[Jeong, Hyein; Park, Hyo-Seok] Hanyang Univ, Inst Ocean &amp; Atmospher Sci IOAS, Ansan, South Korea; [Jeong, Hyein; Park, Hyo-Seok] Hanyang Univ, Dept Ocean Sci &amp; Technol, Ansan, South Korea; [Jeong, Hyein; Turner, Adrian K.; Roberts, Andrew F.; Veneziani, Milena; Price, Stephen F.; Asay-Davis, Xylar S.; Van Roekel, Luke P.; Wolfe, Jonathan D.] Los Alamos Natl Lab, Los Alamos, NM 87545 USA; [Lin, Wuyin] Brookhaven Natl Lab, Upton, NY USA; [Caldwell, Peter M.] Lawrence Livermore Natl Lab, Livermore, CA USA; [Mametjanov, Azamat] Argonne Natl Lab, Lemont, IL USA</t>
  </si>
  <si>
    <t>Hanyang University; Hanyang University; United States Department of Energy (DOE); Los Alamos National Laboratory; United States Department of Energy (DOE); Brookhaven National Laboratory; United States Department of Energy (DOE); Lawrence Livermore National Laboratory; United States Department of Energy (DOE); Argonne National Laboratory</t>
  </si>
  <si>
    <t>Jeong, H (corresponding author), Hanyang Univ, Inst Ocean &amp; Atmospher Sci IOAS, Ansan, South Korea.;Jeong, H (corresponding author), Hanyang Univ, Dept Ocean Sci &amp; Technol, Ansan, South Korea.;Jeong, H (corresponding author), Los Alamos Natl Lab, Los Alamos, NM 87545 USA.</t>
  </si>
  <si>
    <t>hijeong820310@gmail.com</t>
  </si>
  <si>
    <t>; Price, Stephen/E-1568-2013</t>
  </si>
  <si>
    <t>Asay-Davis, Xylar/0000-0002-1990-892X; Price, Stephen/0000-0001-6878-2553; Mametjanov, Azamat/0000-0001-7316-4231; Veneziani, Milena/0000-0001-9977-4599; Jeong, Hyein/0000-0002-2235-7188; Turner, Adrian/0000-0001-6796-4187; Van Roekel, Luke/0000-0003-1418-5686</t>
  </si>
  <si>
    <t>Argonne Leadership Computing Facility (U.S. DOE) [DE-AC02-06CH11357]; National Energy Research Scientific Computing Center (U.S. DOE) [DE-AC02-05CH11231, DE-AC05-00OR22725]; ASCR Leadership Computing Challenge (ALCC)</t>
  </si>
  <si>
    <t>Argonne Leadership Computing Facility (U.S. DOE); National Energy Research Scientific Computing Center (U.S. DOE)(United States Department of Energy (DOE)); ASCR Leadership Computing Challenge (ALCC)</t>
  </si>
  <si>
    <t>The authors thank three anonymous reviewers for their helpful and constructive comments, which helped us improve the paper. The authors thank Andrew F. Thompson and Andrew L. Stewart for providing access to the CTD observational data in Fig.&amp; nbsp;. E3SM simulations used computing resources from the Argonne Leadership Computing Facility (U.S. DOE contract DE-AC02-06CH11357), the National Energy Research Scientific Computing Center (U.S. DOE contract DE-AC02-05CH11231), and the Oak Ridge Leadership Computing Facility at the Oak Ridge National Laboratory (U.S. DOE contract DE-AC05-00OR22725), awarded under an ASCR Leadership Computing Challenge (ALCC).</t>
  </si>
  <si>
    <t>10.5194/tc-17-2681-2023</t>
  </si>
  <si>
    <t>L8TY5</t>
  </si>
  <si>
    <t>WOS:001025946700001</t>
  </si>
  <si>
    <t>Han, X; Li, YJ; Liu, F; Li, JB; Zheng, XT; Li, Y; Feng, LC</t>
  </si>
  <si>
    <t>Han, Xue; Li, Yanjie; Liu, Fei; Li, Jinbao; Zheng, Xiaotong; Li, Yan; Feng, Licheng</t>
  </si>
  <si>
    <t>Stability of ENSO teleconnections during the last millennium in CESM</t>
  </si>
  <si>
    <t>ENSO; Atmospheric teleconnections; Stability; Last millennium; Interdecadal Pacific oscillation</t>
  </si>
  <si>
    <t>ASIAN WINTER MONSOON; INDO-WESTERN PACIFIC; INTER-DECADAL MODULATION; ROSSBY-WAVE PROPAGATION; INDIAN-OCEAN DIPOLE; AIR-SEA INTERACTION; EL-NINO; SUMMER MONSOON; VARIABILITY; CLIMATE</t>
  </si>
  <si>
    <t>The El Nino-Southern Oscillation (ENSO) has a significant impact on the global climate through atmospheric teleconnections. It is important to understand the stability of ENSO teleconnections, not only for future weather forecasting and climate projection, but also for ENSO reconstructions based on paleo-proxies. In this study, we investigate the decadal variations of ENSO teleconnections in global land surface temperature (LST) from 850 to 2005AD using 13 ensemble members of the Community Earth System Model-Last Millennium Ensemble (CESM-LME). The CESM can simulate the main Eurasian cooling and Arctic warming, known as the warm Arctic-cold Eurasia (WACE) pattern, during the boreal winter of an El Nino. Furthermore, it can also capture the western Antarctic warming during the developing and decaying summers of an El Nino. There is a dominant decadal variation in the ENSO-LST teleconnections, expressed as anomalous LST patterns that closely resemble those seen in the WACE pattern during boreal winter and the western Antarctic warming pattern during summer. This decadal variation of ENSO-LST teleconnections is primarily due to the varying positions of Rossby wave sources associated with distinct ENSO patterns, which are located either to the west or to the east of Hawaii. The LST response to ENSO over South Siberia, as well as the associated precipitation response over North Eurasia, even show opposite patterns at different phases of the decadal variation. The decadal variation in CESM is found to be related to the interdecadal Pacific oscillation (IPO) and is likely attributed to internal variability rather than external forcing. Our findings suggest that the decadal variation in ENSO teleconnections should be considered when using proxies from Eurasian regions to reconstruct ENSO variability.</t>
  </si>
  <si>
    <t>[Han, Xue; Feng, Licheng] Minist Nat Resources, Natl Marine Environm Forecasting Ctr, Key Lab Marine Hazards Forecasting, Beijing 100081, Peoples R China; [Han, Xue] Nanjing Univ Informat Sci &amp; Technol, Collaborat Innovat Ctr Forecast &amp; Evaluat Meteorol, Nanjing 210044, Peoples R China; [Li, Yanjie] Chinese Acad Sci, Inst Atmospher Phys, State Key Lab Numer Modeling Atmospher Sci &amp; Geoph, Beijing 100029, Peoples R China; [Liu, Fei] Sun Yat Sen Univ, Sch Atmospher Sci, Key Lab Trop Atmosphere Ocean Syst, Minist Educ, Zhuhai 519082, Peoples R China; [Liu, Fei] Sun Yat Sen Univ, Southern Marine Sci &amp; Engn Guangdong Lab, Zhuhai 519082, Peoples R China; [Li, Jinbao] Univ Hong Kong, Dept Geog, Pokfulam, Hong Kong, Peoples R China; [Zheng, Xiaotong] Ocean Univ China, Key Lab Phys Oceanog, Qingdao 266100, Peoples R China; [Zheng, Xiaotong] Ocean Univ China, Frontiers Sci Ctr Deep Ocean Multispheres &amp; Earth, Qingdao 266100, Peoples R China; [Li, Yan] Shenzhen Univ, Coll Life Sci &amp; Oceanog, Shenzhen 518061, Peoples R China</t>
  </si>
  <si>
    <t>National Marine Environmental Forecasting Center; Ministry of Natural Resources of the People's Republic of China; Nanjing University of Information Science &amp; Technology; Chinese Academy of Sciences; Institute of Atmospheric Physics, CAS; Sun Yat Sen University; Sun Yat Sen University; Southern Marine Science &amp; Engineering Guangdong Laboratory; University of Hong Kong; Ocean University of China; Ocean University of China; Shenzhen University</t>
  </si>
  <si>
    <t>Liu, F (corresponding author), Sun Yat Sen Univ, Sch Atmospher Sci, Key Lab Trop Atmosphere Ocean Syst, Minist Educ, Zhuhai 519082, Peoples R China.;Liu, F (corresponding author), Sun Yat Sen Univ, Southern Marine Sci &amp; Engn Guangdong Lab, Zhuhai 519082, Peoples R China.</t>
  </si>
  <si>
    <t>liufei26@mail.sysu.edu.cn</t>
  </si>
  <si>
    <t>Li, Jinbao/D-3561-2011; Zheng, Xiao-Tong/H-4231-2012</t>
  </si>
  <si>
    <t>Zheng, Xiao-Tong/0000-0001-6335-1383</t>
  </si>
  <si>
    <t>Guangdong Major Project of Basic and Applied Basic Research [2020B0301030004]; National Natural Science Foundation of China [42175061, 41975107, 42175080, 42176017]</t>
  </si>
  <si>
    <t>Guangdong Major Project of Basic and Applied Basic Research; National Natural Science Foundation of China(National Natural Science Foundation of China (NSFC))</t>
  </si>
  <si>
    <t>This work was jointly supported by the Guangdong Major Project of Basic and Applied Basic Research (2020B0301030004), and the National Natural Science Foundation of China (42175061; 41975107; 42175080; 42176017).</t>
  </si>
  <si>
    <t>11-12</t>
  </si>
  <si>
    <t>10.1007/s00382-023-06878-5</t>
  </si>
  <si>
    <t>LG1V3</t>
  </si>
  <si>
    <t>WOS:001025615500001</t>
  </si>
  <si>
    <t>Hogan, KA; Warburton, KLP; Graham, AGC; Neufeld, JA; Hewitt, DR; Dowdeswell, JA; Larter, RD</t>
  </si>
  <si>
    <t>Hogan, Kelly A.; Warburton, Katarzyna L. P.; Graham, Alastair G. C.; Neufeld, Jerome A.; Hewitt, Duncan R.; Dowdeswell, Julian A.; Larter, Robert D.</t>
  </si>
  <si>
    <t>Towards modelling of corrugation ridges at ice-sheet grounding lines</t>
  </si>
  <si>
    <t>SUBGLACIAL TILL; SEDIMENTARY PROCESSES; AMUNDSEN SEA; ROSS SEA; STREAM; SHELF; GLACIER; RETREAT; BENEATH; DEFORMATION</t>
  </si>
  <si>
    <t>Improvements in the resolution of sea-floor mappingtechniques have revealed extremely regular, sub-metre-scale ridge landformsproduced by the tidal flexure of ice-shelf grounding lines as they retreatedvery rapidly (i.e. at rates of several kilometres per year). Guided by suchnovel sea-floor observations from Thwaites Glacier, West Antarctica, wepresent three mathematical models for the formation of these corrugationridges at a tidally migrating grounding line (that is retreating at aconstant rate), where each ridge is formed by either constant till flux tothe grounding line, till extrusion from the grounding line, or theresuspension and transport of grains from the grounding-zone bed. We findthat both till extrusion (squeezing out till like toothpaste as the icesheet re-settles on the sea floor) and resuspension and transport ofmaterial can qualitatively reproduce regular, delicate ridges at aretreating grounding line, as described by sea-floor observations. Byconsidering the known properties of subglacial sediments, we agree withexisting schematic models that the most likely mechanism for ridge formationis till extrusion at each low-tide position, essentially preserving animprint of the ice-sheet grounding line as it retreated. However, whenrealistic (shallow) bed slopes are used in the simulations, ridges start tooverprint one another, suggesting that, to preserve the regular ridges thathave been observed, grounding line retreat rates (driven by dynamicthinning?) may be even higher than previously thought.</t>
  </si>
  <si>
    <t>[Hogan, Kelly A.; Larter, Robert D.] British Antarctic Survey, Cambridge, England; [Warburton, Katarzyna L. P.; Neufeld, Jerome A.] Univ Cambridge, Dept Appl Math &amp; Theoret Phys, Cambridge, England; [Warburton, Katarzyna L. P.] Dartmouth Coll, Thayer Sch Engn, Hanover, NH USA; [Graham, Alastair G. C.] Univ S Florida, Coll Marine Sci, St Petersburg, FL USA; [Neufeld, Jerome A.] Univ Cambridge, Dept Earth Sci, Cambridge, England; [Hewitt, Duncan R.] UCL, Dept Math, London, England; [Dowdeswell, Julian A.] Univ Cambridge, Scott Polar Res Inst, Cambridge, England</t>
  </si>
  <si>
    <t>UK Research &amp; Innovation (UKRI); Natural Environment Research Council (NERC); NERC British Antarctic Survey; University of Cambridge; Dartmouth College; State University System of Florida; University of South Florida; University of Cambridge; University of London; University College London; University of Cambridge</t>
  </si>
  <si>
    <t>Hogan, KA (corresponding author), British Antarctic Survey, Cambridge, England.</t>
  </si>
  <si>
    <t>kelgan@bas.ac.uk</t>
  </si>
  <si>
    <t>Warburton, Katarzyna/0000-0002-5537-0557; Hewitt, Duncan/0000-0001-6190-5514; Dowdeswell, Julian/0000-0003-1369-9482; Larter, Robert/0000-0002-8414-7389</t>
  </si>
  <si>
    <t>Natural Environment Research Council [NE/S006641/1, NE/L002507/1, NE/S006206/1]; Flotilla Foundation; NERC [NE/S006206/1] Funding Source: UKRI</t>
  </si>
  <si>
    <t>Natural Environment Research Council(UK Research &amp; Innovation (UKRI)Natural Environment Research Council (NERC)); Flotilla Foundation; NERC(UK Research &amp; Innovation (UKRI)Natural Environment Research Council (NERC))</t>
  </si>
  <si>
    <t>This research has been supported by the Natural Environment Research Council (grant nos. NE/S006641/1, NE/L002507/1, and NE/S006206/1). Seafloor data collection in the Larsen Inlet, western Weddell Sea, was funded by the Flotilla Foundation.</t>
  </si>
  <si>
    <t>10.5194/tc-17-2645-2023</t>
  </si>
  <si>
    <t>L8PN0</t>
  </si>
  <si>
    <t>WOS:001025829400001</t>
  </si>
  <si>
    <t>Latorre, MP; Iachetti, CM; Schloss, IR; Antoni, J; Malits, A; de la Rosa, F; De Troch, M; Garcia, MD; Flores-Melo, X; Romero, SI; Gilj, MN; Hernando, M</t>
  </si>
  <si>
    <t>Latorre, M. P.; Iachetti, C. M.; Schloss, I. R.; Antoni, J.; Malits, A.; de la Rosa, F.; De Troch, M.; Garcia, M. D.; Flores-Melo, X.; Romero, S. I.; Gilj, M. N.; Hernando, M.</t>
  </si>
  <si>
    <t>Summer heatwaves affect coastal Antarctic plankton metabolism and community structure</t>
  </si>
  <si>
    <t>Marine heatwave; Antarctic communities; Plankton metabolism; Oxidative stress; FA</t>
  </si>
  <si>
    <t>MARINE HEATWAVES; CLIMATE-CHANGE; PHYTOPLANKTON COMMUNITIES; FATTY-ACIDS; FOOD-WEB; OXIDATIVE DAMAGE; POTTER COVE; SEA-ICE; TEMPERATURE; OXYGEN</t>
  </si>
  <si>
    <t>In the austral summer of 2020, record high temperatures were registered in the Western Antarctic Peninsula. This offered a unique opportunity to evaluate the effect of extreme sea surface temperature and natural heatwaves on the metabolic balance (i.e. the balance between production and respiration), lipid damage and the possible change in lipid composition of coastal Antarctic (Potter Cove, King George/25 de Mayo Island, South Shetlands) microbial communities. Two marine heatwaves, one in January and a second one in February 2020 showed mean temperatures of 1.8 degrees C above the 20-year climatology values. During the first heatwave, a rapid and strong (60%) decrease in microbial community biomass was observed, Criptophyceae were replaced by unidentified nano-phytoflagellates and other heterotrophic groups. The community experienced an increase in heterotrophic metabolism via an increase in community respiration (CR, 12.79 mmolO2 m- 3d-1) and a negative net community production (NCP,-14.9 &amp; PLUSMN; 0.31 mmolO2 m- 3d-1), leading to a production:respiration (P:R) rate &lt; 1. Addi-tionally, the most representative fatty acids (FAs: 14:0, 16:0, 18:0, 16:1w9, 18:1w9, 18:2w6 and 18:3w3) decreased, except for the monounsaturated FAs (MUFA) 16:1w9 and 18:1 w9, which increased during this first heatwave. In the second marine heatwave, total biomass dropped to the minimum values reported during the entire study. Here, CR was at its maximum (25.09 mmolO2 m- 3d-1), but NCP was also positive (1.96 mmolO2 m- 3d-1) and P:R &gt; 1, associated with an active autotrophic community. Again, significant lipid damage, a decrease in saturated FAs and ⍵6 polyunsaturated FAs, and an increase in MUFAs occurred. This field study validates previous experimental results on changes in natural plankton composition and physiology under global warming scenarios.</t>
  </si>
  <si>
    <t>[Latorre, M. P.; Iachetti, C. M.; Schloss, I. R.; Malits, A.; Flores-Melo, X.] Ctr Austral Invest Cient CAD CONICET, Bernardo Houssay 200,V9410CAB, Ushuaia, Argentina; [Schloss, I. R.] Univ Nacl Tierra Fuego, Inst Ciencias Polares &amp; Ambiente, Ushuaia, Argentina; [Schloss, I. R.] Inst Antartico Argentino, San Martin, Buenos Aires, Argentina; [Antoni, J.] Univ Nacl La Plata, Fac Ciencias Nat &amp; Museo, Div Ficol, RA-1900 La Plata, Argentina; [de la Rosa, F.] Univ Moron, Inst Ciencias &amp; Expt, Gen Machado 914, RA-1708 Moron, Argentina; [de la Rosa, F.] Consejo Nacl Invest Cient &amp; Tecn Argentina, Godoy Cruz 2290, RA-1425 Buenos Aires, DF, Argentina; [De Troch, M.] Univ Ghent, Marine Biol, Krijgslaan 281-S8, B-900 Ghent, Belgium; [Garcia, M. D.] Minist Publ La Pampa, Agencia Invest Cient, Santa Rosa, La Pampa, Argentina; [Romero, S. I.] Serv Hidrog Naval, Av Montes de Oca 2124, Buenos Aires, Argentina; [Gilj, M. N.] Ctr Cient Tecno l CONICET, Ctr Nacl Patagon, Ctr Estudio Sistemas Marinos CESIMAR, Puerto Madryn, Argentina; [Hernando, M.] Comisio Nacl Energia Atom, Dept Radiobiol, San Martin, Buenos Aires, Argentina; [Malits, A.] Ctr Austral Invest Cient CAD CONICET, Ushuaia, Tierra Del Fueg, Argentina; [Malits, A.] Univ Vienna, Dept Funct &amp; Evolutionary Biol, Vienna, Austria</t>
  </si>
  <si>
    <t>Instituto Antartico Argentino; National University of La Plata; Museo La Plata; Consejo Nacional de Investigaciones Cientificas y Tecnicas (CONICET); Ghent University; Servicio de Hidrografia Naval; Centro Nacional Patagonico (CENPAT); University of Vienna</t>
  </si>
  <si>
    <t>Latorre, MP (corresponding author), Ctr Austral Invest Cient CAD CONICET, Bernardo Houssay 200,V9410CAB, Ushuaia, Argentina.</t>
  </si>
  <si>
    <t>latorre.maite@conicet.gov.ar</t>
  </si>
  <si>
    <t>Flores-Melo, XIMENA/0000-0002-0946-0674; Romero, Silvia Ines/0000-0001-7744-6391; De Troch, Marleen/0000-0002-6800-0299</t>
  </si>
  <si>
    <t>EMBRC Belgium -FWO International Research Infrastructure [I001621N]; National Scientific and Technical Research Council (CONICET)</t>
  </si>
  <si>
    <t>EMBRC Belgium -FWO International Research Infrastructure; National Scientific and Technical Research Council (CONICET)(Consejo Nacional de Investigaciones Cientificas y Tecnicas (CONICET))</t>
  </si>
  <si>
    <t>The research leading to fatty acids results presented in this publication was carried out with infrastructure funded by EMBRC Belgium -FWO International Research Infrastructure I001621N. Support was also provided by doctoral and postdoctoral fellowships of the National Scientific and Technical Research Council (CONICET). Logistics was provided by the Argentinean National Antarctic Direction (DNA) as part of the Study of the Impact of Glacier Melting on Polar Regions' Plankton Project (PI: IRS) as in its Annual Antarctic Plan.</t>
  </si>
  <si>
    <t>10.1016/j.jembe.2023.151926</t>
  </si>
  <si>
    <t>N8JF7</t>
  </si>
  <si>
    <t>WOS:001039405800001</t>
  </si>
  <si>
    <t>Miller, M; Priestley, K; Tilmann, F; Bataille, K; Iwamori, H</t>
  </si>
  <si>
    <t>Miller, Matthew; Priestley, Keith; Tilmann, Frederik; Bataille, Klaus; Iwamori, Hikaru</t>
  </si>
  <si>
    <t>P wave teleseismic tomography of the subducted Chile rise</t>
  </si>
  <si>
    <t>JOURNAL OF SOUTH AMERICAN EARTH SCIENCES</t>
  </si>
  <si>
    <t>Chile Triple Junction; Seismic tomography; Slab window; Slab tear</t>
  </si>
  <si>
    <t>RIDGE-TRENCH COLLISION; ACTIVE SPREADING RIDGE; SLAB-WINDOW; SOUTHERN CHILE; ALKALINE VOLCANISM; VELOCITY STRUCTURE; STRUCTURE BENEATH; PATAGONIAN ANDES; DEFORMATION; BASALTS</t>
  </si>
  <si>
    <t>We investigate the crustal and upper mantle structure of the Aysen region of Chile from 44 &amp; DEG; to 49 &amp; DEG; S, a place where the diverging oceanic Nazca and Antarctic plates subduct beneath the South American continent. The Seismic Experiment in the Aysen Region of Chile (SEARCH) project operated a network of up to 60 land-based seismometers in this region between 2004 and 2006, centered over a 6 Myr old subducted spreading center. The data are used to examine the P wave velocity structure beneath the region using relative-arrival teleseismic travel time tomography, using 2534 P wave residuals from 173 teleseismic earthquakes. It is possible to image the velocity structure beneath the seismic network from-30 down to-300 km depth. The model can resolve structures at a spatial scale between-60 and-200 km and shows a large difference between the northern and southern parts of the region. To the north, a-100 km thick fast anomaly exists which dips away from the subduction trench; likely to be related to the subducting Nazca plate. Going to the south, as the age of this plate at the subduction trench decreases and arc volcanism shuts off, the fast anomaly migrates further from the trench, suggesting that the Nazca plate subducts at a reduced angle over a larger distance before the subduction angle steepens. The distinct sections of the fast anomaly suggest that slab tears exist across the fracture zones between subducted plate segments. Where the 6 Myr old subducted ridge segment is predicted to lie, there is a region of low velocity between-100 and-300 km depth, and no fast region associated with a subducting slab is present, indicating the presence of an asthenospheric window between the subducted Nazca and Antarctic plates.</t>
  </si>
  <si>
    <t>[Miller, Matthew] Univ Concepcion, Dept Geofis, Concepcion, Chile; [Priestley, Keith] Univ Cambridge, Dept Earth Sci, Bullard Labs, Cambridge, Cambs, England; [Tilmann, Frederik] Deutsch Geo Forsch Zentrum GFZ, Dept Geophys, Potsdam, Germany; [Tilmann, Frederik] Free Univ Berlin, Inst Geol Sci, Dept Earth Sci, Berlin, Germany; [Bataille, Klaus] Univ Concepcion, Dept Ciencias Tierra, Concepcion, Chile; [Iwamori, Hikaru] Univ Tokyo, Earthquake Res Inst, 1-1-1, Yayoi,Bunkyo ku, Tokyo 1130032, Japan</t>
  </si>
  <si>
    <t>Universidad de Concepcion; University of Cambridge; Helmholtz Association; Helmholtz-Center Potsdam GFZ German Research Center for Geosciences; Free University of Berlin; Universidad de Concepcion; University of Tokyo</t>
  </si>
  <si>
    <t>Miller, M (corresponding author), Univ Concepcion, Dept Geofis, Concepcion, Chile.</t>
  </si>
  <si>
    <t>mrmiller@udec.cl</t>
  </si>
  <si>
    <t>Tilmann, Frederik J/E-4293-2012</t>
  </si>
  <si>
    <t>Miller, Matt/0000-0002-4846-3173</t>
  </si>
  <si>
    <t>Cambridge Philosophical Society, United Kingdom, Queens' College, Cambridge; Centre of Latin American Studies, United Kingdom, Cambridge; Fondecyt, Chile Iniciacon Project [11130355]</t>
  </si>
  <si>
    <t>Cambridge Philosophical Society, United Kingdom, Queens' College, Cambridge; Centre of Latin American Studies, United Kingdom, Cambridge; Fondecyt, Chile Iniciacon Project</t>
  </si>
  <si>
    <t>We would like to thank Ryo Anma and Takashi Iidaka for supporting the project significantly between 2001-2004 and 2005-2007, to Yuji Orihashi for fruitful discussion, and are indebted to the Japan Society for the Promotion of Science (JSPS) for their assistance. We wish to thank the Chilean Police, Army, Navy and National Emergency Office (ONEMI) for their assistance with the deployment and servicing of the SEARCH seismic network, as well as many students from the University of Concepcion without whom this work would have not been possible. SEIS-UK are thanked for providing the seismic equipment used in this study and the data management procedures used to create the initial dataset. Additional financial support for the fieldwork came from the Cambridge Philosophical Society, United Kingdom, Queens' College, Cambridge, and the Centre of Latin American Studies, United Kingdom, Cambridge. Research by MM is funded by the Fondecyt, Chile Iniciacon Project 11130355. Several images in this study were produced using the software of Wessel et al. (2013) . Finally, we enormously appreciate the rapid and thorough revision of this manuscript and the supplementary material by two anonymous reviewers, whose suggestions have made a significant contribution and improvement to these documents.</t>
  </si>
  <si>
    <t>0895-9811</t>
  </si>
  <si>
    <t>1873-0647</t>
  </si>
  <si>
    <t>J S AM EARTH SCI</t>
  </si>
  <si>
    <t>J. South Am. Earth Sci.</t>
  </si>
  <si>
    <t>10.1016/j.jsames.2023.104474</t>
  </si>
  <si>
    <t>N9NZ7</t>
  </si>
  <si>
    <t>WOS:001040208300001</t>
  </si>
  <si>
    <t>Burton-Johnson, A; Cullen, AB</t>
  </si>
  <si>
    <t>Burton-Johnson, A.; Cullen, A. B.</t>
  </si>
  <si>
    <t>Continental rifting in the South China Sea through extension and high heat flow: An extended history</t>
  </si>
  <si>
    <t>GONDWANA RESEARCH</t>
  </si>
  <si>
    <t>SE Asia; Borneo; Continental rifting; GPlates; Heat flow</t>
  </si>
  <si>
    <t>PALEO-PACIFIC SUBDUCTION; RIVER SHEAR ZONE; CUU LONG BASIN; TRACE-ELEMENT; TECTONIC EVOLUTION; NORTH BORNEO; CRUSTAL STRUCTURE; WESTERN PACIFIC; PLATE-TECTONICS; NW BORNEO</t>
  </si>
  <si>
    <t>We present a new extensional tectonic model for the Cenozoic history of SE Asia and the opening of the South China Sea (SCS), proposing a feedback mechanism by which intracontinental rifts initiate and propagate without invoking mantle plumes. Four principal tectonic models have been proposed for SCS opening: 1) Slab pull from subduction of a Proto South China Sea (PSCS); 2) Extrusion tectonics from the India-Asia collision; 3) Basal drag from a mantle plume; and 4) Backarc rifting. Each model was developed around different particular data, and all tend to perpetuate independently through selective data prioritisation. We present a new GPlates model, showing that the geological and geophysical correlations between the opposing SCS conjugate margins best agrees with a common initial development on the South China Margin, and that regional development via protracted extension since the Mesozoic is in agreement with available paleomagnetic data for Borneo. The geodynamic mechanism for protracted lithospheric extension in SE Asia is via the development of progressive feedback processes, initiated by Mesozoic slab rollback and migration of the subduction zone beneath South China, leading to intracontinental thinning and extension. This in turn drove passive asthenospheric upwelling, increasing heat flow and crustal ductility, and enhancing further extension as a wide rift rather than narrow crustal neck. Subsequently, following sufficient continental extension, SCS oceanic spreading occurred. This feedback mechanism (involving shallow, not deep mantle processes) may enhance and enable intracontinental rifting elsewhere. &amp; COPY; 2022 The Authors. Published by Elsevier B.V. on behalf of International Association for Gondwana Research. This is an open access article under the CC BY license (http://creativecommons.org/licenses/by/ 4.0/).</t>
  </si>
  <si>
    <t>[Burton-Johnson, A.] British Antarctic Survey, Madingley Rd, Cambridge CB3 0ET, England; [Cullen, A. B.] Univ Oklahoma, Norman, OK 73072 USA</t>
  </si>
  <si>
    <t>UK Research &amp; Innovation (UKRI); Natural Environment Research Council (NERC); NERC British Antarctic Survey; University of Oklahoma System; University of Oklahoma - Norman</t>
  </si>
  <si>
    <t>Burton-Johnson, A (corresponding author), British Antarctic Survey, Madingley Rd, Cambridge CB3 0ET, England.</t>
  </si>
  <si>
    <t>alerto@bas.ac.uk</t>
  </si>
  <si>
    <t>1342-937X</t>
  </si>
  <si>
    <t>1878-0571</t>
  </si>
  <si>
    <t>GONDWANA RES</t>
  </si>
  <si>
    <t>Gondwana Res.</t>
  </si>
  <si>
    <t>10.1016/j.gr.2022.07.015</t>
  </si>
  <si>
    <t>N6IO8</t>
  </si>
  <si>
    <t>WOS:001038027700001</t>
  </si>
  <si>
    <t>Linhares, HH; Frere, E; Milliones, A; Dantas, GPD</t>
  </si>
  <si>
    <t>Linhares, Heloisa Helena; Frere, Esteban; Milliones, Ana; Dantas, Gisele Pires de Mendonca</t>
  </si>
  <si>
    <t>Evolutionary history of Kelp Gulls at the South Hemisphere</t>
  </si>
  <si>
    <t>JOURNAL OF ORNITHOLOGY</t>
  </si>
  <si>
    <t>Seabirds; mtDNA; Selection; Population expansion</t>
  </si>
  <si>
    <t>LARUS-DOMINICANUS; GENETIC-STRUCTURE</t>
  </si>
  <si>
    <t>Kelp Gull is the most abundant gull species in the Southern Hemisphere, occurring in South America, Africa, New Zealand, Australia, Sub-Antarctic Island, and Antarctica Peninsula. There is no consensus about the number of subspecies; some studies proposed two and others six subspecies. Previous genetic studies with this species show low genetic diversity at mtDNA, in contrast to the high variability found in the nuclear gene. Thus, this study proposed to evaluate the subspecies of Kelp Gull through mtDNA, recovering the demographic history and population genetic structure throughout the South Hemisphere. For this, we sequenced Cytochrome b in 98 samples of Kelp Gull from Brazil, Argentina, and Antarctica, and added to the dataset 20 haplotypes available in GenBank. Bayesian Phylogeny did not support a clade in any subspecies proposed. However, it is possible to observe the genetic population structure of Kelp Gull in the Southern Hemisphere based on haplotype frequency. In addition, there is evidence that Kelp Gull lost genetic diversity, following population expansion during Holocene around 2500-3000 years ago.</t>
  </si>
  <si>
    <t>[Linhares, Heloisa Helena; Dantas, Gisele Pires de Mendonca] Pontificia Univ Catolica Minas Gerais, PPG Biol Vertebrados, PUC Minas, Belo Horizonte, MG, Brazil; [Frere, Esteban; Milliones, Ana] Univ Nacl Patagonia Austral, Ctr Invest Puerto Deseado, Puerto Deseado, Argentina</t>
  </si>
  <si>
    <t>Pontificia Universidade Catolica de Minas Gerais; Universidad Nacional de la Patagonia San Juan Bosco</t>
  </si>
  <si>
    <t>Dantas, GPD (corresponding author), Pontificia Univ Catolica Minas Gerais, PPG Biol Vertebrados, PUC Minas, Belo Horizonte, MG, Brazil.</t>
  </si>
  <si>
    <t>dantasgpm@gmail.com</t>
  </si>
  <si>
    <t>Dantas, Gisele PM/T-6782-2019</t>
  </si>
  <si>
    <t>Dantas, Gisele PM/0000-0001-5282-7577</t>
  </si>
  <si>
    <t>National Counsel of Technological and Scientific Development from Brazil [CNPq 490403/2006-5, CNPq 482264/2012-8, CNPq 306904/2019-5]; FAPESP [08/51287-0]; Coordination for the improvement of higher Educational personal (CAPES)</t>
  </si>
  <si>
    <t>National Counsel of Technological and Scientific Development from Brazil; FAPESP(Fundacao de Amparo a Pesquisa do Estado de Sao Paulo (FAPESP)); Coordination for the improvement of higher Educational personal (CAPES)(Coordenacao de Aperfeicoamento de Pessoal de Nivel Superior (CAPES))</t>
  </si>
  <si>
    <t>We are grateful to the Frere team for helped with field work. This study was financed by National Counsel of Technological and Scientific Development from Brazil (CNPq 490403/2006-5, CNPq 482264/2012-8, CNPq 306904/2019-5), and FAPESP (08/51287-0), Coordination for the improvement of higher Educational personal (CAPES) provided a fellowship to HHL.</t>
  </si>
  <si>
    <t>2193-7192</t>
  </si>
  <si>
    <t>2193-7206</t>
  </si>
  <si>
    <t>J ORNITHOL</t>
  </si>
  <si>
    <t>J. Ornithol.</t>
  </si>
  <si>
    <t>10.1007/s10336-023-02087-3</t>
  </si>
  <si>
    <t>Ornithology</t>
  </si>
  <si>
    <t>GC4E2</t>
  </si>
  <si>
    <t>WOS:001025548000001</t>
  </si>
  <si>
    <t>Lebre, PH; Bosch, J; Coclet, C; Hallas, R; Hogg, ID; Johnson, J; Moon, KL; Ortiz, M; Rotimi, A; Stevens, MI; Varliero, G; Convey, P; Vikram, S; Chown, SL; Cowan, DA</t>
  </si>
  <si>
    <t>Lebre, Pedro H. H.; Bosch, Jason; Coclet, Clement; Hallas, Rebecca; Hogg, Ian D. D.; Johnson, Jenny; Moon, Katherine L. L.; Ortiz, Max; Rotimi, Adeola; Stevens, Mark I. I.; Varliero, Gilda; Convey, Peter; Vikram, Surendra; Chown, Steven L. L.; Cowan, Don A. A.</t>
  </si>
  <si>
    <t>Expanding Antarctic biogeography: microbial ecology of Antarctic island soils</t>
  </si>
  <si>
    <t>ECOGRAPHY</t>
  </si>
  <si>
    <t>Antarctic conservation biogeographic regions (ACBRs); Antarctic ecology; functional metagenomics; microbial ecology; sub-Antarctic islands</t>
  </si>
  <si>
    <t>ABUNDANT PROTEIN; TERRESTRIAL; DIVERSITY; BIODIVERSITY; ASCOMYCOTA; STRATEGIES; MARITIME; CLIMATE</t>
  </si>
  <si>
    <t>The majority of islands surrounding the Antarctic continent are poorly characterized in terms of microbial macroecology due to their remote locations, geographical isolation and access difficulties. The 2016/2017 Antarctic Circumnavigation Expedition (ACE) provided unprecedented access to a number of these islands. In the present study we use metagenomic methods to investigate the microbial ecology of soil samples recovered from 11 circum-Antarctic islands as part of ACE, and to investigate the functional potential of their soil microbial communities. Comparisons of the prokaryote and lower eukaryote phylogenetic compositions of the soil communities indicated that the various islands harbored spatially distinct microbiomes with limited overlap. In particular, we identified a high prevalence of lichen-associated fungal taxa in the soils, suggesting that terrestrial lichens may be one of the key drivers of soil microbial ecology on these islands. Differential abundance and redundancy analyses suggested that these soil microbial communities are also strongly shaped by multiple abiotic factors, including soil pH and average annual temperatures. Most importantly, we demonstrate that the islands sampled in this study can be clustered into three distinct large-scale biogeographical regions in a conservation context, the sub-, Maritime and Continental Antarctic, which are distinct in both environmental conditions and microbial ecology, but are consistent with the widely-used regionalization applied to multicellular Antarctic terrestrial organisms. Functional profiling of the island soil metagenomes from these three broad biogeographical regions also suggested a degree of functional differentiation, reflecting their distinct microbial ecologies. Taken together, these results represent the most extensive characterization of the microbial ecology of Antarctic island soils to date.</t>
  </si>
  <si>
    <t>[Lebre, Pedro H. H.; Bosch, Jason; Coclet, Clement; Johnson, Jenny; Ortiz, Max; Rotimi, Adeola; Varliero, Gilda; Vikram, Surendra; Cowan, Don A. A.] Univ Pretoria, Ctr Microbial Ecol &amp; Genom, Dept Biochem Genet &amp; Microbiol, Pretoria, South Africa; [Bosch, Jason] Czech Acad Sci, Inst Microbiol, Lab Environm Microbiol, Prague, Czech Republic; [Hallas, Rebecca; Moon, Katherine L. L.; Chown, Steven L. L.] Monash Univ, Sch Biol Sci, Securing Antarct Environm Future, Clayton, Vic, Australia; [Hogg, Ian D. D.] Polar Knowledge Canada, Canadian High Arctic Res Stn, Cambridge Bay, NU, Canada; [Hogg, Ian D. D.] Univ Waikato, Sch Sci, Hamilton, New Zealand; [Moon, Katherine L. L.] Univ Calif Santa Cruz, Dept Ecol &amp; Evolutionary Biol, Santa Cruz, CA USA; [Ortiz, Max] Clemson Univ, Genom &amp; Bioinformat Facil, Clemson, SC USA; [Rotimi, Adeola] Agr Res Council, Biotechnol Platform, Pretoria, South Africa; [Stevens, Mark I. I.] South Australian Museum, Biol Sci, Securing Antarct Environm Future, North Terrace, Adelaide, SA, Australia; [Stevens, Mark I. I.] Univ Adelaide, Sch Biol Sci, Adelaide, SA, Australia; [Varliero, Gilda] Swiss Fed Res Inst WSL, Rhizosphere Proc Grp, Birmensdorf, Switzerland; [Convey, Peter] NERC, British Antarctic Survey, Cambridge, England; [Convey, Peter] Univ Johannesburg, Dept Zool, Auckland Pk, South Africa</t>
  </si>
  <si>
    <t>University of Pretoria; Czech Academy of Sciences; Institute of Microbiology of the Czech Academy of Sciences; Monash University; University of Waikato; University of California System; University of California Santa Cruz; Clemson University; Agricultural Research Council of South Africa; South Australian Museum; University of Adelaide; Swiss Federal Institutes of Technology Domain; Swiss Federal Institute for Forest, Snow &amp; Landscape Research; UK Research &amp; Innovation (UKRI); Natural Environment Research Council (NERC); NERC British Antarctic Survey; University of Johannesburg</t>
  </si>
  <si>
    <t>Lebre, PH (corresponding author), Univ Pretoria, Ctr Microbial Ecol &amp; Genom, Dept Biochem Genet &amp; Microbiol, Pretoria, South Africa.</t>
  </si>
  <si>
    <t>pedro.bixiraonetomarinholebre@up.ac.za</t>
  </si>
  <si>
    <t>Convey, Peter/AAV-5728-2020</t>
  </si>
  <si>
    <t>Convey, Peter/0000-0001-8497-9903; Varliero, Gilda/0000-0003-1893-0575; Bixirao Neto Marinho Lebre, Pedro Humberto/0000-0002-6483-0340; Bosch, Jason/0000-0003-1027-1210</t>
  </si>
  <si>
    <t>SA National Antarctic Programme (SANAP) [110730]; EPFL; Swiss Polar Institute and Ferring Pharmaceuticals through the Antarctic Circumnavigation Expedition (ACE); ARC SRIEAS [SR200100005]; NERC</t>
  </si>
  <si>
    <t>SA National Antarctic Programme (SANAP); EPFL; Swiss Polar Institute and Ferring Pharmaceuticals through the Antarctic Circumnavigation Expedition (ACE); ARC SRIEAS(Australian Research Council); NERC(UK Research &amp; Innovation (UKRI)Natural Environment Research Council (NERC))</t>
  </si>
  <si>
    <t>This project was supported by the SA National Antarctic Programme (SANAP) (Project no. 110730). This work also received support from EPFL, Swiss Polar Institute and Ferring Pharmaceuticals through the Antarctic Circumnavigation Expedition (ACE), and from ARC SRIEAS Grant SR200100005 Securing Antarctica's Environmental Future. Postdoctoral bursaries for JB, CC, JJ, PHL, MO, GV and SV were provided by the University of Pretoria and the National Research Foundation of South Africa. P. Convey is supported by NERC core funding to the British Antarctic Survey's Biodiversity, Evolution and Adaptation' Team.</t>
  </si>
  <si>
    <t>0906-7590</t>
  </si>
  <si>
    <t>1600-0587</t>
  </si>
  <si>
    <t>Ecography</t>
  </si>
  <si>
    <t>10.1111/ecog.06568</t>
  </si>
  <si>
    <t>R2SU8</t>
  </si>
  <si>
    <t>WOS:001024907500001</t>
  </si>
  <si>
    <t>Warren, DA; Burgess, AL; Prati, S; Bacela-Spychalska, K; Rogers, MSJ; Bojko, J</t>
  </si>
  <si>
    <t>Warren, Daniel A.; Burgess, Amy L.; Prati, Sebastian; Bacela-Spychalska, Karolina; Rogers, Martin S. J.; Bojko, Jamie</t>
  </si>
  <si>
    <t>Histopathological screening of Pontogammarus robustoides (Amphipoda), an invader on route to the United Kingdom</t>
  </si>
  <si>
    <t>JOURNAL OF INVERTEBRATE PATHOLOGY</t>
  </si>
  <si>
    <t>Amphipoda; Biological Invasions; Microsporidia; Haplosporidium; Parasite</t>
  </si>
  <si>
    <t>MICROSPORIDIA; DIVERSITY; PATHOGENS; SHRIMP</t>
  </si>
  <si>
    <t>Biological invasions may act as conduits for pathogen introduction. To determine which invasive non-native species pose the biggest threat, we must first determine the symbionts (pathogens, parasites, commensals, mu-tualists) they carry, via pathological surveys that can be conducted in multiple ways (i.e., molecular, patho-logical, and histological). Whole animal histopathology allows for the observation of pathogenic agents (virus to Metazoa), based on their pathological effect upon host tissue. Where the technique cannot accurately predict pathogen taxonomy, it does highlight pathogen groups of importance. This study provides a histopathological survey of Pontogammarus robustoides (invasive amphipod in Europe) as a baseline for symbiont groups that may translocate to other areas/hosts in future invasions.Pontogammarus robustoides (n = 1,141) collected throughout Poland (seven sites), were noted to include a total of 13 symbiotic groups: a putative gut epithelia virus (overall prevalence = 0.6%), a putative hepatopancreatic cytoplasmic virus (1.4%), a hepatopancreatic bacilliform virus (15.7%), systemic bacteria (0.7%), fouling ciliates (62.0%), gut gregarines (39.5%), hepatopancreatic gregarines (0.4%), haplosporidians (0.4%), muscle infecting microsporidians (6.4%), digeneans (3.5%), external rotifers (3.0%), an endoparasitic arthropod (putatively: Isopoda) (0.1%), and Gregarines with putative microsporidian infections (1.4%).Parasite assemblages partially differed across collection sites. Co-infection patterns revealed strong positive and negative associations between five parasites. Microsporidians were common across sites and could easily spread to other areas following the invasion of P. robustoides. By providing this initial histopathological survey, we hope to provide a concise list of symbiont groups for risk-assessment in the case of a novel invasion by this highly invasive amphipod.</t>
  </si>
  <si>
    <t>[Warren, Daniel A.] Anim &amp; Plant Hlth Agcy, Sand Hutton YO41 1LZ, York, England; [Burgess, Amy L.; Bojko, Jamie] Teesside Univ, Natl Horizons Ctr, Darlington DL1 1HG, England; [Burgess, Amy L.; Bojko, Jamie] Teesside Univ, Sch Hlth &amp; Life Sci, Middlesbrough TS1 3BX, England; [Prati, Sebastian] Univ Duisburg Essen, Aquat Ecol, Univ Str 5, D-45141 Essen, Germany; [Bacela-Spychalska, Karolina] Univ Lodz, Fac Biol &amp; Environm Protect, Dept Invertebrate Zool &amp; Hydrobiol, PL-90237 Lodz, Poland; [Rogers, Martin S. J.] British Antarctic Survey, Artif Intelligence Lab, Cambridge CB3 0ET, England</t>
  </si>
  <si>
    <t>Animal &amp; Plant Health Agency UK; University of Teesside; University of Teesside; University of Duisburg Essen; University of Lodz; UK Research &amp; Innovation (UKRI); Natural Environment Research Council (NERC); NERC British Antarctic Survey</t>
  </si>
  <si>
    <t>Bojko, J (corresponding author), Teesside Univ, Natl Horizons Ctr, Darlington DL1 1HG, England.;Bojko, J (corresponding author), Teesside Univ, Sch Hlth &amp; Life Sci, Middlesbrough TS1 3BX, England.</t>
  </si>
  <si>
    <t>j.bojko@tees.ac.uk</t>
  </si>
  <si>
    <t>Prati, Sebastian/AAQ-3945-2020; Bacela-Spychalska, Karolina/E-4234-2015</t>
  </si>
  <si>
    <t>Prati, Sebastian/0000-0001-9878-3848; Bacela-Spychalska, Karolina/0000-0003-4498-5107; Bojko, Jamie/0000-0001-5972-0844; Burgess, Amy/0000-0003-0570-6961</t>
  </si>
  <si>
    <t>JB's PhD [NERC: 1368300]; State Commit-tee for Scientific Research in Warsaw [3P06K03023, NN304081535, NN304350139]; Polish National Science Centre [2011/03/D/NZ8/03012]; DP227X, Cefas; eCOST STSM [TD1209AlienChallenge]</t>
  </si>
  <si>
    <t>JB's PhD; State Commit-tee for Scientific Research in Warsaw; Polish National Science Centre; DP227X, Cefas; eCOST STSM</t>
  </si>
  <si>
    <t>The authors would like to thank Grant D. Stentiford, Ruth Hicks, Kelly Bateman, and Matthew Green at Cefas for their advice on crusta-cean pathology, histology and electron microscopy methodology. Thanks to Alicja Konopacka for identifying gammarid species, and Michal Grabowski, Michal Rachalewski, Piotr Wro ' blewski, Sebastian Kociolczyk, Bartosz Kro ' l, and Kajetan Kwiatkowski for their help during fieldwork.Some of this work constitutes research conducted as part of JB's PhD (NERC: 1368300) . This research was supported by grant numbers 3P06K03023, NN304081535, and NN304350139 of the State Commit-tee for Scientific Research in Warsaw and the Polish National Science Centre, grant number 2011/03/D/NZ8/03012 (KBS) . Support was also provided by contract DP227X, Cefas (Grant Stentiford) and eCOST STSM funding (TD1209AlienChallenge) (JB and KBS) .</t>
  </si>
  <si>
    <t>0022-2011</t>
  </si>
  <si>
    <t>1096-0805</t>
  </si>
  <si>
    <t>J INVERTEBR PATHOL</t>
  </si>
  <si>
    <t>J. Invertebr. Pathol.</t>
  </si>
  <si>
    <t>10.1016/j.jip.2023.107970</t>
  </si>
  <si>
    <t>N8OX3</t>
  </si>
  <si>
    <t>WOS:001039553700001</t>
  </si>
  <si>
    <t>Ruvindy, R; Barua, A; Bolch, CJS; Sarowar, C; Savela, H; Murray, SA</t>
  </si>
  <si>
    <t>Ruvindy, Rendy; Barua, Abanti; Bolch, Christopher J. S.; Sarowar, Chowdhury; Savela, Henna; Murray, Shauna A.</t>
  </si>
  <si>
    <t>Genomic copy number variability at the genus, species and population levels impacts in situ ecological analyses of dinoflagellates and harmful algal blooms</t>
  </si>
  <si>
    <t>ISME COMMUNICATIONS</t>
  </si>
  <si>
    <t>TIME PCR ASSAY; ALEXANDRIUM-MINUTUM; SAXITOXIN BIOSYNTHESIS; QUANTITATIVE PCR; DNA-CONTENT; LIFE-CYCLE; EVOLUTION; IDENTIFICATION; SIZE; ENUMERATION</t>
  </si>
  <si>
    <t>The application of meta-barcoding, qPCR, and metagenomics to aquatic eukaryotic microbial communities requires knowledge of genomic copy number variability (CNV). CNV may be particularly relevant to functional genes, impacting dosage and expression, yet little is known of the scale and role of CNV in microbial eukaryotes. Here, we quantify CNV of rRNA and a gene involved in Paralytic Shellfish Toxin (PST) synthesis (sxtA4), in 51 strains of 4 Alexandrium (Dinophyceae) species. Genomes varied up to threefold within species and similar to 7-fold amongst species, with the largest (A. pacificum, 130 +/- 1.3 pg cell(-1) /similar to 127 Gbp) in the largest size category of any eukaryote. Genomic copy numbers (GCN) of rRNA varied by 6 orders of magnitude amongst Alexandrium (10(2)- 10(8) copies cell(-1)) and were significantly related to genome size. Within the population CNV of rRNA was 2 orders of magnitude (10(5) - 10(7) cell(-1)) in 15 isolates from one population, demonstrating that quantitative data based on rRNA genes needs considerable caution in interpretation, even if validated against locally isolated strains. Despite up to 30 years in laboratory culture, rRNA CNV and genome size variability were not correlated with time in culture. Cell volume was only weakly associated with rRNA GCN (20-22% variance explained across dinoflagellates, 4% in Gonyaulacales). GCN of sxtA4 varied from 0-10(2) copies cell(-1), was significantly related to PSTs (ng cell(-1)), displaying a gene dosage effect modulating PST production. Our data indicate that in dinoflagellates, a major marine eukaryotic group, low-copy functional genes are more reliable and informative targets for quantification of ecological processes than unstable rRNA genes.</t>
  </si>
  <si>
    <t>[Ruvindy, Rendy; Barua, Abanti; Savela, Henna; Murray, Shauna A.] Univ Technol Sydney, Sch Life Sci, POB 123, Broadway, NSW 2007, Australia; [Bolch, Christopher J. S.] Univ Tasmania, Inst Marine &amp; Antarctic Studies, Launceston, Tas 7248, Australia; [Sarowar, Chowdhury] Sydney Inst Marine Sci, Chowder Bay Rd, Mosman, NSW, Australia; [Savela, Henna] Finnish Environm Inst, Marine Res Ctr, Helsinki, Finland</t>
  </si>
  <si>
    <t>University of Technology Sydney; University of Tasmania; Sydney Institute of Marine Science; Finnish Environment Institute</t>
  </si>
  <si>
    <t>Murray, SA (corresponding author), Univ Technol Sydney, Sch Life Sci, POB 123, Broadway, NSW 2007, Australia.</t>
  </si>
  <si>
    <t>Shauna.Murray@uts.edu.au</t>
  </si>
  <si>
    <t>Murray, Shauna A/K-5781-2015</t>
  </si>
  <si>
    <t>Murray, Shauna A/0000-0001-7096-1307; Savela, Henna/0000-0002-2058-2779</t>
  </si>
  <si>
    <t>UTS HDR Scholarship; Australian Research Council</t>
  </si>
  <si>
    <t>UTS HDR Scholarship; Australian Research Council(Australian Research Council)</t>
  </si>
  <si>
    <t>We thank Roscoff Culture Collection, Helene Hegaret, Laure Guillou, Marc Long, Malwenn Lassudrie, the Cawthron Collection and CSIRO for the cultures used in this study. We thank Kun Xiao for the assistance in flow cytometry. We thank Jacqui Stuart for help with the figures. This study was partially supported by a UTS HDR Scholarship to RR and an Australian Research Council FT to SM.</t>
  </si>
  <si>
    <t>2730-6151</t>
  </si>
  <si>
    <t>ISME COMMUN</t>
  </si>
  <si>
    <t>ISME Commun.</t>
  </si>
  <si>
    <t>JUL 8</t>
  </si>
  <si>
    <t>10.1038/s43705-023-00274-0</t>
  </si>
  <si>
    <t>Ecology; Microbiology</t>
  </si>
  <si>
    <t>Environmental Sciences &amp; Ecology; Microbiology</t>
  </si>
  <si>
    <t>P7CX4</t>
  </si>
  <si>
    <t>WOS:001052226800001</t>
  </si>
  <si>
    <t>Kulkarni, S; Wood, HM; Hormiga, G</t>
  </si>
  <si>
    <t>Kulkarni, Siddharth; Wood, Hannah M.; Hormiga, Gustavo</t>
  </si>
  <si>
    <t>Phylogenomics illuminates the evolution of orb webs, respiratory systems and the biogeographic history of the world's smallest orb-weaving spiders (Araneae, Araneoidea, Symphytognathoids)</t>
  </si>
  <si>
    <t>MOLECULAR PHYLOGENETICS AND EVOLUTION</t>
  </si>
  <si>
    <t>Web evolution; Respiratory systems; Ultraconserved elements; Discordant loci</t>
  </si>
  <si>
    <t>NEW-ZEALAND BIOTA; PHYLOGENETIC PLACEMENT; GOODBYE GONDWANA; R PACKAGE; ARACHNIDA; LIKELIHOOD; DIVERSIFICATION; MORPHOLOGY; DISPERSAL; ANAPIDAE</t>
  </si>
  <si>
    <t>The miniature orb weaving spiders (symphytognathoids) are a group of small spiders (&lt;2 mm), including the smallest adult spider Patu digua (0.37 mm in body length), that have been classified into five families. The species of one of its constituent lineages, the family Anapidae, build a remarkable diversity of webs (ranging from orbs to sheet webs and irregular tangles) and even include a webless kleptoparasitic species. Anapids are also exceptional because of the extraordinary diversity of their respiratory systems. The phylogenetic relationships of symphytognathoid families have been recalcitrant with different classes of data, such as, monophyletic with morphology and its concatenation with Sanger-based six markers, paraphyletic (including a paraphyletic Anapidae) with solely Sanger-based six markers, and polyphyletic with transcriptomes. In this study, we capitalized on a large taxonomic sampling of symphytognathoids, focusing on Anapidae, and using de novo sequenced ultraconserved elements (UCEs) combined with UCEs recovered from available transcriptomes and genomes. We evaluated the conflicting relationships using a variety of support metrics and topology tests. We found support for the phylogenetic hypothesis proposed using morphology to obtain the symphytognathoids clade, Anterior Tracheal System (ANTS) Clade and monophyly of the family Anapidae. Anapidae can be divided into three major lineages, the Vichitra Clade (including Teutoniella, Holarchaea, Sofanapis and Acrobleps), the subfamily Micropholcommatinae and the Orb-weaving anapids (Owa) Clade. Biogeographic analyses reconstructed a hypothesis of multiple long-distance transoceanic dispersal events, potentially influenced by the Antarctic Circumpolar Current and West Wind Drift. In symphytognathoids, the ancestral anterior tracheal system transformed to book lungs four times and reduced book lungs five times. The posterior tracheal system was lost six times. The orb web structure was lost four times independently and transformed into sheet web once.</t>
  </si>
  <si>
    <t>[Kulkarni, Siddharth; Hormiga, Gustavo] George Washington Univ, Dept Biol Sci, 2029 G St NW, Washington, DC 20052 USA; [Kulkarni, Siddharth; Wood, Hannah M.] Smithsonian Inst, Dept Entomol, Natl Museum Nat Hist, 1000 Constitut Ave NW, Washington, DC 20560 USA; [Kulkarni, Siddharth] Univ Wisconsin Madison, Dept Integrat Biol, Madison, WI 53706 USA</t>
  </si>
  <si>
    <t>George Washington University; Smithsonian Institution; Smithsonian National Museum of Natural History; University of Wisconsin System; University of Wisconsin Madison</t>
  </si>
  <si>
    <t>Kulkarni, S; Hormiga, G (corresponding author), George Washington Univ, Dept Biol Sci, 2029 G St NW, Washington, DC 20052 USA.</t>
  </si>
  <si>
    <t>sskulkarni24@wisc.edu; hormiga@gwu.edu</t>
  </si>
  <si>
    <t>Wood, Hannah/0000-0003-0453-2699</t>
  </si>
  <si>
    <t>National Geographic Society's Early Career Grant [EC-54674-R18]; Oscar and Jan Francke Student Research Award; Weintraub Fellowship; Mortensen Fund; Harlan Summer Fund; Lakeside fund; Smithsonian Institution; National Science Foundation [DEB 1457300, 1457539]; Gonzalo Giribet [DEB 1754289]; Global Genome Initiative grant [GGI-Peer-2018-181]</t>
  </si>
  <si>
    <t>National Geographic Society's Early Career Grant(National Geographic Society); Oscar and Jan Francke Student Research Award; Weintraub Fellowship; Mortensen Fund; Harlan Summer Fund; Lakeside fund; Smithsonian Institution(Smithsonian Institution); National Science Foundation(National Science Foundation (NSF)); Gonzalo Giribet; Global Genome Initiative grant</t>
  </si>
  <si>
    <t>This work was supported by the National Geographic Society's Early Career Grant (EC-54674-R18) , Oscar and Jan Francke Student Research Award offered by the International Society of Arachnology, a Weintraub Fellowship, a Mortensen Fund and a Harlan Summer Fund offered by the George Washington University, Lakeside fund, and a predoctoral fellowship by the Smithsonian Institution to SK. Additional support was provided by the National Science Foundation Grants (DEB 1457300, 1457539) to GH and Gonzalo Giribet, (DEB 1754289) to GH. UCE target-capture sequencing was funded by a Global Genome Initiative grant (GGI-Peer-2018-181) to HMW.</t>
  </si>
  <si>
    <t>1055-7903</t>
  </si>
  <si>
    <t>1095-9513</t>
  </si>
  <si>
    <t>MOL PHYLOGENET EVOL</t>
  </si>
  <si>
    <t>Mol. Phylogenet. Evol.</t>
  </si>
  <si>
    <t>10.1016/j.ympev.2023.107855</t>
  </si>
  <si>
    <t>Biochemistry &amp; Molecular Biology; Evolutionary Biology; Genetics &amp; Heredity</t>
  </si>
  <si>
    <t>N8TJ6</t>
  </si>
  <si>
    <t>WOS:001039670000001</t>
  </si>
  <si>
    <t>Xie, ZY; Kallenborn, R</t>
  </si>
  <si>
    <t>Xie, Zhiyong; Kallenborn, Roland</t>
  </si>
  <si>
    <t>Legacy and emerging per- and poly-fluoroalkyl substances in polar regions</t>
  </si>
  <si>
    <t>CURRENT OPINION IN GREEN AND SUSTAINABLE CHEMISTRY</t>
  </si>
  <si>
    <t>Per-and poly-fluorinated alkyl substances Arctic Antarctica Long-range transport Atmosphere Seawater Sea ice Snow Biota</t>
  </si>
  <si>
    <t>POLYFLUOROALKYL SUBSTANCES; PERFLUOROALKYL SUBSTANCES; DEGRADATION; TRANSPORT; ATLANTIC; TRENDS; PFASS; ACIDS; SNOW; AIR</t>
  </si>
  <si>
    <t>Per-and poly-fluorinated alkyl substances (PFASs) have been investigated in various environmental compartments in the Arctic and Antarctica. Available data indicated that PFASs are ubiquitous and constitute one group of 'forever chemicals' in the pristine polar environment. Long-range environmental transport with oceanic currents and atmosphere are major pathways in which PFAS reach polar regions. Novel PFASs have been identified in the Arctic and Antarctic, such as hexafluoropropylene oxide dimer acid and fluorotelomer sul-fonates (6:2 and 8:2 FTS), although these alternatives have just been produced as replacements of perfluorooctane sul-fonate (PFOS) and perfluorooctanoic acid (PFOA) for a few years. Spatial distribution of PFASs showed declining trends from the continental sources to the polar oceans, suggesting ongoing discharge and transport processes. Elevated con-centrations of PFAS often occur in the coastal areas of the Arctic and Antarctica, highlighting glacier melting and sea ice retreat act as secondary sources of PFASs.</t>
  </si>
  <si>
    <t>[Xie, Zhiyong] Helmholtz Zentrum Hereon, Inst Coastal Environm Chem, D-21502 Geesthacht, Germany; [Kallenborn, Roland] Norwegian Univ Life Sci NMBU, Fac Chem, Biotechnol &amp; Food Sci KBM, As, Norway</t>
  </si>
  <si>
    <t>Helmholtz Association; Helmholtz-Zentrum Hereon; Norwegian University of Life Sciences</t>
  </si>
  <si>
    <t>Xie, ZY (corresponding author), Helmholtz Zentrum Hereon, Inst Coastal Environm Chem, D-21502 Geesthacht, Germany.</t>
  </si>
  <si>
    <t>Zhiyong.xie@hereon.de; roland.kallenborn@nmbu.no</t>
  </si>
  <si>
    <t>Xie, Zhiyong/0000-0001-8997-3930</t>
  </si>
  <si>
    <t>2452-2236</t>
  </si>
  <si>
    <t>CURR OPIN GREEN SUST</t>
  </si>
  <si>
    <t>Curr. Opin. Green Sustain. Chem.</t>
  </si>
  <si>
    <t>10.1016/j.cogsc.2023.100840</t>
  </si>
  <si>
    <t>Chemistry, Multidisciplinary; Green &amp; Sustainable Science &amp; Technology</t>
  </si>
  <si>
    <t>Chemistry; Science &amp; Technology - Other Topics</t>
  </si>
  <si>
    <t>N8FH0</t>
  </si>
  <si>
    <t>WOS:001039302900001</t>
  </si>
  <si>
    <t>Choi, H; Kim, SS; Park, SH</t>
  </si>
  <si>
    <t>Choi, Hakkyum; Kim, Seung-Sep; Park, Sung-Hyun</t>
  </si>
  <si>
    <t>Comparative analysis of shipboard three-component magnetometer (STCM) and proton precession magnetometer (PPM) datasets in the Australian-Antarctic Ridge</t>
  </si>
  <si>
    <t>DATA IN BRIEF</t>
  </si>
  <si>
    <t>Geomagnetic field; Vector magnetic field; Magnetometer; Marine magnetic survey; Magnetized seafloor</t>
  </si>
  <si>
    <t>Two different types of magnetometer, the Proton Precession Magnetometer (PPM) and the Shipboard Three-Component Magnetometer (STCM), each possess its own strengths and weaknesses in their operation. The PPM can measure the total intensity of the Earth's geomagnetic field without requiring complicated post-processing and correction. However, its operation is often limited by the condition of the sea surface. In contrast, the STCM can measure three components of the Earth's field-X, Y and Z -and is not restricted by the sea condition. However, the STCM is highly sensitive to ship's viscous magnetization, which introduces significant noise into the data quality and can lead to a loss in measured geomagnetic field. The simultaneous measurements were carried out using both types of magnetometers along the same section within the Australian-Antarctic Ridge. This region experiences strong measurements of the geomagnetic field due to its proximity to the geomagnetic South Pole. We then compared the differences between the two datasets. For each dataset, we calculated a unique linear trend and subsequently removed the discrepancy between the trends. The corrected STCM data exhibited excellent agreement with the PPM data, suggesting the potential for complementary uti-lization of the STCM along the PPM. &amp; COPY; 2023 The Author(s). Published by Elsevier Inc. This is an open access article under the CC BY license ( http://creativecommons.org/licenses/by/4.0/ )</t>
  </si>
  <si>
    <t>[Choi, Hakkyum; Park, Sung-Hyun] Korea Polar Res Inst, Div Earth Sci, Incheon 21990, South Korea; [Kim, Seung-Sep] Chungnam Natl Univ, Dept Geol Sci, Daejeon 34134, South Korea; [Choi, Hakkyum] Korea Polar Res Inst, 26 Songdomirae Ro, Incheon 21990, South Korea</t>
  </si>
  <si>
    <t>Korea Polar Research Institute (KOPRI); Chungnam National University; Korea Polar Research Institute (KOPRI)</t>
  </si>
  <si>
    <t>Choi, H (corresponding author), Korea Polar Res Inst, 26 Songdomirae Ro, Incheon 21990, South Korea.</t>
  </si>
  <si>
    <t>hkchoi@kopri.re.kr; seungsep@cnu.ac.kr; shpark314@kopri.re.kr</t>
  </si>
  <si>
    <t>Kore Polar Research Institute (KOPRI) [PE23050]; National Research Foundation of Korea [NRF-2021R1A4A5026233, NRF-2021R1A2C1012030]</t>
  </si>
  <si>
    <t>Kore Polar Research Institute (KOPRI); National Research Foundation of Korea(National Research Foundation of Korea)</t>
  </si>
  <si>
    <t>This study was supported by the Kore Polar Research Institute (KOPRI) , under grant num-bers PE23050 . S.-S.K. acknowledges the supports from the National Research Foundation of Korea (NRF-2021R1A4A5026233 and NRF-2021R1A2C1012030) .</t>
  </si>
  <si>
    <t>2352-3409</t>
  </si>
  <si>
    <t>DATA BRIEF</t>
  </si>
  <si>
    <t>Data Brief</t>
  </si>
  <si>
    <t>10.1016/j.dib.2023.109351</t>
  </si>
  <si>
    <t>N5KQ6</t>
  </si>
  <si>
    <t>WOS:001037403200001</t>
  </si>
  <si>
    <t>Wang, CF; Wang, XY; Wei, YY; Guo, GJ; Li, HB; Wan, AY; Zhang, WC</t>
  </si>
  <si>
    <t>Wang, Chaofeng; Wang, Xiaoyu; Wei, Yuanyuan; Guo, Guijun; Li, Haibo; Wan, Aiyong; Zhang, Wuchang</t>
  </si>
  <si>
    <t>Pelagic ciliate (Ciliophora) communities in the Southern Ocean: Bioindicator to water mass, habitat suitability classification and potential response to global warming</t>
  </si>
  <si>
    <t>Microzooplankton; Pelagic ciliates; Habitat suitability; Indicator; Southern Ocean; Water mass</t>
  </si>
  <si>
    <t>AMUNDSEN SEA POLYNYA; VERTICAL-DISTRIBUTION; PRYDZ BAY; ROSS SEA; ICE-ZONE; PHYTOPLANKTON GROWTH; MEDITERRANEAN SEA; CONTINENTAL-SLOPE; EAST ANTARCTICA; SURFACE WATERS</t>
  </si>
  <si>
    <t>Although the pelagic ciliate (microzooplankton) play important role in carbon flux of marine ecosystems, their ecological function, habitat suitability classification and response to global warming were poorly documented in the Southern Ocean (SO). During summer of 2020/2021, ciliate (including aloricate ciliates and tintinnids) communities in waters from surface to 1000 m were investigated in the SO. Rapid attenuation of ciliate abun-dance and biomass occurred at 100 m depth in most stations. According to distinctive hydrographic features, five water masses were identified in the SO with unique ciliate community structure. Aloricate ciliate small size-fraction (10-20 &amp; mu;m) was dominant in water masses deeper than 200 m. Tintinnids showed distinctive regional and vertical distribution characteristics, and their habitat suitability characterized by the Bio-index exhibiting different optimum survival zones. Variations in tintinnid habitat can be regarded as indicators for future SO climate change. Correlation between environment factors and biota revealed that depth, Chl a and dissolved oxygen were main factors determining ciliate composition. Combining tendency of phytoplankton and meso-/ macro-zooplankton to rapid global warming, ciliates may become smaller and more prominent in the future SO marine pelagic ecosystem. Our study has laid a foundation for recognizing the ciliate community and reinforcing the ideas about tintinnid indication for the change of future SO marine ecosystem.</t>
  </si>
  <si>
    <t>[Wang, Chaofeng; Li, Haibo; Zhang, Wuchang] Chinese Acad Sci, Inst Oceanol, CAS Key Lab Marine Ecol &amp; Environm Sci, Qingdao 266071, Peoples R China; [Wang, Chaofeng; Li, Haibo; Wan, Aiyong; Zhang, Wuchang] Lab Marine Ecol &amp; Environm Sci, Qingdao Natl Lab Marine Sci &amp; Technol, Qingdao 266237, Peoples R China; [Wang, Chaofeng; Li, Haibo; Zhang, Wuchang] Chinese Acad Sci, Ctr Ocean Mega Sci, Qingdao 266071, Peoples R China; [Wang, Xiaoyu] Ocean Univ China, Frontiers Sci Ctr Deep Ocean Multispheres &amp; Earth, Key Lab Phys Oceanog, Qingdao 266100, Peoples R China; [Wei, Yuanyuan] Shanghai Ocean Univ, Coll Marine Ecol &amp; Environm, Shanghai 201306, Peoples R China; [Guo, Guijun] Minist Nat Resources, Inst Oceanog 1, Qingdao 266061, Peoples R China; [Wan, Aiyong] Chinese Acad Sci, Inst Oceanol, Jiaozhou Bay Marine Ecosyst Res Stn, Qingdao 266071, Peoples R China</t>
  </si>
  <si>
    <t>Chinese Academy of Sciences; Institute of Oceanology, CAS; Laoshan Laboratory; Chinese Academy of Sciences; Ocean University of China; Shanghai Ocean University; First Institute of Oceanography, Ministry of Natural Resources; Ministry of Natural Resources of the People's Republic of China; Chinese Academy of Sciences; Institute of Oceanology, CAS</t>
  </si>
  <si>
    <t>Zhang, WC (corresponding author), Chinese Acad Sci, Inst Oceanol, CAS Key Lab Marine Ecol &amp; Environm Sci, Qingdao 266071, Peoples R China.</t>
  </si>
  <si>
    <t>wuchangzhang@qdio.ac.cn</t>
  </si>
  <si>
    <t>Wang, Xiaoyu/GXM-3262-2022</t>
  </si>
  <si>
    <t>Impact and Response of Antarctic Seas to Climate Change [IRASCC 01-02-01D]; Shan-dong Provincial Natural Science Foundation [ZR2022QD022]; National Natural Science Foundation of China [42206258]; Basic Scientific Fund for National Public Research Institutes of China [GY0222Q03]</t>
  </si>
  <si>
    <t>Impact and Response of Antarctic Seas to Climate Change; Shan-dong Provincial Natural Science Foundation(Natural Science Foundation of Shandong Province); National Natural Science Foundation of China(National Natural Science Foundation of China (NSFC)); Basic Scientific Fund for National Public Research Institutes of China</t>
  </si>
  <si>
    <t>This research was supported by the Impact and Response of Antarctic Seas to Climate Change (grant number IRASCC 01-02-01D) , the Shan-dong Provincial Natural Science Foundation (grant number ZR2022QD022) , the National Natural Science Foundation of China (grant number 42206258) , and the Basic Scientific Fund for National Public Research Institutes of China (grant number GY0222Q03) . We thank captain and crews of R.V. Xuelong 2 for their great help in sampling during the cruise. Meanwhile, we greatly appreciate the constructive comments by two anonymous reviewers for dramatically improving the quality of the manuscript.</t>
  </si>
  <si>
    <t>10.1016/j.pocean.2023.103081</t>
  </si>
  <si>
    <t>N5KC0</t>
  </si>
  <si>
    <t>WOS:001037388500001</t>
  </si>
  <si>
    <t>Mokhov, II; Smirnov, DA</t>
  </si>
  <si>
    <t>Mokhov, Igor I.; Smirnov, Dmitry A.</t>
  </si>
  <si>
    <t>Contribution of Solar Irradiance Variations to Surface Air Temperature Trends at Different Latitudes Estimated from Long-term Data</t>
  </si>
  <si>
    <t>PURE AND APPLIED GEOPHYSICS</t>
  </si>
  <si>
    <t>Surface temperature trends; Contributions of insolation variations; Greenhouse gases; Natural variability modes; Time series analysis; Autoregressive models; Granger causality and medium-term causality</t>
  </si>
  <si>
    <t>ATLANTIC MULTIDECADAL OSCILLATION; ANTHROPOGENIC CLIMATE-CHANGE; PART I; MODEL; ATTRIBUTION; PACIFIC; MINIMUM; 21ST-CENTURY; SIMULATIONS; VARIABILITY</t>
  </si>
  <si>
    <t>Contributions of the insolation variations together with different natural and anthropogenic factors to the trends of the surface air temperatures at different latitudes of the Northern and Southern Hemispheres on various temporal horizons are estimated from climate data since the nineteenth century with the use of empirical autoregressive models. As the natural climate variability modes, we take into account Atlantic Multidecadal Oscillation, El-Nino/Southern Oscillation, Interdecadal Pacific Oscillation, Pacific Decadal Oscillation, and Antarctic Oscillation. According to the obtained results, the contributions of the insolation variations to the trends of the surface air temperature are statistically insignificant on the time intervals under study, i.e. from a decade and longer. Taking into account the insolation variations in the autoregressive models weakly alters the estimates of the contributions of the greenhouse gases and natural variability modes to the temperature trends: the changes are not more than several per cent. Numerically, the estimated contributions of the insolation variations can considerably exceed the respective contributions of the natural variability modes both on short (less than two decades) and long (longer than a century) time intervals.</t>
  </si>
  <si>
    <t>[Mokhov, Igor I.; Smirnov, Dmitry A.] Russian Acad Sci, AM Obukhov Inst Atmospher Phys, 3 Pyzhevsky Per, Moscow 119017, Russia; [Mokhov, Igor I.] Lomonosov Moscow State Univ, Dept Phys, Moscow 119991, Russia; [Smirnov, Dmitry A.] Russian Acad Sci, Kotelnikov Inst Radioengn &amp; Elect, Saratov Branch, 38 Zelyonaya St, Saratov 410019, Russia</t>
  </si>
  <si>
    <t>Russian Academy of Sciences; Obukhov Institute of Atmospheric Physics of Russian Academy of Sciences; Lomonosov Moscow State University; Kotelnikov Institute of Radioengineering &amp; Electronics; Russian Academy of Sciences; Saratov Scientific Center of the Russian Academy of Sciences</t>
  </si>
  <si>
    <t>Smirnov, DA (corresponding author), Russian Acad Sci, AM Obukhov Inst Atmospher Phys, 3 Pyzhevsky Per, Moscow 119017, Russia.;Smirnov, DA (corresponding author), Russian Acad Sci, Kotelnikov Inst Radioengn &amp; Elect, Saratov Branch, 38 Zelyonaya St, Saratov 410019, Russia.</t>
  </si>
  <si>
    <t>smirnovda@yandex.ru</t>
  </si>
  <si>
    <t>Russian Science Foundation [1917-00240]; RSF-NSFC [23-47-00104]</t>
  </si>
  <si>
    <t>Russian Science Foundation(Russian Science Foundation (RSF)); RSF-NSFC</t>
  </si>
  <si>
    <t>This study was supported by the Russian Science Foundation project No. 19-17-00240. The results obtained within the framework of the RSF-NSFC project 23-47-00104 were also used</t>
  </si>
  <si>
    <t>SPRINGER BASEL AG</t>
  </si>
  <si>
    <t>PICASSOPLATZ 4, BASEL, 4052, SWITZERLAND</t>
  </si>
  <si>
    <t>0033-4553</t>
  </si>
  <si>
    <t>1420-9136</t>
  </si>
  <si>
    <t>PURE APPL GEOPHYS</t>
  </si>
  <si>
    <t>Pure Appl. Geophys.</t>
  </si>
  <si>
    <t>10.1007/s00024-023-03317-8</t>
  </si>
  <si>
    <t>P1QC1</t>
  </si>
  <si>
    <t>WOS:001024255300001</t>
  </si>
  <si>
    <t>Fu, DW; Li, JJ; Dai, DM; Zhou, DY; Zhu, BW; Song, L</t>
  </si>
  <si>
    <t>Fu, Dong-wen; Li, Jing-jing; Dai, Dong-mei; Zhou, Da-yong; Zhu, Bei-wei; Song, Liang</t>
  </si>
  <si>
    <t>Development and characterization of self-emulsifying high internal phase emulsions using endogenous phospholipids from Antarctic krill oil</t>
  </si>
  <si>
    <t>FOOD CHEMISTRY</t>
  </si>
  <si>
    <t>Antarctic krill oil; Hydrated phospholipid; Phospholipid lamellar network; Self-emulsifying emulsion gel</t>
  </si>
  <si>
    <t>IN-WATER; LECITHIN; STABILITY; EXTRACTION; MEAL</t>
  </si>
  <si>
    <t>High internal phase emulsions (HIPEs) have emerged as a promising structured oil system in food industry. This study developed self-emulsifying HIPEs (SHIPEs) using Antarctic krill oil (KO) with endogenous phospholipids as surfactant and algae oil as a diluent. The influence of phospholipids self-assembly on SHIPEs formation was investigated by evaluating the microstructures, particle size, rheological properties, and water distribution. Results demonstrated that the concentration and self-assembly behavior of phospholipids dominated the SHIPEs formation. Optimized SHIPEs with desirable gel properties contained 10 wt% krill oil in the oil phase at an 80 wt % oil phase level. Furthermore, these SHIPEs exhibited excellent performance in 3D printing applications. Hy-drated phospholipids formed lamellar network at the oil-water interface, enhancing gel strength by crosslinking oil droplets. These findings shed light on the self-assembly of phospholipids during HIPEs formation and high -light the potential phospholipids-rich marine lipids in SHIPEs for functional food products development.</t>
  </si>
  <si>
    <t>[Fu, Dong-wen; Li, Jing-jing; Dai, Dong-mei; Zhou, Da-yong; Zhu, Bei-wei; Song, Liang] Dalian Polytech Univ, Sch Food Sci &amp; Technol, 1 Qinggongyuan, Dalian 116034, Peoples R China; [Zhou, Da-yong; Zhu, Bei-wei; Song, Liang] Natl Engn Res Ctr Seafood, 1 Qinggongyuan, Dalian 116034, Peoples R China; [Zhou, Da-yong; Zhu, Bei-wei; Song, Liang] State Key Lab Marine Food Proc &amp; Safety Control, Dalian 116034, Peoples R China</t>
  </si>
  <si>
    <t>Song, L (corresponding author), Dalian Polytech Univ, Sch Food Sci &amp; Technol, 1 Qinggongyuan, Dalian 116034, Peoples R China.</t>
  </si>
  <si>
    <t>ryo.song@foxmail.com</t>
  </si>
  <si>
    <t>Zhang, Kai/KBD-3312-2024; li, yuanfang/KHV-1697-2024</t>
  </si>
  <si>
    <t>Key Program of National Natural Science Foundation of China [32230080]; Dalian Science and Technology Innovation Fund [2022JJ11CG008]; National Key R amp; D Program of China [2018YFC1406806]</t>
  </si>
  <si>
    <t>Key Program of National Natural Science Foundation of China(National Natural Science Foundation of China (NSFC)); Dalian Science and Technology Innovation Fund; National Key R amp; D Program of China</t>
  </si>
  <si>
    <t>This work was financially supported by the Key Program of National Natural Science Foundation of China (Grant No. 32230080) , the Dalian Science and Technology Innovation Fund (Grant No.2022JJ11CG008) and the National Key R &amp; D Program of China (Grant No. 2018YFC1406806) .</t>
  </si>
  <si>
    <t>0308-8146</t>
  </si>
  <si>
    <t>1873-7072</t>
  </si>
  <si>
    <t>FOOD CHEM</t>
  </si>
  <si>
    <t>Food Chem.</t>
  </si>
  <si>
    <t>10.1016/j.foodchem.2023.136765</t>
  </si>
  <si>
    <t>Chemistry, Applied; Food Science &amp; Technology; Nutrition &amp; Dietetics</t>
  </si>
  <si>
    <t>Chemistry; Food Science &amp; Technology; Nutrition &amp; Dietetics</t>
  </si>
  <si>
    <t>N9EA7</t>
  </si>
  <si>
    <t>WOS:001039947200001</t>
  </si>
  <si>
    <t>Sandbakken, IS; Five, KK; Bardal, T; Knapp, JL; Olsen, RE</t>
  </si>
  <si>
    <t>Sandbakken, Ingrid Schafroth; Five, Kathrine Kjos; Bardal, Tora; Knapp, Jarred Lee; Olsen, Rolf Erik</t>
  </si>
  <si>
    <t>Salmon hydrolysate as a protein source for Atlantic salmon; prion content and effects on growth, digestibility and gut health</t>
  </si>
  <si>
    <t>Atlantic salmon ( Salmo salar ); Hydrolysate; Prion; Digestibility; Growth; Histology</t>
  </si>
  <si>
    <t>SALAR L.; FISH-MEAL; EUPHAUSIA-SUPERBA; ANTARCTIC KRILL; GRADED-LEVELS; AMINO-ACIDS; FEED-INTAKE; DIETS; STIMULATION; PERFORMANCE</t>
  </si>
  <si>
    <t>Feeding unhydrolyzed protein to the same species from which it came from have caused prion disease in some mammals, but this has not been observed in fish. In this study, we characterized a salmon protein hydrolysate (FPH) for prion content and investigated how partially replacing fish meal with salmon hydrolysate, affected growth, digestibility and gut health of Atlantic salmon (Salmo salar). The salmon hydrolysate was analysed for prion content by shotgun and targeted proteomics, but no prions were found. Atlantic salmon post smolts were fed one of the following: a control diet containing 30% fish meal (FM), a 20% FM with 9% salmon hydrolysate diet (FPH-09) or a 10% FM with 18% salmon hydrolysate diet (FPH-18). Salmon fed the hydrolysate diets had higher specific growth rate over the first 25 days. The FPH-18 diet contained more digestible proteins and amino acids than the FM diet, and the ash digestibility increased linearly with the FPH content, indicating increased mineral uptake. Histological analysis of midgut and hindgut did not reveal any significant differences between the FM and FPH-18 diets, and the intestines were assessed to be normal and healthy. These results imply that salmon hydrolysate is a promising novel feed ingredient for Atlantic salmon, due to its excellent amino acid profile and high digestibility.</t>
  </si>
  <si>
    <t>[Sandbakken, Ingrid Schafroth; Five, Kathrine Kjos; Bardal, Tora; Olsen, Rolf Erik] Norwegian Univ Sci &amp; Technol NTNU, Dept Biol, N-7010 Trondheim, Norway; [Sandbakken, Ingrid Schafroth; Five, Kathrine Kjos; Knapp, Jarred Lee] Nutrimar AS, N-7266 Kverva, Norway; [Sandbakken, Ingrid Schafroth] NTNU, Havnegata 7, N-7010 Trondheim, Norway; [Sandbakken, Ingrid Schafroth] Nutrimar AS, Havnegata 7, N-7010 Trondheim, Norway</t>
  </si>
  <si>
    <t>Norwegian University of Science &amp; Technology (NTNU); Norwegian University of Science &amp; Technology (NTNU)</t>
  </si>
  <si>
    <t>Sandbakken, IS (corresponding author), NTNU, Havnegata 7, N-7010 Trondheim, Norway.;Sandbakken, IS (corresponding author), Nutrimar AS, Havnegata 7, N-7010 Trondheim, Norway.</t>
  </si>
  <si>
    <t>ingrid.sandbakken@nutrimar.no</t>
  </si>
  <si>
    <t>Olsen, Rolf Erik/0000-0002-6633-5837</t>
  </si>
  <si>
    <t>Norwegian research council [298839]; Nutrimar AS</t>
  </si>
  <si>
    <t>Norwegian research council(Research Council of Norway); Nutrimar AS</t>
  </si>
  <si>
    <t>This work was supported by Nutrimar AS and the Norwegian research council [project no: 298839]. The funding sources have not been involved in the study design or interpretation of the data from this experiment.</t>
  </si>
  <si>
    <t>10.1016/j.aquaculture.2023.739863</t>
  </si>
  <si>
    <t>N4QQ4</t>
  </si>
  <si>
    <t>WOS:001036880900001</t>
  </si>
  <si>
    <t>Sherman, CS; Simpfendorfer, CA; Haque, AB; Digel, ED; Zubick, P; Eged, J; Matsushiba, JH; Sant, G; Dulvy, NK</t>
  </si>
  <si>
    <t>Sherman, C. Samantha; Simpfendorfer, Colin A.; Haque, Alifa B.; Digel, Eric D.; Zubick, Patrick; Eged, Jonathan; Matsushiba, Jay H.; Sant, Glenn; Dulvy, Nicholas K.</t>
  </si>
  <si>
    <t>Guitarfishes are plucked: Undermanaged in global fisheries despite declining populations and high volume of unreported international trade</t>
  </si>
  <si>
    <t>CITES; Fin trade; Fisheries management; International policy; International trade; Rhinobatidae</t>
  </si>
  <si>
    <t>SPECIES COMPOSITION; SHARK; BIOLOGY</t>
  </si>
  <si>
    <t>Some sharks and rays are subject to fisheries catch and international trade regulations. However, the Guitarfishes (family Rhinobatidae) are a highly threatened group with minimal regulations. The true volume of Guitarfishes in international trade is underestimated and masked by substantial underreporting of catch and the use of broad commodity codes for traded products. Here, we begin to document the extent of trade by collating international trade information for Guitarfishes that have not readily been documented in trade, possibly due to poor resolution of molecular genetic markers. We also assess the shortfall in fisheries management (M-Risk) for all species of Guitarfish based on 99 assessments across 28 countries. Globally, Guitarfishes are inadequately managed, with an average M-Risk of 45% of an ideal score, resulting in 76% of species being threatened globally. The high and unregulated catch and trade volume, paired with the management shortfalls, require global integrated improvement in fisheries management, supported by regulating international trade to sustainable levels.</t>
  </si>
  <si>
    <t>[Sherman, C. Samantha; Digel, Eric D.; Zubick, Patrick; Eged, Jonathan; Matsushiba, Jay H.; Dulvy, Nicholas K.] Simon Fraser Univ, Dept Biol Sci, Earth Ocean Res Grp, 8888 Univ Dr, Burnaby, BC V5A 1S6, Canada; [Sherman, C. Samantha; Sant, Glenn] TRAFF Int, Cambridge, England; [Simpfendorfer, Colin A.] Univ Tasmania, Inst Marine &amp; Antarctic Studies, Hobart, Tas, Australia; [Haque, Alifa B.] Univ Oxford, Dept Biol, Nat Based Solut Initiat, Oxford, England; [Haque, Alifa B.] Univ Dhaka, Dept Zool, Dhaka, Bangladesh; [Sant, Glenn] Univ Wollongong, Australian Natl Ctr Ocean Resources &amp; Secur, Wollongong, NSW, Australia; [Sherman, C. Samantha] Deakin Univ, Sch Life &amp; Environm Sci, Geelong, Vic, Australia</t>
  </si>
  <si>
    <t>Simon Fraser University; University of Tasmania; University of Oxford; University of Dhaka; University of Wollongong; Deakin University</t>
  </si>
  <si>
    <t>Sherman, CS (corresponding author), Deakin Univ, Sch Life &amp; Environm Sci, Geelong, Vic, Australia.</t>
  </si>
  <si>
    <t>sammsherman27@gmail.com</t>
  </si>
  <si>
    <t>Sherman, Samantha/AAB-3349-2020; Dulvy, Nicholas/I-2895-2012; Simpfendorfer, Colin A/G-9681-2011</t>
  </si>
  <si>
    <t>Sherman, Samantha/0000-0002-7150-1035; Dulvy, Nicholas/0000-0002-4295-9725;</t>
  </si>
  <si>
    <t>Shark Conservation Fund; Natural Science and Engineering Research Council; Canada Research Chair program</t>
  </si>
  <si>
    <t>Shark Conservation Fund; Natural Science and Engineering Research Council(Natural Sciences and Engineering Research Council of Canada (NSERC)); Canada Research Chair program(Canada Research Chairs)</t>
  </si>
  <si>
    <t>&amp; nbsp;This work was supported by a grant to GS from the Shark Conservation Fund, a philanthropic collaborative that pools expertise and resources to meet the threats facing the world's sharks and rays. The Shark Conservation Fund is a project of Rockefeller Philanthropy Advisors. NKD was supported by the Discovery and Accelerator grants from Natural Science and Engineering Research Council and the Canada Research Chair program.</t>
  </si>
  <si>
    <t>10.1016/j.marpol.2023.105753</t>
  </si>
  <si>
    <t>N5MT0</t>
  </si>
  <si>
    <t>WOS:001037458000001</t>
  </si>
  <si>
    <t>Rendoll-Cárcamo, J; Gañán, M; Madriz, RI; Convey, P; Contador, T</t>
  </si>
  <si>
    <t>Rendoll-Carcamo, Javier; Ganan, Melisa; Madriz, R. Isai; Convey, Peter; Contador, Tamara</t>
  </si>
  <si>
    <t>Wing reduction and body size variation along a steep elevation gradient: a case study with Magellanic sub-Antarctic mayflies and stoneflies</t>
  </si>
  <si>
    <t>FRONTIERS IN ECOLOGY AND EVOLUTION</t>
  </si>
  <si>
    <t>body size; ecogeographical patterns; Ephemeroptera; Plecoptera; sub-Antarctic; wing reduction</t>
  </si>
  <si>
    <t>PATTERNS; RULE; TEMPERATURE; PLECOPTERA; CLINES</t>
  </si>
  <si>
    <t>Introduction: Ecogeographical patterns in body size have been described across a wide range of vertebrate species. However, insects have shown inconsistent patterns in studies to date. Aquatic insects, particularly those from remote regions, have barely been explored. Methods: The Magellanic sub-Antarctic ecoregion offers an ideal natural laboratory with near pristine environments, limiting the potential influence of confounding variables. In this study, we evaluated the influence of elevation on body and wing size and aspect ratio patterns for 10 species of mayfly (Ephemeroptera) and stonefly (Plecoptera) along a steep coastal elevation gradient (similar to 0-600 m a.s.l.). Results: We detected significant relationships between altitude and morphological features for the studied species. Additionally, we found that in females, morphological changes were slightly more pronounced than in males, probably due to their role as dispersers. While body size showed an increase along the elevation gradient, there was a notable decrease in some species' wing length over a relatively short geographic distance. Discussion: Our data suggest that morphological plasticity might be promoted in response to the harsh environmental conditions that typify the steep coastal Magellanic sub-Antarctic mountain ranges.</t>
  </si>
  <si>
    <t>[Rendoll-Carcamo, Javier; Ganan, Melisa; Convey, Peter; Contador, Tamara] Univ Magallanes, Cape Horn Int Ctr, Wankara Lab, Puerto Williams, Chile; [Rendoll-Carcamo, Javier; Ganan, Melisa; Convey, Peter; Contador, Tamara] Univ Chile, Millennium Inst Biodivers Antarctic &amp; Subantarct E, Santiago, Chile; [Rendoll-Carcamo, Javier; Contador, Tamara] Univ Concepcion, Millennium Nucleus Austral Invas Salmonids INVASAL, Concepcion, Chile; [Ganan, Melisa] Univ Barcelona, Dept Biol Ecol &amp; Environm Sci, Barcelona, Spain; [Ganan, Melisa] Univ Barcelona, Inst Recerca Biodiversitat, Barcelona, Spain; [Madriz, R. Isai] Univ Tennessee, Entomol &amp; Plant Pathol Dept, Knoxville, TN USA; [Convey, Peter] Nat Environm Res Council NERC, British Antarctic Survey, Cambridge, England; [Convey, Peter] Univ Johannesburg, Dept Zool, Johannesburg, South Africa</t>
  </si>
  <si>
    <t>Universidad de Magallanes; Universidad de Chile; Universidad de Concepcion; University of Barcelona; University of Barcelona; University of Tennessee System; University of Tennessee Knoxville; UT Institute of Agriculture; UK Research &amp; Innovation (UKRI); Natural Environment Research Council (NERC); NERC British Antarctic Survey; University of Johannesburg</t>
  </si>
  <si>
    <t>Rendoll-Cárcamo, J (corresponding author), Univ Magallanes, Cape Horn Int Ctr, Wankara Lab, Puerto Williams, Chile.;Rendoll-Cárcamo, J (corresponding author), Univ Chile, Millennium Inst Biodivers Antarctic &amp; Subantarct E, Santiago, Chile.;Rendoll-Cárcamo, J (corresponding author), Univ Concepcion, Millennium Nucleus Austral Invas Salmonids INVASAL, Concepcion, Chile.</t>
  </si>
  <si>
    <t>javier.rendoll@umag.cl</t>
  </si>
  <si>
    <t>Contador, Tamara/Q-1914-2018</t>
  </si>
  <si>
    <t>Contador, Tamara/0000-0002-0250-9877; Ganan Mora, Melisa/0000-0001-6411-9295; Rendoll, Javier/0000-0003-1928-0914</t>
  </si>
  <si>
    <t>2296-701X</t>
  </si>
  <si>
    <t>FRONT ECOL EVOL</t>
  </si>
  <si>
    <t>Front. Ecol. Evol.</t>
  </si>
  <si>
    <t>JUL 7</t>
  </si>
  <si>
    <t>10.3389/fevo.2023.1188889</t>
  </si>
  <si>
    <t>M4YR6</t>
  </si>
  <si>
    <t>WOS:001030290300001</t>
  </si>
  <si>
    <t>Riley, TR; Burton-Johnson, A; Hogan, KA; Carter, A; Leat, PT</t>
  </si>
  <si>
    <t>Riley, Teal R.; Burton-Johnson, Alex; Hogan, Kelly A.; Carter, Andrew; Leat, Philip T.</t>
  </si>
  <si>
    <t>Cretaceous-Paleogene tectonic reconstructions of the South Scotia Ridge and implications for the initiation of subduction in the Scotia Sea</t>
  </si>
  <si>
    <t>JOURNAL OF THE GEOLOGICAL SOCIETY</t>
  </si>
  <si>
    <t>ANTARCTICA PLATE BOUNDARY; TRENCH COLLISION; BASIN; ARC; EVOLUTION; MANTLE; FLOW; AGE; PALEOCEANOGRAPHY; MICROCONTINENT</t>
  </si>
  <si>
    <t>The Cenozoic development of the Scotia Sea and the opening of Drake Passage led to the dispersal of crustal blocks of the North and South Scotia ridges, which today have a strong influence on the pathway of the Antarctic circumpolar current. The pre-translation positions of the crustal fragments of the Scotia ridges are uncertain, with correlations to both the Antarctic and South American plates. We present direct geochronology results (Ar-40/Ar-39) from the Bruce and Jane banks of the South Scotia Ridge that yield Late Cretaceous-Paleogene ages, indicating a pre-translation magmatic history. The basaltic magmatism from Bruce Bank is calc-alkaline, akin to the Cenozoic magmatism of the South Orkney microcontinent and the South Shetland Islands, and agrees with pre-translation tectonic models that place the crustal blocks of the South Scotia Ridge adjacent to the northern Antarctic Peninsula arc. The intra-oceanic arc magmatism at Jane Bank is Late Cretaceous in age (97.2 +/- 1.1 Ma) and is therefore inconsistent with models suggesting a Miocene origin as part of the ancestral South Sandwich arc. The development of westwards-directed subduction adjacent to Jane Bank is predicted in some tectonic models as a consequence of Late Cretaceous plate dynamics that developed prior to the Oligocene-Miocene ancestral arc.</t>
  </si>
  <si>
    <t>[Riley, Teal R.; Burton-Johnson, Alex; Hogan, Kelly A.; Leat, Philip T.] British Antarctic Survey, High Cross, Madingley Rd, Cambridge CB3 0ET, England; [Carter, Andrew] Univ London, Dept Earth &amp; Planetary Sci, Birkbeck, Malet St, London WC1E 7HX, England; [Leat, Philip T.] Univ Leicester, Sch Geog Geol &amp; Environm, Univ Rd, Leicester LE1 7RH, England</t>
  </si>
  <si>
    <t>UK Research &amp; Innovation (UKRI); Natural Environment Research Council (NERC); NERC British Antarctic Survey; University of London; Birkbeck University London; University of Leicester</t>
  </si>
  <si>
    <t>Riley, TR (corresponding author), British Antarctic Survey, High Cross, Madingley Rd, Cambridge CB3 0ET, England.</t>
  </si>
  <si>
    <t>trr@bas.ac.uk; alerto@bas.ac.uk; kelgan@bas.ac.uk; a.carter@ucl.ac.uk; ptle@bas.ac.uk</t>
  </si>
  <si>
    <t>Riley, Teal/0000-0002-3333-5021</t>
  </si>
  <si>
    <t>Natural Environmental Research Council</t>
  </si>
  <si>
    <t>Natural Environmental Research Council(UK Research &amp; Innovation (UKRI)Natural Environment Research Council (NERC))</t>
  </si>
  <si>
    <t>This study is part of the British Antarctic Survey Polar Science for Planet Earth programme, funded by the Natural Environmental Research Council (National Capability Funding).</t>
  </si>
  <si>
    <t>GEOLOGICAL SOC PUBL HOUSE</t>
  </si>
  <si>
    <t>BATH</t>
  </si>
  <si>
    <t>UNIT 7, BRASSMILL ENTERPRISE CENTRE, BRASSMILL LANE, BATH BA1 3JN, AVON, ENGLAND</t>
  </si>
  <si>
    <t>0016-7649</t>
  </si>
  <si>
    <t>2041-479X</t>
  </si>
  <si>
    <t>J GEOL SOC LONDON</t>
  </si>
  <si>
    <t>J. Geol. Soc.</t>
  </si>
  <si>
    <t>jgs2023013</t>
  </si>
  <si>
    <t>10.1144/jgs2023-013</t>
  </si>
  <si>
    <t>L1ZI8</t>
  </si>
  <si>
    <t>Green Submitted, Green Accepted, hybrid</t>
  </si>
  <si>
    <t>WOS:001021303800010</t>
  </si>
  <si>
    <t>Cheng, FY; Yang, QH; Liu, CW; Han, B; Peng, SJ; Hao, GH</t>
  </si>
  <si>
    <t>Cheng, Fangyuan; Yang, Qinghua; Liu, Changwei; Han, Bo; Peng, Shijie; Hao, Guanghua</t>
  </si>
  <si>
    <t>Evaluating Parameterizations for Turbulent Fluxes over the Landfast Sea-Ice Surface in Prydz Bay, Antarctica</t>
  </si>
  <si>
    <t>ADVANCES IN ATMOSPHERIC SCIENCES</t>
  </si>
  <si>
    <t>turbulent fluxes; Antarctica; landfast sea-ice surface; parameterization; evaluating; numerical models</t>
  </si>
  <si>
    <t>PROFILE RELATIONSHIPS; ROUGHNESS LENGTHS; SCALAR TRANSFER; INTERMITTENT TURBULENCE; AERODYNAMIC ROUGHNESS; DRAG COEFFICIENTS; WIND-SPEED; LAYER; MODEL; HEAT</t>
  </si>
  <si>
    <t>It is crucial to appropriately determine turbulent fluxes in numerical models. Using data collected in East Antarctica from 8 April to 26 November 2016, this study evaluates parameterization schemes for turbulent fluxes over the landfast sea-ice surface in five numerical models. The Community Noah Land Surface Model with Multi-Parameterizations Options (Noah_mp) best replicates the turbulent momentum flux, while the Beijing Climate System Model (BCC_CSM) produces the optimum sensible and latent heat fluxes. In particular, two critical issues of parameterization schemes, stability functions and roughness lengths, are investigated. Sensitivity tests indicate that roughness lengths play a decisive role in model performance. Based on the observed turbulent fluxes, roughness lengths over the landfast sea-ice surface are calculated. The results, which can provide a basis for setting up model parameters, reveal that the dynamic roughness length (z(0m)) increases with the increase of frictional velocity (u(*)) when u(*) &amp; LE; 0.4 m s(-1) and fluctuates around 10(-3) m when u(*) &gt; 0.4 m s(-1); thermal roughness length (z(0t)) is linearly related to the temperature gradient between air and sea-ice surface (&amp; UDelta;T) with a relation of lg(z(0t)) = -0.29 &amp; UDelta;T-3.86; and the mean water vapor roughness length (z(0q)) in the specific humidity gradient (&amp; UDelta;q) range of &amp; UDelta;q &amp; LE; -0.6 g kg(-1) is 10(-6) m, 3.5 times smaller than that in the range of &amp; UDelta;q &gt; -0.6 g kg(-1).</t>
  </si>
  <si>
    <t>[Cheng, Fangyuan; Yang, Qinghua; Liu, Changwei; Han, Bo; Peng, Shijie] Sun Yat sen Univ, Sch Atmospher Sci, Zhuhai 519080, Peoples R China; [Cheng, Fangyuan; Yang, Qinghua; Liu, Changwei; Han, Bo; Peng, Shijie] Southern Marine Sci &amp; Engn Guangdong Lab Zhuhai, Zhuhai 519080, Peoples R China; [Hao, Guanghua] Natl Marine Environm Forecasting Ctr, Beijing 100081, Peoples R China</t>
  </si>
  <si>
    <t>Sun Yat Sen University; Southern Marine Science &amp; Engineering Guangdong Laboratory; Southern Marine Science &amp; Engineering Guangdong Laboratory (Zhuhai); National Marine Environmental Forecasting Center</t>
  </si>
  <si>
    <t>Liu, CW (corresponding author), Sun Yat sen Univ, Sch Atmospher Sci, Zhuhai 519080, Peoples R China.;Liu, CW (corresponding author), Southern Marine Sci &amp; Engn Guangdong Lab Zhuhai, Zhuhai 519080, Peoples R China.</t>
  </si>
  <si>
    <t>liuchw8@mail.sysu.edu.cn</t>
  </si>
  <si>
    <t>shi, chen/KEH-8339-2024; Hao, Guanghua/AAC-3979-2019; LIU, ZIQIANG/KFQ-5060-2024; YANG, DAN/KCL-5217-2024; peng, jin/JRW-4493-2023; Han, Bo/KBC-0855-2024; lei, lei/JSL-3106-2023; Liu, Yiwei/JUF-2477-2023; LEI, LEI/JTS-4675-2023; Wang, Xingyu/JNE-0602-2023; Wang, Zhuo/JVO-1874-2024; Yao, Chen/JVD-6226-2023; Wang, Zhen/KCL-5193-2024</t>
  </si>
  <si>
    <t>Han, Bo/0000-0002-6137-7907;</t>
  </si>
  <si>
    <t>National Key Research and Development Program of China [2022YFE0106300]; National Natural Science Foundation of China [42105072, 41941009, 41922044]; Guangdong Basic and Applied Basic Research Foundation [2021A1515 012209, 2020B1515020025]; China Postdoctoral Science Foundation [2021M693585]; Norges Forskningsrad [328886]</t>
  </si>
  <si>
    <t>National Key Research and Development Program of China; National Natural Science Foundation of China(National Natural Science Foundation of China (NSFC)); Guangdong Basic and Applied Basic Research Foundation; China Postdoctoral Science Foundation(China Postdoctoral Science Foundation); Norges Forskningsrad(Research Council of Norway)</t>
  </si>
  <si>
    <t>We thank the Chinese Arctic and Antarctic Administration and Polar Research Institute of China for logistic support. This study is supported by the National Key Research and Development Program of China (Grant No. 2022YFE0106300), the National Natural Science Foundation of China (Grant Nos. 42105072, 41941009, 41922044), the Guangdong Basic and Applied Basic Research Foundation (Grant Nos. 2021A1515 012209, 2020B1515020025), the China Postdoctoral Science Foundation (Grant Nos. 2021M693585), and the Norges Forskningsrad (Grant No. 328886).</t>
  </si>
  <si>
    <t>0256-1530</t>
  </si>
  <si>
    <t>1861-9533</t>
  </si>
  <si>
    <t>ADV ATMOS SCI</t>
  </si>
  <si>
    <t>Adv. Atmos. Sci.</t>
  </si>
  <si>
    <t>10.1007/s00376-023-2299-z</t>
  </si>
  <si>
    <t>R7ZB0</t>
  </si>
  <si>
    <t>WOS:001023990000002</t>
  </si>
  <si>
    <t>Piro, A; Hospitaleche, CA</t>
  </si>
  <si>
    <t>Piro, Alejandra; Hospitaleche, Carolina Acosta</t>
  </si>
  <si>
    <t>The rhamphotheca of the Eocene pseudo-toothed birds from Antarctica</t>
  </si>
  <si>
    <t>HISTORICAL BIOLOGY</t>
  </si>
  <si>
    <t>Pelagornithidae; James Ross Basin; beak morphology; Paleogene; Antarctic Peninsula</t>
  </si>
  <si>
    <t>PELAGORNITHIDAE; MIOCENE; AVES</t>
  </si>
  <si>
    <t>The Pelagornithidae are an extinct group of soaring birds that lived all over the world between the early Palaeocene and the Pliocene-Pleistocene and are characterised by the presence of hollow denticles along the tomial edges formed by the expansion of the premaxillary, maxillary, and dentary bones. The presence of distinctive sulci in the upper and lower jaws together with the absence of wearing signs on the denticles, attributable to the handling of the prey, indicates the development of a resistant and compound rhamphotheca. To reconstruct it, we turned to the evidence provided by extant representatives with similar configurations and the osteological correlates of the beak. As a result, we propose a model for the middle-latest Eocene Antarctic Pelagornithidae, in which the rhamphotheca would have been formed by thick horny plates. The culminicorn was separated from the laternicorn by an extense sulcus nasi that continuous caudally to the apertura nasi ossea, a sturdy and hooked unguis maxillaris covering the rostrum, with small nares opening at the cranial end of the apertura nasi ossea, dorsal and ventral ramicorns, and a thick unguis mandibularis with a pseudomental fold and a sulcus on the mandible.</t>
  </si>
  <si>
    <t>[Piro, Alejandra; Hospitaleche, Carolina Acosta] Univ Nacl La Plata, Fac Ciencias Nat &amp; Museo, Div Paleontol Vertebrados, Museo La Plata, Buenos Aires, Argentina; [Piro, Alejandra; Hospitaleche, Carolina Acosta] Consejo Nacl Invest Cient &amp; Tecn, La Plata, Buenos Aires, Argentina; [Piro, Alejandra] Univ Nacl La Plata, Fac Ciencias Nat &amp; Museo, Div Paleontol Vertebrados, Museo La Plata, Paseo Bosque S-N, La Plata, Buenos Aires, Argentina</t>
  </si>
  <si>
    <t>National University of La Plata; Consejo Nacional de Investigaciones Cientificas y Tecnicas (CONICET); National University of La Plata; Museo La Plata</t>
  </si>
  <si>
    <t>Piro, A (corresponding author), Univ Nacl La Plata, Fac Ciencias Nat &amp; Museo, Div Paleontol Vertebrados, Museo La Plata, Paseo Bosque S-N, La Plata, Buenos Aires, Argentina.</t>
  </si>
  <si>
    <t>apiro@fcnym.unlp.edu.ar</t>
  </si>
  <si>
    <t>Piro, Alejandra/0000-0002-0144-6499; Acosta Hospitaleche, Carolina/0000-0002-2614-1448</t>
  </si>
  <si>
    <t>Consejo Nacional de Investigaciones Cientificas y Tecnologicas [PIP 0096]; Universidad Nacional de La Plata [PID N955]; Agencia Nacional de Promocion Cientifica y Tecnologica [PICT 2017 0607]</t>
  </si>
  <si>
    <t>Consejo Nacional de Investigaciones Cientificas y Tecnologicas; Universidad Nacional de La Plata(National University of La Plata); Agencia Nacional de Promocion Cientifica y Tecnologica(ANPCyTSpanish Government)</t>
  </si>
  <si>
    <t>This work was partially supported by the Consejo Nacional de Investigaciones Cientificas y Tecnologicas PIP 0096; Universidad Nacional de La Plata PID N955, and Agencia Nacional de Promocion Cientifica y Tecnologica PICT 2017 0607.</t>
  </si>
  <si>
    <t>0891-2963</t>
  </si>
  <si>
    <t>1029-2381</t>
  </si>
  <si>
    <t>HIST BIOL</t>
  </si>
  <si>
    <t>Hist. Biol.</t>
  </si>
  <si>
    <t>2023 JUL 7</t>
  </si>
  <si>
    <t>10.1080/08912963.2023.2230584</t>
  </si>
  <si>
    <t>Biology; Paleontology</t>
  </si>
  <si>
    <t>Life Sciences &amp; Biomedicine - Other Topics; Paleontology</t>
  </si>
  <si>
    <t>L5YN6</t>
  </si>
  <si>
    <t>WOS:001024020700001</t>
  </si>
  <si>
    <t>Good, SD; Gummery, M; McLennan, S; Dewar, K; Votier, SC; Phillips, RA</t>
  </si>
  <si>
    <t>Good, S. D.; Gummery, M.; McLennan, S.; Dewar, K.; Votier, S. C.; Phillips, R. A.</t>
  </si>
  <si>
    <t>Evaluating the appropriateness of risk-based approaches to assess the sustainability of fishery impacts on seabirds</t>
  </si>
  <si>
    <t>ENDANGERED SPECIES RESEARCH</t>
  </si>
  <si>
    <t>Bycatch; Seabirds; Risk assessment; Fisheries impacts; Productivity susceptibility analysis</t>
  </si>
  <si>
    <t>PELAGIC LONGLINE FISHERY; POPULATION VIABILITY; CONSERVATION; BYCATCH; ALBATROSSES; MANAGEMENT; CETACEANS; BIRDS; IMPLEMENTATION; VULNERABILITY</t>
  </si>
  <si>
    <t>Many seabird populations are declining, with fisheries bycatch as one of the greatest threats. Explicit risk criteria should be used to identify whether bycatch is a problem for particular species and fisheries, but these are often poorly defined. A variety of methods are used to determine the risk that a specific fishery is having an unsustainable impact on a seabird population. Up until October 2022, the Marine Stewardship Council (MSC) applied a general semi-quantitative productivity susceptibility analysis (PSA), a tool that has also been used widely by other management agencies for diverse taxa. Given the need to ensure fisheries risk assessments are robust and consistent, we examined how general PSAs perform when applied in 2 situations with good information on both the seabird population and fisheries bycatch rates and compare the outputs with those from 2 accessible and more quantitative tools: potential biological removal and population viability analysis. We found that risk scoring using the previous MSC version of the PSA was less robust and precautionary than using other approaches, given the steep declines observed in some seabird breeding populations. We make recommendations on how to select attributes for species-specific PSAs and, depending on the data available, identify the most appropriate risk assessment method to achieve a given objective. These should help ensure more consistent assessment and prioritisation of seabird bycatch issues, and improved ecosystem-based management of fisheries.</t>
  </si>
  <si>
    <t>[Good, S. D.] Univ Exeter, Ctr Ecol &amp; Conservat, Penryn Campus, Cornwall TR10 9FE, England; [Gummery, M.] Global Fishing Watch, Washington, DC 20036 USA; [McLennan, S.; Dewar, K.] Marine Stewardship Council, 1 Snow Hill, London EC1A 2DH, England; [Votier, S. C.] Heriot Watt Univ, Lyell Ctr, Edinburgh EH14 4AS, Midlothian, Scotland; [Phillips, R. A.] NERC, British Antarctic Survey, Cambridge CB3 0ET, England</t>
  </si>
  <si>
    <t>University of Exeter; Heriot Watt University; UK Research &amp; Innovation (UKRI); Natural Environment Research Council (NERC); NERC British Antarctic Survey</t>
  </si>
  <si>
    <t>Good, SD (corresponding author), Univ Exeter, Ctr Ecol &amp; Conservat, Penryn Campus, Cornwall TR10 9FE, England.</t>
  </si>
  <si>
    <t>sg606@exeter.ac.uk</t>
  </si>
  <si>
    <t>Votier, Stephen/G-2348-2014</t>
  </si>
  <si>
    <t>Votier, Stephen/0000-0002-0976-0167</t>
  </si>
  <si>
    <t>Marine Stewardship Council (MSC); Natural Environment Research Council</t>
  </si>
  <si>
    <t>Marine Stewardship Council (MSC); Natural Environment Research Council(UK Research &amp; Innovation (UKRI)Natural Environment Research Council (NERC))</t>
  </si>
  <si>
    <t>This work was supported in part by the Marine Stewardship Council (MSC) as part of their Fisheries Standard Review. The MSC, through co-authors, were involved in the design of the study and the drafting of the manuscript. This work represents a contribution to the Ecosystems component of the British Antarctic Survey Polar Science for Planet Earth Programme, funded by the Natural Environment Research Council.</t>
  </si>
  <si>
    <t>1863-5407</t>
  </si>
  <si>
    <t>1613-4796</t>
  </si>
  <si>
    <t>ENDANGER SPECIES RES</t>
  </si>
  <si>
    <t>Endanger. Species Res.</t>
  </si>
  <si>
    <t>JUL 6</t>
  </si>
  <si>
    <t>10.3354/esr01251</t>
  </si>
  <si>
    <t>Q5GV6</t>
  </si>
  <si>
    <t>WOS:001057812800001</t>
  </si>
  <si>
    <t>Herbert, LC; Lepp, AP; Garcia, SM; Browning, A; Miller, LE; Wellner, J; Severmann, S; Hillenbrand, CD; Johnson, JS; Sherrell, RM</t>
  </si>
  <si>
    <t>Herbert, Lisa C.; Lepp, Allison P.; Garcia, Santiago Munevar; Browning, Arianne; Miller, Lauren E.; Wellner, Julia; Severmann, Silke; Hillenbrand, Claus -Dieter; Johnson, Joanne S.; Sherrell, Robert M.</t>
  </si>
  <si>
    <t>Volcanogenic fluxes of iron from the seafloor in the Amundsen Sea, West Antarctica</t>
  </si>
  <si>
    <t>MARINE CHEMISTRY</t>
  </si>
  <si>
    <t>Thwaites Glacier; Marine sediment; Biogeochemistry; Antarctica; Iron flux; Trace metals; Volcanic glass; Polynya</t>
  </si>
  <si>
    <t>DISSOLVED IRON; EXTRACTION PROCEDURE; BENTHIC FLUX; PORE WATERS; ROSS SEA; MANGANESE; SEDIMENTS; ICE; PHYTOPLANKTON; DISSOLUTION</t>
  </si>
  <si>
    <t>The Amundsen Sea in the Pacific sector of West Antarctica receives meltwater from the fastest retreating Antarctic glaciers, and its coastal polynyas host the highest primary productivity per unit area observed on the Antarctic continental shelf. Polynya productivity provides the base for a robust, diverse ecosystem and is controlled primarily by light and the availability of the micronutrient iron (Fe). While the sources of Fe in the region are not yet certain, Fe could be transported within modified Circumpolar Deep Water (mCDW) that intrudes onto the retrograde shelf and into ice shelf cavities, where it gains buoyancy through the addition of glacial meltwater and is injected into the upper water column when it exits the cavity. Thus, fluxes of dissolved Fe from the seafloor into in-flowing mCDW may ultimately be a source of Fe to the euphotic zone in the Amundsen Sea. To investigate the surface sediment biogeochemistry and the potential for a significant benthic flux of Fe to the waters on the Amundsen Sea shelf, sediment cores were collected at two sites close to the calving fronts of the Pine Island and Thwaites Glacier ice shelves. Pore water was analyzed for trace element content, and sediment was analyzed for physical and chemical properties including organic carbon and trace elements. Using a novel approach based on hypothesized Fe speciation and colloidal particle radius, theoretical Fe fluxes were calculated from pore water gradients and porosity. The fluxes reveal a spatially variable Fe input to the lower water column that could ultimately fertilize primary productivity. Supported by geochemical and physical evidence, we conclude that submarine weathering of volcanic glass grains observed and quantified in seabed sediments at the Pine Island site drives nonreductive Fe fluxes that are 100-fold higher than at the Thwaites site. This study highlights the need for further investigations of benthic-pelagic coupling in the Amundsen Sea region, which will likely be impacted in coming decades by accelerating glacial melting.</t>
  </si>
  <si>
    <t>[Herbert, Lisa C.; Sherrell, Robert M.] Rutgers State Univ, Dept Marine &amp; Coastal Sci, 71 Dudley Rd, New Brunswick, NJ 08901 USA; [Lepp, Allison P.; Garcia, Santiago Munevar; Miller, Lauren E.] Univ Virginia, Dept Environm Sci, 291 McCormick Rd, Charlottesville, VA 22903 USA; [Browning, Arianne] Washington Coll, 300 Washington Ave, Chestertown, MD 21620 USA; [Wellner, Julia] Univ Houston, Dept Earth &amp; Atmospher Sci, Sci &amp; Res Bldg 1, 3507 Cullen Blvd 312, Houston, TX 77004 USA; [Hillenbrand, Claus -Dieter; Johnson, Joanne S.] British Antarctic Survey, High Cross Madingley Rd, Cambridge CB3 0ET, England; [Sherrell, Robert M.] Rutgers State Univ, Dept Earth &amp; Planetary Sci, 610 Taylor Rd, Piscataway, NJ 08854 USA</t>
  </si>
  <si>
    <t>Rutgers University System; Rutgers University New Brunswick; University of Virginia; Washington College; University of Houston System; University of Houston; UK Research &amp; Innovation (UKRI); Natural Environment Research Council (NERC); NERC British Antarctic Survey; Rutgers University System; Rutgers University New Brunswick</t>
  </si>
  <si>
    <t>Herbert, LC (corresponding author), Rutgers State Univ, Dept Marine &amp; Coastal Sci, 71 Dudley Rd, New Brunswick, NJ 08901 USA.</t>
  </si>
  <si>
    <t>lherbert@marine.rutgers.edu</t>
  </si>
  <si>
    <t>Severmann, Silke/0000-0002-6578-2993; Herbert, Lisa/0000-0003-3461-1099</t>
  </si>
  <si>
    <t>National Science Foundation Office of Polar Programs [1941304]; National Science Foundation [1738942]; Natural Environment Research Council [NE/S006664/1]; National Science Foundation Division of Ocean Sciences [2124172]; Earth, Ocean, and Atmospheric Sciences (EOAS) Postdoctoral Fellowship at Rutgers University; National Science Foundation Office of Polar Programs Postdoctoral Research Fellowship [2212904]; Research Internships for Ocean Sciences (RIOS) NSF REU program at Rutgers University</t>
  </si>
  <si>
    <t>National Science Foundation Office of Polar Programs(National Science Foundation (NSF)NSF - Directorate for Geosciences (GEO)); National Science Foundation(National Science Foundation (NSF)); Natural Environment Research Council(UK Research &amp; Innovation (UKRI)Natural Environment Research Council (NERC)); National Science Foundation Division of Ocean Sciences(National Science Foundation (NSF)); Earth, Ocean, and Atmospheric Sciences (EOAS) Postdoctoral Fellowship at Rutgers University; National Science Foundation Office of Polar Programs Postdoctoral Research Fellowship; Research Internships for Ocean Sciences (RIOS) NSF REU program at Rutgers University</t>
  </si>
  <si>
    <t>This work is part of the ARTEMIS project, supported by the National Science Foundation Office of Polar Programs under award number 1941304 for R.M.S. It is based on collaborations and relies on samples from the Thwaites Offshore Research (THOR) project and the Geological History Constraints on the Magnitude of Grounding-Line Retreat in the Thwaites Glacier System project (GHC) , which are both components of the International Thwaites Glacier Collaboration (ITGC; contribution number ITGC:095) , with support from National Science Foundation (NSF; Grant No. 1738942 for J.S.W, subcontracted to L.M.S.) and Natural Environment Research Council (NERC; Grant No. NE/S006664/1). Additional funding for S.S. was provided by the National Science Foundation Division of Ocean Sciences (NSF; Grant No. 2124172). Salary and research support for L.C.H. was provided by the Earth, Ocean, and Atmospheric Sciences (EOAS) Postdoctoral Fellowship at Rutgers University and the National Science Foundation Office of Polar Programs Postdoctoral Research Fellowship (NSF; Grant No. 2212904) . Stipend and research support for A.B. was provided by the Research Internships for Ocean Sciences (RIOS) NSF REU program at Rutgers University during the summer of 2022. We thank Dr. Kaixuan Bu for analyses performed in the Rutgers Inorganic Analytical Laboratory (RIAL) as well as all officers, crew, support staff and scientific personnel participating in the cruise NBP2002. Logistics were provided by the NSF- U.S. Antarctic Program and the NERC-British Antarctic Survey. All data presented in this paper are provided in the supplemental information.</t>
  </si>
  <si>
    <t>0304-4203</t>
  </si>
  <si>
    <t>1872-7581</t>
  </si>
  <si>
    <t>MAR CHEM</t>
  </si>
  <si>
    <t>Mar. Chem.</t>
  </si>
  <si>
    <t>JUN 20</t>
  </si>
  <si>
    <t>10.1016/j.marchem.2023.104250</t>
  </si>
  <si>
    <t>Chemistry, Multidisciplinary; Oceanography</t>
  </si>
  <si>
    <t>Chemistry; Oceanography</t>
  </si>
  <si>
    <t>O1YY8</t>
  </si>
  <si>
    <t>WOS:001041857900001</t>
  </si>
  <si>
    <t>Jarzynowska, M; Saniewska, D; Fudala, K; Wilman, BL; Balazy, P; Plonska, P; Saniewski, M</t>
  </si>
  <si>
    <t>Jarzynowska, Malgorzata; Saniewska, Dominika; Fudala, Katarzyna; Wilman, Bart Lomiej; Balazy, Piotr; Plonska, Patrycja; Saniewski, Michal</t>
  </si>
  <si>
    <t>Mercury and methylmercury in birds and marine mammals inhabiting the coastal zone of the two King George Island's bays: Admiralty and King George Bay (maritime Antarctic)</t>
  </si>
  <si>
    <t>Polar area; fur; Feather; Excrements; Trophic chain; Biomagnification</t>
  </si>
  <si>
    <t>SOUTH SHETLAND ISLANDS; CHINSTRAP PENGUINS; ATMOSPHERIC MERCURY; FORAGING STRATEGIES; RINGED SEALS; EXPOSURE; HAIR; BIOMAGNIFICATION; ACCUMULATION; GENTOO</t>
  </si>
  <si>
    <t>The Antarctic is particularly sensitive to mercury (Hg) pollution and even low levels of Hg may cause significant damage in this fragile environment. The aim of this study was to investigate routes of mercury and methyl-mercury (MeHg) elimination by animals inhabiting the maritime Antarctic. The results showed that organisms at the highest trophic level (elephant seal) have the highest concentrations of THg and MeHg in both excrement and fur samples. Interspecies differences in mercury levels were observed in materials sourced from penguins of the genus Pysgocelis. 13C and 15N values confirmed differences in the diets and foraging areas, which may affect Hg concentration in the tissues we analyzed. Time variations in THg and MeHg concentrations were observed in the excrement of the penguin species, which may be due to periods of fasting and intense feeding closely related to egg laying and moulting stages.</t>
  </si>
  <si>
    <t>[Jarzynowska, Malgorzata; Saniewska, Dominika; Plonska, Patrycja] Univ Gdansk, Fac Oceanog &amp; Geog, Al Pilsudskiego 46, PL-81378 Gdynia, Poland; [Fudala, Katarzyna] Polish Acad Sci, Inst Biochem &amp; Biophys, Pawinskiego 5a, Warsaw, Poland; [Wilman, Bart Lomiej; Saniewski, Michal] Inst Meteorol &amp; Water Management, Natl Res Inst, Waszyngtona 42, PL-81342 Gdynia, Poland; [Balazy, Piotr] Polish Acad Sci, Inst Oceanol, Powstancow Warszawy 55, PL-81712 Sopot, Poland</t>
  </si>
  <si>
    <t>Fahrenheit Universities; University of Gdansk; Polish Academy of Sciences; Institute of Biochemistry &amp; Biophysics - Polish Academy of Sciences; Institute of Meteorology &amp; Water Management; Polish Academy of Sciences; Institute of Oceanology of the Polish Academy of Sciences</t>
  </si>
  <si>
    <t>Saniewska, D (corresponding author), Univ Gdansk, Fac Oceanog &amp; Geog, Al Pilsudskiego 46, PL-81378 Gdynia, Poland.</t>
  </si>
  <si>
    <t>dominika.saniewska@ug.edu.pl</t>
  </si>
  <si>
    <t>Saniewska, Dominika/G-1472-2015</t>
  </si>
  <si>
    <t>Saniewska, Dominika/0000-0002-0630-9602</t>
  </si>
  <si>
    <t>National Science Center projects [2019/33/B/ST10/00290, 2017/27/N/ST10/02230]</t>
  </si>
  <si>
    <t>National Science Center projects</t>
  </si>
  <si>
    <t>This study has been performed within the framework of a National Science Center projects No. 2019/33/B/ST10/00290 and No. 2017/27/N/ST10/02230.</t>
  </si>
  <si>
    <t>10.1016/j.marpolbul.2023.115237</t>
  </si>
  <si>
    <t>O2FM1</t>
  </si>
  <si>
    <t>WOS:001042028300001</t>
  </si>
  <si>
    <t>Rüfenacht, M; Morino, P; Lai, YJ; Fehr, MA; Haba, MK; Schönbächler, M</t>
  </si>
  <si>
    <t>Ruefenacht, Miriam; Morino, Precillia; Lai, Yi-Jen; Fehr, Manuela A.; Haba, Makiko K.; Schonbachler, Maria</t>
  </si>
  <si>
    <t>Genetic relationships of solar system bodies based on their nucleosynthetic Ti isotope compositions and sub-structures of the solar protoplanetary disk</t>
  </si>
  <si>
    <t>Protoplanetary disk; Dust; Size-sorting; Ti nucleosynthetic variations; Isotope heterogeneity; Dichotomy; Disk structures; Genetic relationships</t>
  </si>
  <si>
    <t>CARBONACEOUS CHONDRITE ISHEYEVO; ASTEROID 4 VESTA; OXYGEN-ISOTOPE; BUILDING-BLOCKS; REFRACTORY INCLUSIONS; PARENT BODIES; TITANIUM ISOTOPES; IRON-METEORITES; TRACE-ELEMENTS; ORIGIN</t>
  </si>
  <si>
    <t>Nucleosynthetic isotope variations are powerful tools to investigate genetic relationships between meteorite groups and planets. They are instrumental to assess the early evolution of the solar system, including mixing and reservoir formation in the protoplanetary disk, as well as planet formation. To address these questions, we report high-precision nucleosynthetic Ti isotope compositions of a wide range of bulk meteorites, partially complemented with new Cr isotope data. New Ti isotope data confirm the first order dichotomy observed between carbonaceous chondrites (CC), representing outer solar system compositions, and non-carbonaceous (NC) meteorites from the inner solar system. The data in combination with nucleosynthetic isotope data of other elements (e.g., Cr, Ca) indicate that isotopically heterogeneous reservoirs were also present as sub-reservoirs in the inner disk (NC reservoir), generating two or more clusters i.e., (i) the Vesta-like howardites-eucrites-diogenites (HEDs), mesosiderites, angrites, acapulcoites, lodranites, and brachinites and (ii) the Earth-Mars-like ordinary chondrites (OC), aubrites, enstatite chondrites (EC), winonaites, IAB silicates, rumuruti chondrites (R), Martian and terrestrial samples. These reservoirs likely represent disk substructures such as secondary gaps and ringstructures, created by spiral arms, which were emitted from the growing Jupiter and/or Saturn. The distinct isotopic compositions of these reservoirs may reflect thermal processing of material within the disk in combination with temporal isotopic variations either due to isotopically variable infalling material from a heterogeneous molecular cloud and/or thermal processing during the infall that induced such heterogeneities. Such effects were likely reinforced by thermal processing of the material within the disk itself and by physical size- and density sorting of dust caused by the giant planets, creating gaps and pressure bumps in the disk.Genetic relationships of meteorite groups and their implications on parent body formation are evaluated. New high precision Ti isotope data are consistent with that (i) CH and CB meteorites derive from a common parent body, which most likely accreted material from the same isotopic reservoir as the parent body of CR chondrites, (ii) silicates of IAB irons and winonaites originate from the same parent body, and (iii) mesosiderites and HED meteorites have a common origin on Vesta. The indistinguishable Ti and Cr isotope compositions of HEDs/ mesosiderites to acapulcoites are not attributed to a common parent body, because of petrologic and chemical differences in addition to their distinct O isotope compositions. Their parent bodies likely accreted in the same disk region, which showed a higher level of O isotope heterogeneity compared to that of Ti, Cr and other refractory nucleosynthetic tracers. The similarity in Ti isotope compositions of Martian meteorites and OCs indicates that OC-like material belongs to the main building blocks of Mars.</t>
  </si>
  <si>
    <t>[Ruefenacht, Miriam; Morino, Precillia; Lai, Yi-Jen; Fehr, Manuela A.; Haba, Makiko K.; Schonbachler, Maria] Swiss Fed Inst Technol, Inst Geochem &amp; Petrol, Clausiusstr 25, CH-8092 Zurich, Switzerland; [Lai, Yi-Jen] Macquarie Univ, Fac Sci &amp; Engn, Macquarie GeoAnalyt, Sydney, NSW 2109, Australia; [Haba, Makiko K.] Tokyo Inst Technol, Dept Earth &amp; Planetary Sci, Ishikawadai Bldg 2-105, 2-12-1 Ookayama,Meguro Ku, Tokyo 1528551, Japan</t>
  </si>
  <si>
    <t>Swiss Federal Institutes of Technology Domain; ETH Zurich; Macquarie University; Tokyo Institute of Technology</t>
  </si>
  <si>
    <t>Schönbächler, M (corresponding author), Swiss Fed Inst Technol, Inst Geochem &amp; Petrol, Clausiusstr 25, CH-8092 Zurich, Switzerland.</t>
  </si>
  <si>
    <t>Haba, Makiko/0000-0003-2554-7849; Schonbachler, Maria/0000-0003-4304-214X</t>
  </si>
  <si>
    <t>NSF; NASA; Swiss National Science Foundation [51NF40_182901, 51NF40_205606]; SNSF; ETH Zurich</t>
  </si>
  <si>
    <t>NSF(National Science Foundation (NSF)); NASA(National Aeronautics &amp; Space Administration (NASA)); Swiss National Science Foundation(Swiss National Science Foundation (SNSF)); SNSF(Swiss National Science Foundation (SNSF)); ETH Zurich(ETH Zurich)</t>
  </si>
  <si>
    <t>We would like to thank Dr. Christian Liebske from ETH for offering the modelling of Mars building blocks for our isotopic data and the valuable discussions about the model output and interpretation. We would also like to thank Dr. Mattias Ek for the template of the Excel workbook used for the compilation of the isotope data. Further, we would like to thank the Museo di Scienze Planetaire (Comune di Prato) for providing the Acfer 366 sample, the Natural History Museum in Paris for providing Chassigny and the Antarctic Meteorite Research Center in Tokyo and the Smithsonian Institution in Washington DC for providing Martian and mesosiderite samples. Furthermore, we thank Beda Hofmann from the Meteorite collection of the University of Berne for providing the Shisr 033 sample and Rainer Bartoschewitz for providing Sayh al Uhaymir (SAU) 290. The US Antarctic meteorite samples are recovered by the Antarctic Search for Meteorites (ANSMET) program, which has been funded by NSF and NASA, and characterised and curated by the Department of Mineral Sciences of the Smithsonian Institution and Astromaterials Curation Office at NASA Johnson Space Center. We are grateful to Yves Marrocchi for the editorial handling and Jan Render and two anonymous reviewers for constructive comments that helped to improve the manuscript. This work has been carried out within the framework of the NCCR PlanetS supported by the Swiss National Science Foundation under grants 51NF40_182901 and 51NF40_205606. The authors acknowledge the financial support of the SNSF and ETH Zurich.</t>
  </si>
  <si>
    <t>10.1016/j.gca.2023.06.005</t>
  </si>
  <si>
    <t>O0NZ9</t>
  </si>
  <si>
    <t>WOS:001040888300001</t>
  </si>
  <si>
    <t>Joly, N; Chiaradia, A; Georges, JY; Saraux, C</t>
  </si>
  <si>
    <t>Joly, Nicolas; Chiaradia, Andre; Georges, Jean-Yves; Saraux, Claire</t>
  </si>
  <si>
    <t>Unpacking the lifelong secrets of little penguins: individual quality, energy allocation, and stochasticity in defining fitness</t>
  </si>
  <si>
    <t>EVOLUTION</t>
  </si>
  <si>
    <t>fitness; individual heterogeneity; foraging; phenology; breeding ecology</t>
  </si>
  <si>
    <t>LONG-LIVED SEABIRD; REPRODUCTIVE SUCCESS; EUDYPTULA-MINOR; HISTORY TRAITS; CHICK SURVIVAL; EGG SIZE; CLIMATE; AGE; HETEROGENEITY; CONSEQUENCES</t>
  </si>
  <si>
    <t>While the heterogeneity among individuals of a population is more and more documented, questions on the paths through which it arises, particularly whether it is linked to fixed heterogeneity or chance alone, are still widely debated. Here, we tested how individual quality, energy allocation trade-offs, and environmental stochasticity define individual fitness. To do so, we simultaneously investigated the contribution of 18 life-history traits to the fitness of breeding little penguins (Eudyptula minor), using a structural equation model. Fitness was highly variable amongst the 162 birds monitored over their entire lifespan. It increased with the individual penguin's ability to increase (a) the number of breeding events (i.e., living longer, breeding younger, breeding more often, and producing more second clutches) and (b) the breeding success per event through increased foraging performances (i.e., mass gained at sea). While all three processes (stochasticity, individual quality, and allocation trade-offs) affected fitness, interindividual variability in fitness was mainly driven by individual quality, birds consistently breeding earlier in the season and displaying higher foraging efficiency exhibiting higher fitness. Why some birds consistently can perform better at sea and breed earlier remains a question to investigate to understand how selection applies to these traits.</t>
  </si>
  <si>
    <t>[Joly, Nicolas; Georges, Jean-Yves; Saraux, Claire] Univ Strasbourg, Inst Pluridisciplinaire Hubert Curien IPHC, CNRS, UMR 7178, 23 Rue Becquerel, F-67000 Strasbourg, France; [Chiaradia, Andre] Phillip Isl Nat Pk, Conservat Dept, Cowes, Vic, Australia</t>
  </si>
  <si>
    <t>Centre National de la Recherche Scientifique (CNRS); CNRS - National Institute of Nuclear and Particle Physics (IN2P3); Universites de Strasbourg Etablissements Associes; Universite de Strasbourg</t>
  </si>
  <si>
    <t>Joly, N (corresponding author), Univ Strasbourg, Inst Pluridisciplinaire Hubert Curien IPHC, CNRS, UMR 7178, 23 Rue Becquerel, F-67000 Strasbourg, France.</t>
  </si>
  <si>
    <t>nicolas.joly@iphc.cnrs.fr</t>
  </si>
  <si>
    <t>Joly, Nicolas/IQW-1001-2023; saraux, claire/AAX-8709-2020</t>
  </si>
  <si>
    <t>saraux, claire/0000-0001-5061-4009</t>
  </si>
  <si>
    <t>Agence National de la Recherche APEX project [ANR-21-CE02-0007]; Agence Nationale de la Recherche (ANR) [ANR-21-CE02-0007] Funding Source: Agence Nationale de la Recherche (ANR)</t>
  </si>
  <si>
    <t>Agence National de la Recherche APEX project(Agence Nationale de la Recherche (ANR)); Agence Nationale de la Recherche (ANR)(Agence Nationale de la Recherche (ANR))</t>
  </si>
  <si>
    <t>&amp; nbsp;We thank Phillip Island Nature Parks for their continued support and commitment to penguin research. The long-term dataset received several funding sources over the years: the Penguin Foundation, Australian Academy of Science, Australian Research Council, Australian Antarctic Division, Kean Electronics and ATT Kings. This research project was funded by the Agence National de la Recherche APEX project (ANR-21-CE02-0007). We also sincerely thank Paula Wasiak, Leanne Renwick, Marg Healy, Alona Charuvi, Marjolein van Polaten Petel, Ross Holmberg, and several past students and volunteers for their tireless support in collecting these data. Without them, this work would not be possible. The study was conducted with research permits issued by the Department of Environment, Land, Water and Planning, Victorian State Government, Australia, and ethics approvals from the Animal Ethics Committee of Phillip Island Nature Parks. We sincerely thank the anonymous reviewers for their helpful comments and suggestions.</t>
  </si>
  <si>
    <t>0014-3820</t>
  </si>
  <si>
    <t>1558-5646</t>
  </si>
  <si>
    <t>Evolution</t>
  </si>
  <si>
    <t>10.1093/evolut/qpad126</t>
  </si>
  <si>
    <t>Ecology; Evolutionary Biology; Genetics &amp; Heredity</t>
  </si>
  <si>
    <t>Environmental Sciences &amp; Ecology; Evolutionary Biology; Genetics &amp; Heredity</t>
  </si>
  <si>
    <t>R0YA7</t>
  </si>
  <si>
    <t>WOS:001032297500001</t>
  </si>
  <si>
    <t>Cainzos, V; Perez-Hernandez, MD; Santana-Toscano, D; Arumi-Planas, C; Hernandez-Guerra, A</t>
  </si>
  <si>
    <t>Cainzos, Veronica; Perez-Hernandez, M. Dolores; Santana-Toscano, Daniel; Arumi-Planas, Cristina; Hernandez-Guerra, Alonso</t>
  </si>
  <si>
    <t>Consistent picture of the horizontal circulation of the Atlantic Ocean over 3 decades</t>
  </si>
  <si>
    <t>OCEAN SCIENCE</t>
  </si>
  <si>
    <t>MERIDIONAL OVERTURNING CIRCULATION; WESTERN BOUNDARY CURRENT; FRESH-WATER TRANSPORT; LABRADOR SEA-WATER; NORTH-ATLANTIC; SOUTH-ATLANTIC; THERMOHALINE CIRCULATION; MEAN CIRCULATION; HEAT-TRANSPORT; BRAZIL CURRENT</t>
  </si>
  <si>
    <t>The circulation in the Atlantic Ocean is marked by the complex system of pathways of the Atlantic Meridional Overturning Circulation (AMOC). These currents change meridionally due to the interaction with nearby water masses. Hydrographic data provide the opportunity to characterize these currents for the whole water column with high-resolution data over the last 30 years. Moreover, inverse methods enable the quantification of absolute zonal transports across these sections, determining the strength of each current at a certain latitude in terms of mass, heat, and freshwater, as well as their transport-weighted temperature and salinity. Generally, no changes can be found among decades for each of the currents in terms of transport or their properties. In the South Atlantic, the circulation describes the subtropical gyre affected by several recirculations. There are nearly 61 Sv entering from the Southern and Indian oceans at 45 degrees S. The South Atlantic subtropical gyre exports 17.0 +/- 1.2 Sv and around 1PW northward via the North Brazil Current, as well as 55 Sv southward at 45 degrees S into the Antarctic Circumpolar Current. In the North Atlantic, most of the transport is advected northward via the western boundary currents, which reduce their strength as they take part in convection processes in the subpolar North Atlantic, also reflected in the northward progress of mass and heat transport. Deep layers carry waters southward along the western boundary, maintaining similar values of mass and heat transport until the separation into an eastern branch crossing the mid-Atlantic Ridge in the South Atlantic. Abyssal waters originating in the Southern Ocean are distributed along the South Atlantic mainly through its western subbasin, flowing northward up to 24.5 degrees N, subjected to an increasing trend in their temperature with time.</t>
  </si>
  <si>
    <t>[Cainzos, Veronica; Perez-Hernandez, M. Dolores; Santana-Toscano, Daniel; Arumi-Planas, Cristina; Hernandez-Guerra, Alonso] Univ Las Palmas Gran Canaria, Unidad Oceano &amp; Clima, Inst Oceanog &amp; Cambio, Unidad Asociada ULPGC,CSIC,IOCAG, Palmas De Gran Canaria, Canarias Island, Spain</t>
  </si>
  <si>
    <t>Consejo Superior de Investigaciones Cientificas (CSIC); Universidad de Las Palmas de Gran Canaria</t>
  </si>
  <si>
    <t>Cainzos, V (corresponding author), Univ Las Palmas Gran Canaria, Unidad Oceano &amp; Clima, Inst Oceanog &amp; Cambio, Unidad Asociada ULPGC,CSIC,IOCAG, Palmas De Gran Canaria, Canarias Island, Spain.</t>
  </si>
  <si>
    <t>veronica.cainzos@ulpgc.es</t>
  </si>
  <si>
    <t>Pérez-Hernández, Maria Dolores/J-5330-2014; Hernandez-Guerra, Alonso/A-4747-2008</t>
  </si>
  <si>
    <t>Pérez-Hernández, Maria Dolores/0000-0001-7293-9584; Hernandez-Guerra, Alonso/0000-0002-4883-8123; Cainzos, Veronica/0000-0003-2666-1862; Arumi-Planas, Cristina/0000-0001-5700-3550</t>
  </si>
  <si>
    <t>SAGA project - Ministerio de Ciencia, Innovacion y Universidades of the Spanish Government [RTI2018-100844-B-C31]; Agencia Canaria de Investigacion, Innovacion y Sociedad de la Informacion (ACIISI) [TESIS2019010015, TESIS2021010028]; Ministerio de Universidades [FPU20/02211]</t>
  </si>
  <si>
    <t>SAGA project - Ministerio de Ciencia, Innovacion y Universidades of the Spanish Government; Agencia Canaria de Investigacion, Innovacion y Sociedad de la Informacion (ACIISI); Ministerio de Universidades</t>
  </si>
  <si>
    <t>This study was supported by the SAGA project(RTI2018-100844-B-C31) funded by the Ministerio de Ciencia, Innovacion y Universidades of the Spanish Government. Veronica Cainzos and Cristina Arumi-Planas acknowledge the Agencia Canaria de Investigacion, Innovacion y Sociedad de la Informacion (ACIISI) grant programme Apoyo al personal investigador en for-macion under grants TESIS2019010015 and TESIS2021010028,respectively. Daniel Santana-Toscano acknowledges the Ministerio de Universidades grant programme Formacion de ProfesoradoUniversitario under grant FPU20/02211.</t>
  </si>
  <si>
    <t>1812-0784</t>
  </si>
  <si>
    <t>1812-0792</t>
  </si>
  <si>
    <t>OCEAN SCI</t>
  </si>
  <si>
    <t>Ocean Sci.</t>
  </si>
  <si>
    <t>10.5194/os-19-1009-2023</t>
  </si>
  <si>
    <t>L6DO2</t>
  </si>
  <si>
    <t>WOS:001024151600001</t>
  </si>
  <si>
    <t>Torres, JM; Torres, VD; Rodrigues, AS; Gianini, AS; Micheletti, AC; Honda, NK; Spielmann, AA; Lorenz, AP</t>
  </si>
  <si>
    <t>Torres, Jean Marc; Torres, Vanessa de Oliveira; Rodrigues, Andressa Silva; Gianini, Aline Siqueira; Micheletti, Ana Camila; Honda, Neli Kika; Spielmann, Adriano Afonso; Lorenz, Aline Pedroso</t>
  </si>
  <si>
    <t>Lineages of the lichen-forming fungus Stereocaulon alpinum and their photobionts in southern South America and maritime Antarctica</t>
  </si>
  <si>
    <t>Ascomycota; bipolar species; Lichen phylogeography; Stereocaulaceae; Taxonomy</t>
  </si>
  <si>
    <t>KING-GEORGE ISLAND; DIVERSITY; PATTERNS; IDENTIFICATION; BIOGEOGRAPHY; SPECIFICITY; SELECTIVITY; ASCOMYCOTA; SYMBIONTS; EXPANSION</t>
  </si>
  <si>
    <t>Stereocaulon alpinum is a lichenized fungus commonly found in the Antarctic, circumarctic, alpine, and in mountainous areas of temperate regions. It forms a tripartite lichen symbiosis together with trebouxioid green microalgae, as its primary photobiont, and cyanobacteria of the genus Nostoc inside delimited cephalodia. Previous DNA-based analyses revealed two lineages for this fungus. This research discusses the morphological and chemical circumscription of S. alpinum and its geographic distribution and, to this end, we included new DNA data from the mycobiont and its photosynthetic partners. Phylogenetic reconstructions rejected infraspecific categories and revealed that specimens from the southern hemisphere (maritime Antarctica and South America) formed a well-supported bipolar clade with specimens from Finland, Greenland, and Canada. In addition, S. alpinum also formed a northern clade with sequences from Europe and North Atlantic islands. In specimens from the southern hemisphere, the identified lineages of phyco- and cyanobionts were already known to be associated with other lichenized fungi. The phycobiont was identified as Asterochloris pseudoirregularis and the cyanobiont as a member of the genus Nostoc. The phenotypic differences among the southern hemisphere specimens examined in this study pointed towards a broad morphological circumscription of S. alpinum. Simultaneously, the available descriptions of S. alpinum collected in the northern hemisphere, including the type specimen, do not provide characters distinguishing them from the southern specimens. These two clades likely represent cryptic species, one new and potentially only recognized using genetic data. Additional integrative studies, including a comprehensive analysis of specimens from the northern hemisphere, are necessary to know the diversity contained in the lichens identified as Stereocaulon alpinum worldwide.</t>
  </si>
  <si>
    <t>[Torres, Jean Marc; Torres, Vanessa de Oliveira; Rodrigues, Andressa Silva; Lorenz, Aline Pedroso] Univ Fed Mato Grosso, Lab Ecol &amp; Biol Evolut, Inst Biociencias, Av Costa &amp; Silva S-N, BR-79070900 Campo Grande, MS, Brazil; [Gianini, Aline Siqueira; Micheletti, Ana Camila; Honda, Neli Kika] Univ Fed Mato Grosso, Lab Pesquisa 2 LP2, Inst Quim, Av Costa &amp; Silva S-N, BR-79070900 Campo Grande, MS, Brazil; [Spielmann, Adriano Afonso] Univ Fed Mato Grosso, Lab Bot Liquenol, Inst Biociencias, Av Costa &amp; Silva S-N, BR-79070900 Campo Grande, MS, Brazil</t>
  </si>
  <si>
    <t>Universidade Federal de Mato Grosso; Universidade Federal de Mato Grosso; Universidade Federal de Mato Grosso</t>
  </si>
  <si>
    <t>Torres, JM (corresponding author), Univ Fed Mato Grosso, Lab Ecol &amp; Biol Evolut, Inst Biociencias, Av Costa &amp; Silva S-N, BR-79070900 Campo Grande, MS, Brazil.</t>
  </si>
  <si>
    <t>jean.torresp89@gmail.com</t>
  </si>
  <si>
    <t>; Spielmann, Adriano Afonso/J-8176-2015</t>
  </si>
  <si>
    <t>Honda, Neli Kika/0000-0001-9417-4885; Silva Rodrigues, Andressa/0000-0001-5602-1474; Spielmann, Adriano Afonso/0000-0003-0137-0807; MICHELETTI, ANA CAMILA/0000-0002-0797-6669; Torres Pineda, Jean Marc Edson/0000-0002-6703-338X; Lorenz, Aline/0000-0002-2810-2282</t>
  </si>
  <si>
    <t>10.1007/s00300-023-03168-y</t>
  </si>
  <si>
    <t>WOS:001020204400001</t>
  </si>
  <si>
    <t>Aldea, C; Hernández, C; Novoa, L; Olivera, F; Haeger, C; Bello, N</t>
  </si>
  <si>
    <t>Aldea, Cristian; Hernandez, Cristina; Novoa, Leslie; Olivera, Francisco; Haeger, Christian; Bello, Nadja</t>
  </si>
  <si>
    <t>Biotopes of the intertidal zone in Clarence Island (south of the Strait of Magellan)</t>
  </si>
  <si>
    <t>barnacles; benthos; biodiversity; Darwin Core; Kawesqar National Park; mollusks; Tierra del Fuego Archipelago</t>
  </si>
  <si>
    <t>DIVERSITY; COASTAL</t>
  </si>
  <si>
    <t>Background The characteristics of the Strait of Magellan promote the formation of unique environments, with diverse habitats and marine organisms. This fragmentation of the landscape generates diverse little-explored ecological associations, especially in the zone of sub Antarctic islands of the Tierra del Fuego archipelago. One way to address this lack of knowledge is through the biotope characterization methodology, with ecological units composed of the habitat and the communities associated with these environments, obtaining data and information on the dominant and incidental taxonomic groups. This is a good research model to conduct baseline studies in coastal benthic marine environments. New information A data set in Darwin Core standard is presented of the species that make up the intertidal biotopes of Clarence Island (Tierra del Fuego Archipelago, south of the Strait of Magellan). This includes 50 identified species and the specific coordinates for each sampled location, with a total of 1400 georeferenced records. Mollusks were the most diverse taxon with 21 species, followed by algae (14 species). Sessile organisms such as the barnacles Elminius kingii and Austromegabalanus psittacus predominate in these ecosystems, followed by bivalve mollusks such as Choromytilus chorus and Mytilus chilensis, which together with Nacella magellanica and the alga Hildenbrandia sp. make up more than 50% of the total records. The inclusion of biotope patterns in this study complements the information on benthic marine flora and fauna in the intertidal zone, including new records for the coast in the Clarence Island area, which is within the boundary of the Kawesqar National Park.</t>
  </si>
  <si>
    <t>[Aldea, Cristian; Hernandez, Cristina; Novoa, Leslie] Univ Magallanes, Dept Ciencias &amp; Recursos Nat, Punta Arenas, Chile; [Aldea, Cristian] Univ Magallanes, Ctr Invest Gaia Antartica, Punta Arenas, Chile; [Olivera, Francisco; Haeger, Christian; Bello, Nadja] Empresa Base Cient Tecnol, GEOGAMA, Puerto Aysen, Chile</t>
  </si>
  <si>
    <t>Universidad de Magallanes; Universidad de Magallanes</t>
  </si>
  <si>
    <t>Aldea, C (corresponding author), Univ Magallanes, Dept Ciencias &amp; Recursos Nat, Punta Arenas, Chile.;Aldea, C (corresponding author), Univ Magallanes, Ctr Invest Gaia Antartica, Punta Arenas, Chile.</t>
  </si>
  <si>
    <t>cristian.aldea@umag.cl</t>
  </si>
  <si>
    <t>hernandez, cristina/KGL-9001-2024</t>
  </si>
  <si>
    <t>Aldea, Cristian/0000-0002-4473-6509</t>
  </si>
  <si>
    <t>GEOGAMA Research Project [PIG-2023-MAG01]; Universidad de Magallanes Ministry of Education of Chile [PFUE-RED21992]; Santander Scholarship-International Academic Mobility [1112/2022-VRAC]</t>
  </si>
  <si>
    <t>GEOGAMA Research Project; Universidad de Magallanes Ministry of Education of Chile; Santander Scholarship-International Academic Mobility</t>
  </si>
  <si>
    <t>The authors acknowledge the funding of the sampling for this study and the GEOGAMA Research Project (PIG-2023-MAG01) . The authors from the Universidad de Magallanes acknowledge the support of the project Articulated System of Research on Climate Change and Sustainability in Coastal Zones of Chile (PFUE-RED21992) of the Ministry of Education of Chile. Additionally, C.A. acknowledges the Santander Scholarship-International Academic Mobility (1112/2022-VRAC, UMAG) and Dr. Jesus S. Troncoso (UVIGO, Spain) for his scientific advisory. We especially thank Lafayette Eaton for English revision and editing and Dr. D.M. John for reviewing the manuscript.</t>
  </si>
  <si>
    <t>JUL 5</t>
  </si>
  <si>
    <t>e105726</t>
  </si>
  <si>
    <t>10.3897/BDJ.11.e105726</t>
  </si>
  <si>
    <t>N3IM1</t>
  </si>
  <si>
    <t>WOS:001035989900001</t>
  </si>
  <si>
    <t>Baumann, M; Paul, AJ; Taucher, J; Bach, LT; Goldenberg, S; Stange, P; Minutolo, F; Riebesell, U</t>
  </si>
  <si>
    <t>Baumann, Moritz; Paul, Allanah Joy; Taucher, Jan; Bach, Lennart Thomas; Goldenberg, Silvan; Stange, Paul; Minutolo, Fabrizio; Riebesell, Ulf</t>
  </si>
  <si>
    <t>Drivers of particle sinking velocities in the Peruvian upwelling system</t>
  </si>
  <si>
    <t>PLANKTON COMMUNITY STRUCTURE; ZOOPLANKTON FECAL PELLETS; ORGANIC-MATTER EXPORT; TECHNICAL NOTE; CARBON EXPORT; MARINE SNOW; PACIFIC; IRON; SEA; RESOLUTION</t>
  </si>
  <si>
    <t>As one of Earth's most productive marine ecosystems, the Peruvian upwelling system transports large amounts of biogenic matter from the surface to the deep ocean. Whilst particle sinking velocity is a key factor controlling the biological pump, thereby affecting carbon sequestration and O-2-depletion, it has not yet been measured in this system. During a 50 d mesocosm experiment in the surface waters off the coast of Peru, we assessed particle sinking velocities and their biogeochemical and physical drivers. We further characterized the general properties of exported particles under different phytoplankton communities and nutritional states. Average sinking velocities varied between size classes and ranged from 12.8 +/- 0.7 m d(-1) (particles 40-100 mu m) to 19.4 +/- 0.7 m d(-1) (particles 100-250 mu m) and 34.2 +/- 1.5 m d(-1) (particles 250-1000 mu m) (+/- 95% CI). Despite a distinct plankton succession from diatoms to dinoflagellates with concomitant 5-fold drop in opal ballasting, substantial changes in sinking velocity were not observed. This illustrates the complexity of counteracting factors driving the settling behaviour of marine particles. In contrast, we found higher sinking velocities with increasing particle size and roundness and decreasing porosity. Size had by far the strongest influence among these physical particle properties, despite a high amount of unexplained variability. Our study provides a detailed analysis of the drivers of particle sinking velocity in the Peruvian upwelling system, which allows modellers to optimize local particle flux parameterization. This will help to better project oxygen concentrations and carbon sequestration in a region that is subject to substantial climate-driven changes.</t>
  </si>
  <si>
    <t>[Baumann, Moritz; Paul, Allanah Joy; Taucher, Jan; Goldenberg, Silvan; Stange, Paul; Riebesell, Ulf] GEOMAR Helmholtz Ctr Ocean Res Kiel, Biol Oceanog, Kiel, Germany; [Bach, Lennart Thomas] Univ Tasmania, Inst Marine &amp; Antarctic Studies, Hobart, Tas, Australia; [Minutolo, Fabrizio] Helmholtz Ctr Hereon, Inst Carbon Cycles, Geesthacht, Germany</t>
  </si>
  <si>
    <t>Helmholtz Association; GEOMAR Helmholtz Center for Ocean Research Kiel; University of Tasmania</t>
  </si>
  <si>
    <t>Baumann, M (corresponding author), GEOMAR Helmholtz Ctr Ocean Res Kiel, Biol Oceanog, Kiel, Germany.</t>
  </si>
  <si>
    <t>mbaumann@geomar.de</t>
  </si>
  <si>
    <t>Paul, Allanah/0000-0003-1037-5239; Bach, Lennart/0000-0003-0202-3671</t>
  </si>
  <si>
    <t>German Research Foundation (DFG) [SFB 754]; EU [731065]; Leibniz Award</t>
  </si>
  <si>
    <t>German Research Foundation (DFG)(German Research Foundation (DFG)); EU(European Union (EU)); Leibniz Award</t>
  </si>
  <si>
    <t>This study was funded by the Collaborative Research Centre SFB 754 Climate-Biogeochemistry Interactions in the Tropical Ocean financed by the German Research Foundation (DFG). Additional funds were provided by the EU project AQUACOSM via the European Union's Horizon 2020 research and innovation programme under grand agreement no. 731065 and through the Leibniz Award 2012, granted to Ulf Riebesell.</t>
  </si>
  <si>
    <t>10.5194/bg-20-2595-2023</t>
  </si>
  <si>
    <t>L6JP8</t>
  </si>
  <si>
    <t>WOS:001024309200001</t>
  </si>
  <si>
    <t>Yang, SH; Chen, ST; Wang, YJ; Shao, QF; Tan, LC; Zhang, ZQ; Zhao, K; Wang, ZJ; Liang, YJ; Zhai, XM; Shen, CC; Edwards, RL</t>
  </si>
  <si>
    <t>Yang, Shaohua; Chen, Shitao; Wang, Yongjin; Shao, Qingfeng; Tan, Liangcheng; Zhang, Zhenqiu; Zhao, Kan; Wang, Zhenjun; Liang, Yijia; Zhai, Xiumin; Shen, Chuan-Chou; Edwards, R. Lawrence</t>
  </si>
  <si>
    <t>Millennial-scale changes in the Asian monsoon during the MIS12 period as recorded by a Chinese stalagmite</t>
  </si>
  <si>
    <t>PALAEOGEOGRAPHY PALAEOCLIMATOLOGY PALAEOECOLOGY</t>
  </si>
  <si>
    <t>Luoshui cave; Stalagmite; Asian summer monsoon; MIS 12; Millennial scale variation</t>
  </si>
  <si>
    <t>SUMMER MONSOON; CLIMATE VARIABILITY; HULU CAVE; ISOTOPIC COMPOSITION; STABLE-ISOTOPES; OXYGEN ISOTOPES; INDIAN MONSOON; ANTARCTIC ICE; GREENLAND; CIRCULATION</t>
  </si>
  <si>
    <t>Marine Oxygen Isotope Stage 12 (MIS 12), the last glacial period before the Mid-Brunhes event (MBE), is considered the coldest glacial period during the past several glacial/interglacial cycles and is important because it can help better understand the cyclicity and mechanism of the millennial-scale variability of a glacial period. However, owing to the lack of precisely dated and high-temporal-resolution records, the millennial-scale variability during this period remains unclear. A Th-230/U dated stalagmite from Luoshui Cave, Hubei Province, Central China, was analyzed for stable oxygen isotopes (delta O-18). An similar to 120-yr-resolution delta O-18 profile is presented to clarify the Asian summer monsoon (ASM) history between 464 and 420.6 kyr BP (Before present, where present = 1950 CE), which corresponds to the interval from the MIS 12 to the early part of the MIS 11. The MIS 12 monsoon generally followed the insolation differences on June 21 between 30 degrees N and 30 degrees S and was interrupted by ten Chinese interstadial events (CISs). At least nine prominent weak monsoon intervals (WMIs) were identified during MIS 12 and displayed a strong coupling with the northern high-latitude climate and Antarctic temperature through the bipolar seesaw model, suggesting a substantial relationship with the bipolar region. This indicates that millennial-scale variability in the ASM region is an inherent feature of the MBE and has a global teleconnection. Additionally, in contrast to the EPICA DOME C3 (EDC 3) timescale, the new absolutely dated speleothem record confirms the Antarctic Ice Core Chronology 2012 (AICC 2012) at MIS 12, a period with a large difference between the two ice record geochronologies over the past 800 kyr.</t>
  </si>
  <si>
    <t>[Yang, Shaohua] Nanjing Vocat Univ Ind Technol, Coll Econ &amp; Management, Nanjing 210023, Peoples R China; [Chen, Shitao; Wang, Yongjin; Shao, Qingfeng; Zhang, Zhenqiu; Zhao, Kan; Wang, Zhenjun] Nanjing Normal Univ, Sch Geog, Nanjing 210023, Peoples R China; [Chen, Shitao; Wang, Yongjin; Shao, Qingfeng; Zhang, Zhenqiu; Zhao, Kan; Wang, Zhenjun] Nanjing Normal Univ, Key Lab Virtual Geog Environm, Minist Educ, Nanjing 210023, Peoples R China; [Tan, Liangcheng] Chinese Acad Sci, Inst Earth Environm, State Key Lab Loess &amp; Quaternary Geol, Xian 710075, Peoples R China; [Liang, Yijia] Nantong Univ, Coll Geosci, Nantong 226007, Peoples R China; [Zhai, Xiumin] Chinese Acad Geol Sci, Int Res Ctr Karst, Inst Karst Geol, Guilin 54104, Peoples R China; [Shen, Chuan-Chou] Natl Taiwan Univ, Dept Geosci, High Precis Mass Spectrometry &amp; Environm Change La, Taipei 10617, Taiwan; [Shen, Chuan-Chou] Natl Taiwan Univ, Res Ctr Future Earth, Taipei 10617, Taiwan; [Edwards, R. Lawrence] Univ Minnesota, Dept Earth &amp; Environm Sci, Minneapolis, MN 55455 USA</t>
  </si>
  <si>
    <t>Nanjing Vocational University of Industry Technology; Nanjing Normal University; Nanjing Normal University; Chinese Academy of Sciences; Institute of Earth Environment, CAS; Nantong University; China Geological Survey; Institute of Karst Geology, Chinese Academy of Geological Sciences; Chinese Academy of Geological Sciences; National Taiwan University; National Taiwan University; University of Minnesota System; University of Minnesota Twin Cities</t>
  </si>
  <si>
    <t>Chen, ST (corresponding author), Nanjing Normal Univ, Sch Geog, Nanjing 210023, Peoples R China.</t>
  </si>
  <si>
    <t>chenshitao@njnu.edu.cn</t>
  </si>
  <si>
    <t>Shen, Chuan-Chou/JCE-1989-2023; Tan, Liangcheng/ABH-6099-2020</t>
  </si>
  <si>
    <t>Shen, Chuan-Chou/0000-0003-2833-2771; Tan, Liangcheng/0000-0003-1932-7102</t>
  </si>
  <si>
    <t>National Natural Science Foundation of China (NSFC) [42072207, YK20-06-01]; Start-up Fund for New Talented Researchers of Nanjing Vocational University of Industry Technology [SKLLQG2123]; Open Found of the State Key Laboratory of Loess and Quaternary Geology, Institute of Earth Environment, CAS [111-2116-M-002-022-MY3]; National Science and Technology Council (NSTC) [110L8907]; National Taiwan University [111L901001]; Higher Education Sprout Project of the Ministry of Education; [41931178]</t>
  </si>
  <si>
    <t>National Natural Science Foundation of China (NSFC)(National Natural Science Foundation of China (NSFC)); Start-up Fund for New Talented Researchers of Nanjing Vocational University of Industry Technology; Open Found of the State Key Laboratory of Loess and Quaternary Geology, Institute of Earth Environment, CAS; National Science and Technology Council (NSTC); National Taiwan University(National Taiwan University); Higher Education Sprout Project of the Ministry of Education;</t>
  </si>
  <si>
    <t>The authors would like to thank Editor Paul Hesse and two anony-mous reviewers whose detailed comments helped us to greatly improve this manuscript. This research is supported by the National Natural Science Foundation of China (NSFC, No. 41931178 and 42072207) , Start-up Fund for New Talented Researchers of Nanjing Vocational University of Industry Technology (Grant No. YK20-06-01) and Open Found of the State Key Laboratory of Loess and Quaternary Geology, Institute of Earth Environment, CAS (SKLLQG2123) . U-Th dating at the High-Precision Mass Spectrometry and Environment Change Laboratory (HISPEC) , Department of Geosciences, National Taiwan University, was supported by grants from the National Science and Technology Council (NSTC) (111-2116-M-002-022-MY3) , the National Taiwan University (110L8907 to C.-C.S.) , the Higher Education Sprout Project of the Ministry of Education (111L901001) .</t>
  </si>
  <si>
    <t>0031-0182</t>
  </si>
  <si>
    <t>1872-616X</t>
  </si>
  <si>
    <t>PALAEOGEOGR PALAEOCL</t>
  </si>
  <si>
    <t>Paleogeogr. Paleoclimatol. Paleoecol.</t>
  </si>
  <si>
    <t>10.1016/j.palaeo.2023.111698</t>
  </si>
  <si>
    <t>Geography, Physical; Geosciences, Multidisciplinary; Paleontology</t>
  </si>
  <si>
    <t>Physical Geography; Geology; Paleontology</t>
  </si>
  <si>
    <t>Q2CZ3</t>
  </si>
  <si>
    <t>WOS:001055661500001</t>
  </si>
  <si>
    <t>Clark, BL; Carneiro, APB; Pearmain, EJ; Rouyer, MM; Clay, TA; Cowger, W; Phillips, RA; Manica, A; Hazin, C; Eriksen, M; González-Solis, J; Adams, J; Albores-Barajas, YV; Alfaro-Shigueto, J; Alho, MS; Araujo, DT; Arcos, JM; Arnould, JPY; Barbosa, NJP; Barbraud, C; Beard, AM; Beck, J; Bell, EA; Bennet, DG; Berlincourt, M; Biscoito, M; Bjornstad, OK; Bolton, M; Jones, KBA; Borg, JJ; Bourgeois, K; Bretagnolle, V; Bried, J; Briskie, JV; Brooke, MD; Brownlie, KC; Bugoni, L; Calabrese, L; Campioni, L; Carey, MJ; Carle, RD; Carlile, N; Carreiro, AR; Catry, P; Catry, T; Cecere, JG; Ceia, FR; Cherel, Y; Choi, CY; Cianchetti-Benedetti, M; Clarke, RH; Cleeland, JB; Colodro, V; Congdon, BC; Danielsen, J; De Pascalis, F; Deakin, Z; Dehnhard, N; Dell'Omo, G; Delord, K; Descamps, S; Dilley, BJ; Dinis, HA; Dubos, J; Dunphy, BJ; Emmerson, LM; Fagundes, AI; Fayet, AL; Felis, JJ; Fischer, JH; Freeman, AND; Fromant, A; Gaibani, G; Garcia, D; Gjerdrum, C; Gomes, ISGC; Forero, MG; Granadeiro, JP; Grecian, WJ; Grémillet, D; Guilford, T; Hallgrimsson, GT; Halpin, LR; Hansen, ES; Hedd, A; Helberg, M; Helgason, HH; Henry, LM; Hereward, HFR; Hernandez-Montero, M; Hindell, MA; Hodum, PJ; Imperio, S; Jaeger, A; Jessopp, M; Jodice, PGR; Jones, CG; Jones, CW; Jonsson, JE; Kane, A; Kapelj, S; Kim, Y; Kirk, H; Kolbeinsson, Y; Kraemer, PL; Krueger, L; Lago, P; Landers, TJ; Lavers, JL; Le Corre, M; Leal, A; Louzao, M; Madeiros, J; Magalhaes, M; Mallory, ML; Masello, JF; Massa, B; Matsumoto, S; McDuie, F; Tranquilla, LM; Medrano, F; Metzger, BJ; Militao, T; Montevecchi, WA; Montone, RC; Navarro-Herrero, L; Neves, VC; Nicholls, DG; Nicoll, MAC; Norris, K; Oppel, S; Oro, D; Owen, E; Padget, O; Paiva, VH; Pala, D; Pereira, JM; Peron, C; Petry, MV; de Pina, A; Pina, ATM; Pinet, P; Pistorius, PA; Pollet, IL; Porter, BJ; Poupart, TA; Powell, CDL; Proaño, CB; Pujol-Casado, J; Quillfeldt, P; Quinn, JL; Raine, AF; Raine, H; Ramirez, I; Ramos, JA; Ramos, R; Ravache, A; Rayner, MJ; Reid, TA; Robertson, GJ; Rocamora, GJ; Rollinson, DP; Ronconi, RA; Rotger, A; Rubolini, D; Ruhomaun, K; Ruiz, A; Russell, JC; Ryan, PG; Saldanha, S; Sanz-Aguilar, A; Sardà-Serra, M; Satgé, YG; Sato, K; Schäfer, WC; Schoombie, S; Shaffer, SA; Shah, NR; Shoji, A; Shutler, D; Sigurosson, IA; Silva, MC; Small, AE; Soldatini, C; Strom, H; Surman, CA; Takahashi, A; Tatayah, VRV; Taylor, GA; Thomas, RJ; Thompson, DR; Thompson, PM; Thórarinsson, TL; Vicente-Sastre, D; Vidal, E; Wakefield, ED; Waugh, SM; Weimerskirch, H; Wittmer, HU; Yamamoto, T; Yoda, K; Zavalaga, CB; Zino, FJ; Dias, MP</t>
  </si>
  <si>
    <t>Clark, Bethany L.; Carneiro, Ana P. B.; Pearmain, Elizabeth J.; Rouyer, Marie-Morgane; Clay, Thomas A.; Cowger, Win; Phillips, Richard A.; Manica, Andrea; Hazin, Carolina; Eriksen, Marcus; Gonzalez-Solis, Jacob; Adams, Josh; Albores-Barajas, Yuri V.; Alfaro-Shigueto, Joanna; Alho, Maria Saldanha; Araujo, Deusa Teixeira; Arcos, Jose Manuel; Arnould, John P. Y.; Barbosa, Nadito J. P.; Barbraud, Christophe; Beard, Annalea M.; Beck, Jessie; Bell, Elizabeth A.; Bennet, Della G.; Berlincourt, Maud; Biscoito, Manuel; Bjornstad, Oskar K.; Bolton, Mark; Booth Jones, Katherine A.; Borg, John J.; Bourgeois, Karen; Bretagnolle, Vincent; Bried, Joel; Briskie, James V.; Brooke, M. de L.; Brownlie, Katherine C.; Bugoni, Leandro; Calabrese, Licia; Campioni, Letizia; Carey, Mark J.; Carle, Ryan D.; Carlile, Nicholas; Carreiro, Ana R.; Catry, Paulo; Catry, Teresa; Cecere, Jacopo G.; Ceia, Filipe R.; Cherel, Yves; Choi, Chang-Yong; Cianchetti-Benedetti, Marco; Clarke, Rohan H.; Cleeland, Jaimie B.; Colodro, Valentina; Congdon, Bradley C.; Danielsen, Johannis; De Pascalis, Federico; Deakin, Zoe; Dehnhard, Nina; Dell'Omo, Giacomo; Delord, Karine; Descamps, Sebastien; Dilley, Ben J.; Dinis, Herculano A.; Dubos, Jerome; Dunphy, Brendon J.; Emmerson, Louise M.; Fagundes, Ana Isabel; Fayet, Annette L.; Felis, Jonathan J.; Fischer, Johannes H.; Freeman, Amanda N. D.; Fromant, Aymeric; Gaibani, Giorgia; Garcia, David; Gjerdrum, Carina; Gomes, Ivandra Soeli Goncalves Correia; Forero, Manuela G.; Granadeiro, Jose P.; Grecian, W. James; Gremillet, David; Guilford, Tim; Hallgrimsson, Gunnar Thor; Halpin, Luke R.; Hansen, Erpur Snaer; Hedd, April; Helberg, Morten; Helgason, Halfdan H.; Henry, Leeann M.; Hereward, Hannah F. R.; Hernandez-Montero, Marcos; Hindell, Mark A.; Hodum, Peter J.; Imperio, Simona; Jaeger, Audrey; Jessopp, Mark; Jodice, Patrick G. R.; Jones, Carl G.; Jones, Christopher W.; Jonsson, Jon Einar; Kane, Adam; Kapelj, Sven; Kim, Yuna; Kirk, Holly; Kolbeinsson, Yann; Kraemer, Philipp L.; Krueger, Lucas; Lago, Paulo; Landers, Todd J.; Lavers, Jennifer L.; Le Corre, Matthieu; Leal, Andreia; Louzao, Maite; Madeiros, Jeremy; Magalhaes, Maria; Mallory, Mark L.; Masello, Juan F.; Massa, Bruno; Matsumoto, Sakiko; McDuie, Fiona; McFarlane Tranquilla, Laura; Medrano, Fernando; Metzger, Benjamin J.; Militao, Teresa; Montevecchi, William A.; Montone, Rosalinda C.; Navarro-Herrero, Leia; Neves, Veronica C.; Nicholls, David G.; Nicoll, Malcolm A. C.; Norris, Ken; Oppel, Steffen; Oro, Daniel; Owen, Ellie; Padget, Oliver; Paiva, Vitor H.; Pala, David; Pereira, Jorge M.; Peron, Clara; Petry, Maria V.; de Pina, Admilton; Pina, Ariete T. Moreira; Pinet, Patrick; Pistorius, Pierre A.; Pollet, Ingrid L.; Porter, Benjamin J.; Poupart, Timothee A.; Powell, Christopher D. L.; Proano, Carolina B.; Pujol-Casado, Julia; Quillfeldt, Petra; Quinn, John L.; Raine, Andre F.; Raine, Helen; Ramirez, Ivan; Ramos, Jaime A.; Ramos, Rauel; Ravache, Andreas; Rayner, Matt J.; Reid, Timothy A.; Robertson, Gregory J.; Rocamora, Gerard J.; Rollinson, Dominic P.; Ronconi, Robert A.; Rotger, Andreu; Rubolini, Diego; Ruhomaun, Kevin; Ruiz, Asuncion; Russell, James C.; Ryan, Peter G.; Saldanha, Sarah; Sanz-Aguilar, Ana; Sarda-Serra, Mariona; Satge, Yvan G.; Sato, Katsufumi; Schaefer, Wiebke C.; Schoombie, Stefan; Shaffer, Scott A.; Shah, Nirmal; Shoji, Akiko; Shutler, Dave; Sigurosson, Ingvar A.; Silva, Monica C.; Small, Alison E.; Soldatini, Cecilia; Strom, Hallvard; Surman, Christopher A.; Takahashi, Akinori; Tatayah, Vikash R. V.; Taylor, Graeme A.; Thomas, Robert J.; Thompson, David R.; Thompson, Paul M.; Thorarinsson, Thorkell L.; Vicente-Sastre, Diego; Vidal, Eric; Wakefield, Ewan D.; Waugh, Susan M.; Weimerskirch, Henri; Wittmer, Heiko U.; Yamamoto, Takashi; Yoda, Ken; Zavalaga, Carlos B.; Zino, Francis J.; Dias, Maria P.</t>
  </si>
  <si>
    <t>Global assessment of marine plastic exposure risk for oceanic birds</t>
  </si>
  <si>
    <t>AREA-RESTRICTED SEARCH; INGESTION; DEBRIS; SEABIRDS; HABITAT; BIODIVERSITY; PREVALENCE; COLLECTION; LITTER; TRENDS</t>
  </si>
  <si>
    <t>Plastic pollution is distributed patchily around the world's oceans. Likewise, marine organisms that are vulnerable to plastic ingestion or entanglement have uneven distributions. Understanding where wildlife encounters plastic is crucial for targeting research and mitigation. Oceanic seabirds, particularly petrels, frequently ingest plastic, are highly threatened, and cover vast distances during foraging and migration. However, the spatial overlap between petrels and plastics is poorly understood. Here we combine marine plastic density estimates with individual movement data for 7137 birds of 77 petrel species to estimate relative exposure risk. We identify high exposure risk areas in the Mediterranean and Black seas, and the northeast Pacific, northwest Pacific, South Atlantic and southwest Indian oceans. Plastic exposure risk varies greatly among species and populations, and between breeding and non-breeding seasons. Exposure risk is disproportionately high for Threatened species. Outside the Mediterranean and Black seas, exposure risk is highest in the high seas and Exclusive Economic Zones (EEZs) of the USA, Japan, and the UK. Birds generally had higher plastic exposure risk outside the EEZ of the country where they breed. We identify conservation and research priorities, and highlight that international collaboration is key to addressing the impacts of marine plastic on wide-ranging species. Petrels are wide-ranging, highly threatened seabirds that often ingest plastic. This study used tracking data for 7,137 petrels of 77 species to map global exposure risk and compare regions, species, and populations. The results show higher exposure risk for threatened species and stress the need for international cooperation to tackle marine litter.</t>
  </si>
  <si>
    <t>[Clark, Bethany L.; Carneiro, Ana P. B.; Pearmain, Elizabeth J.; Hazin, Carolina; Waugh, Susan M.; Dias, Maria P.] BirdLife Int, Cambridge, England; [Pearmain, Elizabeth J.; Manica, Andrea; Brooke, M. de L.] Univ Cambridge, Dept Zool, Cambridge, England; [Pearmain, Elizabeth J.; Phillips, Richard A.] NERC, British Antarctic Survey, Cambridge, England; [Rouyer, Marie-Morgane; Gremillet, David] Univ Montpellier, CNRS, CEFE, EPHE,IRD, Montpellier, France; [Clay, Thomas A.] Univ Calif Santa Cruz, Inst Marine Sci, Santa Cruz, CA USA; [Clay, Thomas A.] People &amp; Nature, Environm Def Fund, Monterey, CA USA; [Clay, Thomas A.] Univ Liverpool, Sch Environm Sci, Liverpool, Merseyside, England; [Cowger, Win] Univ Calif Riverside, Riverside, CA USA; [Hazin, Carolina] Nature Conservancy, London, England; [Eriksen, Marcus] 5 Gyres Inst, Los Angeles, CA USA; [Gonzalez-Solis, Jacob; Medrano, Fernando; Militao, Teresa; Navarro-Herrero, Leia; Pujol-Casado, Julia; Ramos, Rauel; Saldanha, Sarah; Sarda-Serra, Mariona; Vicente-Sastre, Diego] Univ Barcelona, Inst Recerca Biodiversitat IRBio, Barcelona, Spain; [Gonzalez-Solis, Jacob; Medrano, Fernando; Militao, Teresa; Navarro-Herrero, Leia; Pujol-Casado, Julia; Ramos, Rauel; Saldanha, Sarah; Sarda-Serra, Mariona; Vicente-Sastre, Diego] Univ Barcelona, Dept Biol Evolut Ecol &amp; Ciencies Ambientals, Barcelona, Spain; [Adams, Josh; Felis, Jonathan J.] US Geol Survey, Santa Cruz Field Stn, Western Ecol Res Ctr, Santa Cruz, CA USA; [Albores-Barajas, Yuri V.] UABCS, La Paz, Mexico; [Albores-Barajas, Yuri V.] Consejo Nacl Ciencia &amp; Tecnol CONACYT, Mexico City, DF, Mexico; [Alfaro-Shigueto, Joanna] Univ Cient Sur, Carrera Biol Marina, Lima, Peru; [Alfaro-Shigueto, Joanna] ProDelphinus, Lima, Peru; [Alfaro-Shigueto, Joanna] Univ Exeter, Sch Biosci, Cornwall Campus, Exeter, Devon, England; [Alho, Maria Saldanha; Campioni, Letizia; Catry, Paulo] Ispa Inst Univ, MARE Marine &amp; Environm Sci, ARNET Aquat Res Network, Lisbon, Portugal; [Arcos, Jose Manuel; Lago, Paulo] Associacao Projecto Vito, Sao Filipe, Cape Verde; [Arcos, Jose Manuel; Lago, Paulo] SEO BirdLife, Barcelona, Spain; [Arnould, John P. Y.; Berlincourt, Maud; Brownlie, Katherine C.; Fromant, Aymeric; Poupart, Timothee A.] Deakin Univ, Burwood, Vic, Australia; [Barbraud, Christophe; Bretagnolle, Vincent; Cherel, Yves; Delord, Karine; Fromant, Aymeric; Weimerskirch, Henri] La Rochelle Univ, CEBC, UMR 7372, CNRS, Villiers En Bois, France; [Beard, Annalea M.; Henry, Leeann M.; Small, Alison E.] St Helena Govt, Jamestown, St Helena; [Beard, Annalea M.; Deakin, Zoe; Hereward, Hannah F. R.; Porter, Benjamin J.; Thomas, Robert J.] Cardiff Univ, Cardiff, Wales; [Beck, Jessie; Carle, Ryan D.] Oikonos Ecosyst Knowledge, Santa Cruz, CA USA; [Bell, Elizabeth A.] Wildlife Management Int Ltd, Blenheim, New Zealand; [Bennet, Della G.; Briskie, James V.] Univ Canterbury, Sch Biol Sci, Christchurch, New Zealand; [Biscoito, Manuel] Museu Hist Nat Funchal, Marine &amp; Environm Sci Ctr MARE, Funchal, Portugal; [Bolton, Mark] RSPB Ctr Conservat Sci, Aberdeen, Scotland; [Booth Jones, Katherine A.] British Trust Ornithol, Belfast, Antrim, North Ireland; [Borg, John J.] Museum Nat Hist, Mdina, Malta; [Bourgeois, Karen] Aix Marseille Univ, Avignon Univ, CNRS,IRD, Inst Mediterraneen Biodiversite &amp; Ecol Marine &amp; C, Noumea, New Caledonia; [Bourgeois, Karen; Landers, Todd J.; Russell, James C.] Univ Auckland, Sch Biol Sci, Auckland, New Zealand; [Bried, Joel; Neves, Veronica C.] Univ Azores, Inst Marine Sci OKEANOS, P-9901862 Horta, Portugal; [Bugoni, Leandro] Univ Fed Rio Grande FURG, Rio Grande, Brazil; [Calabrese, Licia; Fischer, Johannes H.; Rocamora, Gerard J.] Island Conservat Soc, Mahe, Seychelles; [Calabrese, Licia] Univ Paris 06, Paris, France; [Calabrese, Licia; Rocamora, Gerard J.] Univ Seychelles, Isl Biodivers &amp; Conservat Ctr, Anse Royale, Seychelles; [Carey, Mark J.] La Trobe Univ, Dept Environm Management &amp; Ecol, Wodonga, NSW, Australia; [Carlile, Nicholas] Sci Econ &amp; Insights Div, Dept Planning &amp; Environm, Sydney, NSW, Australia; [Carreiro, Ana R.; Ceia, Filipe R.; Paiva, Vitor H.; Pereira, Jorge M.; Ramos, Jaime A.] Univ Coimbra, Dept Life Sci, MARE Marine &amp; Environm Sci Ctr, ARNET Aquat Res Network, Coimbra, Portugal; [Carreiro, Ana R.] InBIOLab Associado, Ctr Invest Biodiversidade &amp; Recursos Genet, CIBIO, Campus Agrario Vairao, Fornelo E Vairao, Portugal; [Catry, Teresa] Univ Lisbon, Dept Biol Anim, CESAM Ctr Estudos Ambiente Mar, Fac Ciencias, Lisbon, Portugal; [Cecere, Jacopo G.; De Pascalis, Federico; Imperio, Simona] ISPRA, Area Avifauna Migratrice, Ozzano Dellemilia, Italy; [Choi, Chang-Yong] Seoul Natl Univ, Dept Agr Forestry &amp; Bioresources, Seoul, South Korea; [Cianchetti-Benedetti, Marco; Dell'Omo, Giacomo] Ornis Italica, Rome, Italy; [Clarke, Rohan H.] Monash Univ, Sch Biol Sci, Melbourne, Vic, Australia; [Cleeland, Jaimie B.; Hindell, Mark A.] Univ Tasmania, Inst Marine &amp; Antarctic Studies, Hobart, Tas, Australia; [Cleeland, Jaimie B.; Emmerson, Louise M.] Australian Antarctic Div, Kingston, Tas, Australia; [Colodro, Valentina] Oikonos Ecosyst Knowledge, Valparaiso, Chile; [Congdon, Bradley C.] James Cook Univ, Coll Sci &amp; Engn, Cairns, Australia; [Danielsen, Johannis] Faroe Marine Res Inst, Torshavn, Faroe Islands; [De Pascalis, Federico] Univ Milan, Dept Environm Sci &amp; Policy, Milan, Italy; [Deakin, Zoe; Oppel, Steffen] RSPB Ctr Conservat Sci, Cambridge, England; [Dehnhard, Nina; Fayet, Annette L.] NINA, Trondheim, Norway; [Dehnhard, Nina] Univ Antwerp, Behav Ecol &amp; Ecophysiol Grp, Dept Biol, Antwerp, Belgium; [Descamps, Sebastien; Strom, Hallvard] Norwegian Polar Res Inst, Tromso, Norway; [Dilley, Ben J.; Gremillet, David; Jones, Christopher W.; Rollinson, Dominic P.; Ryan, Peter G.; Schoombie, Stefan] Univ Cape Town, Fitz Patrick Inst African Ornithol, DST NRF Ctr Excellence, Cape Town, South Africa; [Dubos, Jerome; Jaeger, Audrey; Le Corre, Matthieu] Univ Reunion, UMR ENTROPIE, St Denis, Reunion, France; [Dunphy, Brendon J.] Univ Auckland, Inst Marine Sci, Sch Biol Sci, Auckland, New Zealand; [Fagundes, Ana Isabel] SPEA, Lisbon, Portugal; [Fayet, Annette L.; Guilford, Tim; Padget, Oliver] Univ Oxford, Dept Biol, Oxford, England; [Felis, Jonathan J.] US Geol Survey, Santa Cruz, CA USA; [Fischer, Johannes H.] Dept Conservat, Aquat Unit, Wellington, New Zealand; [Freeman, Amanda N. D.] Nature North, Malanda, Qld, Australia; [Gaibani, Giorgia] LIPU BirdLife Italy, Parma, Italy; [Garcia, David] IRBI, Pina, Spain; [Gjerdrum, Carina; Ronconi, Robert A.] Canadian Wildlife Serv, Environm &amp; Climate Change Canada, Dartmouth, NS, Canada; [Forero, Manuela G.] CSIC, Dept Biol Conservac, EBD, Seville, Spain; [Granadeiro, Jose P.] Univ Lisbon, Dept Biol Anim, Fac Ciencias, Lisbon, Portugal; [Granadeiro, Jose P.] CESAM Ctr Environm &amp; Marine Studies, Lisbon, Portugal; [Grecian, W. James; Wakefield, Ewan D.] Univ Durham, Dept Geog, Durham, England; [Hallgrimsson, Gunnar Thor] Univ Iceland, Dept Life &amp; Environm Sci, Reykjavik, Iceland; [Halpin, Luke R.] Monash Univ, Clayton, Vic, Australia; [Halpin, Luke R.] Halpin Wildlife Res, Vancouver, BC, Canada; [Hansen, Erpur Snaer] South Iceland Nat Res Ctr, Vestmannaeyjar, Iceland; [Hedd, April] Environm &amp; Climate Change Canada, Wildlife Res Div, Mt Pearl, NF, Canada; [Helberg, Morten] Ostfold Univ Coll, Halden, Norway; [Helberg, Morten] BirdLife Norway, Sandgata 30 B, N-7012 Trondheim, Norway; [Helgason, Halfdan H.] East Iceland Nat Res Ctr, Egilsstaoir, Iceland; [Hereward, Hannah F. R.] British Trust Ornithol Cymru, Thoday Bldg,Deiniol Rd, Bangor, Wales; [Hernandez-Montero, Marcos] Assoc Projeto Biodiversidade, Santa Maria, Ilha Do Sal, Cape Verde; [Hodum, Peter J.] Oikonos Ecosyst Knowledge, Tacoma, WA USA; [Imperio, Simona] Inst Geosci &amp; Earth Resources, CNR, Pisa, Italy; [Jessopp, Mark] Univ Coll Cork, Sch Biol Earth &amp; Environm Sci, Cork, Ireland; [Jessopp, Mark] Univ Coll Cork, Environm Res Inst, MaREI Ctr, Cork, Ireland; [Jodice, Patrick G. R.] Clemson Univ, US Geol Survey, South Carolina Cooperat Fish &amp; Wildlife Res Unit, Clemson, SC USA; [Jones, Carl G.; Tatayah, Vikash R. V.] MauritianWildlife Fdn, Vacoas, Mauritius; [Jones, Carl G.] Durrell Wildlife Conservat Trust, Trinity, Jersey, England; [Jonsson, Jon Einar] Univ Icelands Res Ctr, Stykkisholmur, Iceland; [Kane, Adam] Univ Coll Dublin, Dublin, Ireland; [Kapelj, Sven] Assoc Biom, Zagreb, Croatia; [Kim, Yuna] Macquarie Univ, Sydney, NSW, Australia; [Kirk, Holly] RMIT Univ, Melbourne, Vic, Australia; [Kolbeinsson, Yann; Thorarinsson, Thorkell L.] Northeast Iceland Nat Res Ctr, Husavik, Iceland; [Kraemer, Philipp L.; Masello, Juan F.; Quillfeldt, Petra; Schaefer, Wiebke C.] Justus Liebig Univ Giessen, Dept Anim Ecol &amp; Systemat, Giessen, Germany; [Krueger, Lucas] Inst Antartico Chileno, Punta Arenas, Chile; [Krueger, Lucas] Inst Milenio Biodiversidad Ecosistemas Antarticos, Santiago, Chile; [Lago, Paulo; Metzger, Benjamin J.] BirdLife Malta, Taxbiex, Malta; [Landers, Todd J.] Auckland Council, Auckland, New Zealand; [Lavers, Jennifer L.] Tjaltjraak Native Title Aboriginal Corp, Esperance, WA, Australia; [Louzao, Maite] AZTI, Pasaia, Spain; [Madeiros, Jeremy] Bermuda Govt, Dept Environm &amp; Nat Resources, Flatts, Bermuda; [Magalhaes, Maria] Azores Govt, Reg Directorate Marine Policies, Horta, Azores, Portugal; [Mallory, Mark L.; Pollet, Ingrid L.; Shutler, Dave] Acad Univ, Wolfville, NS, Canada; [Massa, Bruno] Univ Palermo, Dept Agr Food &amp; Forest Sci, Palermo, Italy; [Matsumoto, Sakiko] Nagoya Univ, Nagoya, Aichi, Japan; [McDuie, Fiona] San Jose State Univ Res Fdn, San Jose, CA USA; [McFarlane Tranquilla, Laura] Birds Canada, Sackville, NB, Canada; [Montevecchi, William A.] Mem Univ Newfoundland &amp; Labrador, St John, NF, Canada; [Montone, Rosalinda C.] Univ Sao Paulo, Inst Oceanog, Sao Paulo, Brazil; [Neves, Veronica C.] Univ Acores, IMAR Inst Mar, Horta, Portugal; [Nicholls, David G.] Chisholm Inst, Dandenong, Australia; [Nicoll, Malcolm A. C.] Zool Soc London, Inst Zool, London, England; [Norris, Ken] Nat Hist Museum, London, England; [Oro, Daniel] Ctr Estudis Avancats Blanes, CEAB CSIC, Blanes, Spain; [Owen, Ellie] RSPB Ctr Conservat Sci, Inverness, Scotland; [Owen, Ellie] Natl Trust Scotland, Balnain House,Huntly St, Inverness, Scotland; [Pala, David] Parco Nat Regionale Porto Conte, Alghero, Italy; [Peron, Clara] CNRS, Lab Biol Organismes &amp; Ecosyst Aquat UMR BOREA, MNHN, IRD,SU,UCN,UA, Paris, France; [Petry, Maria V.] Univ Vale Rio Sinos UNISINOS, Sao Leopoldo, Brazil; [Pina, Ariete T. Moreira] Project Vito Assoc, Praia, Cape Verde; [Pinet, Patrick] Univ La Reunion, St Denis, Reunion, France; [Pistorius, Pierre A.] Nelson Mandela Univ, Inst Coastal &amp; Marine Res, Dept Zool, MAPRU, Port Elizabeth, South Africa; [Proano, Carolina B.] Max Planck Inst Ornithol, Puerto Ayora, Galapagos Islan, Ecuador; [Quinn, John L.] Univ Cork, Sch BEES, Cork, Ireland; [Raine, Andre F.; Raine, Helen] Archipelago Res &amp; Conservat, Kalaheo, HI USA; [Ramirez, Ivan] CMS, Bonn, Germany; [Ravache, Andreas] Univ La Reunion, Ctr IRD Noumea, Univ La Nouvelle Caledonie, CNRS,UMR ENTROPIE,IRD,Ifremer, Noumea, New Caledonia; [Rayner, Matt J.] Auckland War Mem Museum, Auckland, New Zealand; [Reid, Timothy A.] CSIRO Oceans &amp; Atmosphere, Hobart, NSW, Australia; [Robertson, Gregory J.] Environm &amp; Climate Change Canada, Mt Pearl, NF, Canada; [Rotger, Andreu; Sanz-Aguilar, Ana] IMEDEA CSIC UIB, Anim Demog &amp; Ecol Unit GEDA, Esporles, Spain; [Rubolini, Diego] Univ Milan, Dipartimento Sci &amp; Polit Ambientali, Milan, Italy; [Rubolini, Diego] Consiglio Nazl Ric IRSA CNR, Ist Ric Acque, Brugherio, Italy; [Ruhomaun, Kevin] Natl Parks &amp; Parks Conservat Serv, Reduit, Mauritius; [Ruiz, Asuncion] SEO BirdLife, Madrid, Spain; [Sanz-Aguilar, Ana] Univ Balearic Islands, Palma De Mallorca, Spain; [Satge, Yvan G.] Clemson Univ, Dept Forestry &amp; Environm Conservat, Clemson, SC USA; [Sato, Katsufumi] Univ Tokyo, Atmosphere &amp; Ocean Res Inst, Kashiwa, Chiba, Japan; [Shaffer, Scott A.] San Jose State Univ, Biol Sci, San Jose, CA USA; [Shah, Nirmal] Nat Seychelles, Mahe, Seychelles; [Shoji, Akiko] Univ Tsukuba, Tsukuba, Ibaraki, Japan; [Sigurosson, Ingvar A.] Iceland Inst Nat Hist, Garoabaer, Iceland; [Silva, Monica C.; Dias, Maria P.] Univ Lisbon, CE3c Ctr Ecol Evolut &amp; Evolutionary Changes, Fac Ciencias, Lisbon, Portugal; [Soldatini, Cecilia] CICESE Ctr Invest Cient &amp; Educ Super Ensenada, Unidad La Paz, La Paz, Mexico; [Surman, Christopher A.] Halfmoon Biosci, Ocean Beach, Denmark; [Takahashi, Akinori] Natl Inst Polar Res, Tachikawa, Tokyo, Japan; [Taylor, Graeme A.] Dept Conservat, Wellington, New Zealand; [Thompson, David R.] Natl Inst Water &amp; Atmospher Res Ltd, Wellington, New Zealand; [Thompson, Paul M.] Univ Aberdeen, Cromarty, Scotland; [Vidal, Eric] UR, UMR ENTROPIE IRD, UNC, CNRS,IFREMER, Noumea, New Caledonia; [Vidal, Eric] UAPV, CNRS, UMR IMBE IRD, AMU, Noumea, France; [Wittmer, Heiko U.] Victoria Univ Wellington, Sch Biol Sci, Wellington, New Zealand; [Yamamoto, Takashi] Azabu Univ, Sagamihara, Kanagawa, Japan; [Yoda, Ken] Nagoya Univ, Grad Sch Environm Studies, Nagoya, Aichi, Japan; [Zavalaga, Carlos B.] Univ Cient Sur, Lima, Peru; [Zino, Francis J.] Freira Conservat Project, Funchal, Portugal; [Dias, Maria P.] Univ Lisbon, CHANGE Global Change &amp; Sustainabil Inst, Dept Biol Anim, Fac Ciencias, Lisbon, Portugal</t>
  </si>
  <si>
    <t>BirdLife International; University of Cambridge; UK Research &amp; Innovation (UKRI); Natural Environment Research Council (NERC); NERC British Antarctic Survey; Universite PSL; Ecole Pratique des Hautes Etudes (EPHE); Institut Agro; Montpellier SupAgro; CIRAD; Centre National de la Recherche Scientifique (CNRS); Institut de Recherche pour le Developpement (IRD); Universite Paul-Valery; Universite de Montpellier; University of California System; University of California Santa Cruz; University of Liverpool; University of California System; University of California Riverside; Nature Conservancy; University of Barcelona; University of Barcelona; United States Department of the Interior; United States Geological Survey; Universidad Cientifica del Sur (CIENTIFICA); University of Exeter; Instituto Superior Psicologia Aplicada (ISPA); Deakin University; Centre National de la Recherche Scientifique (CNRS); CNRS - Institute of Ecology &amp; Environment (INEE); Cardiff University; University of Canterbury; Royal Society for Protection of Birds; Institut de Recherche pour le Developpement (IRD); Aix-Marseille Universite; University of Auckland; Universidade dos Acores; Universidade Federal do Rio Grande; Sorbonne Universite; La Trobe University; Universidade de Coimbra; Universidade de Lisboa; Seoul National University (SNU); Melbourne Genomics Health Alliance; Monash University; University of Tasmania; Australian Antarctic Division; James Cook University; Faroe Marine Research Institute (FAMRI); University of Milan; Royal Society for Protection of Birds; Norwegian Institute Nature Research; University of Antwerp; Norwegian Polar Institute; National Research Foundation - South Africa; University of Cape Town; University of La Reunion; University of Auckland; University of Oxford; United States Department of the Interior; United States Geological Survey; Environment &amp; Climate Change Canada; Canadian Wildlife Service; Consejo Superior de Investigaciones Cientificas (CSIC); CSIC - Estacion Biologica de Donana (EBD); Universidade de Lisboa; Durham University; University of Iceland; Monash University; Environment &amp; Climate Change Canada; Canadian Wildlife Service; Wildlife Research Division - Environment Canada; Ostfold University College; Consiglio Nazionale delle Ricerche (CNR); Istituto di Geoscienze e Georisorse (IGG-CNR); University College Cork; University College Cork; Clemson University; United States Department of the Interior; United States Geological Survey; University College Dublin; Macquarie University; Royal Melbourne Institute of Technology (RMIT); Justus Liebig University Giessen; AZTI; Acadia University; University of Palermo; Nagoya University; California State University System; San Jose State University; Memorial University Newfoundland; Universidade de Sao Paulo; Universidade dos Acores; Zoological Society of London; Natural History Museum London; Consejo Superior de Investigaciones Cientificas (CSIC); CSIC - Centre d'Estudis Avancats de Blanes (CEAB); Royal Society for Protection of Birds; Centre National de la Recherche Scientifique (CNRS); Museum National d'Histoire Naturelle (MNHN); Institut de Recherche pour le Developpement (IRD); Universidade do Vale do Rio dos Sinos (Unisinos); University of La Reunion; Nelson Mandela University; University College Cork; Ifremer; Institut de Recherche pour le Developpement (IRD); Universite Nouvelle Caledonie; Commonwealth Scientific &amp; Industrial Research Organisation (CSIRO); Environment &amp; Climate Change Canada; Universitat de les Illes Balears; Consejo Superior de Investigaciones Cientificas (CSIC); ATTITUS Educacao; University of Milan; Consiglio Nazionale delle Ricerche (CNR); Istituto di Ricerca sulle Acque (IRSA-CNR); Clemson University; University of Tokyo; California State University System; San Jose State University; University of Tsukuba; Universidade de Lisboa; Research Organization of Information &amp; Systems (ROIS); National Institute of Polar Research (NIPR) - Japan; National Institute of Water &amp; Atmospheric Research (NIWA) - New Zealand; University of Aberdeen; Universite Nouvelle Caledonie; Ifremer; Avignon Universite; Centre National de la Recherche Scientifique (CNRS); Victoria University Wellington; Azabu University; Nagoya University; Universidad Cientifica del Sur (CIENTIFICA); Universidade de Lisboa</t>
  </si>
  <si>
    <t>Clark, BL; Carneiro, APB; Pearmain, EJ (corresponding author), BirdLife Int, Cambridge, England.;Pearmain, EJ (corresponding author), Univ Cambridge, Dept Zool, Cambridge, England.;Pearmain, EJ (corresponding author), NERC, British Antarctic Survey, Cambridge, England.</t>
  </si>
  <si>
    <t>bethany.louise.clark@gmail.com; ana.carneiro@birdlife.org; ejp69@cam.ac.uk</t>
  </si>
  <si>
    <t>Jaeger, Audrey/HMD-6340-2023; Dias, Maria P./D-1331-2012; Albores-Barajas, Yuri V/C-5042-2009; Hallgrimsson, Gunnar Thor T/M-3105-2015; Clay, Tommy/W-4867-2019; Bugoni, Leandro/F-9539-2012; campioni, letizia/AAZ-2888-2020; González-Solís, Jacob/AAB-1161-2019; Granadeiro, José Pedro/E-8060-2011; Rotger, Andreu/IWD-8485-2023; Ravache, Andreas/AAN-1196-2020; Kirk, Holly/HHC-6449-2022; Mallory, Mark L/A-1952-2017; Ramos, Jaime A./B-6616-2018; Satgé, Yvan/JDC-6997-2023; Vicente Sastre, Diego/AGU-6455-2022; Dehnhard, Nina/H-6160-2016; Thompson, Paul/C-4194-2018; McDuie, Fiona/I-4947-2018; Hansen, Erpur Snær/V-1858-2018; Montone, Rosalinda C/J-9110-2012; Kane, Adam/H-6449-2013; Biscoito, Manuel/AAC-4390-2021; Cowger, Win/G-2483-2018; Sanz-Aguilar, Ana/D-3778-2014; Choi, Chang-Yong/Q-9577-2019; Arcos, Jose Manuel Pep/GRJ-0631-2022; Kruger, Lucas/O-8912-2015; Rotger, Andreu/Y-3112-2018; Manica, Andrea/B-5497-2008; Catry, Teresa/A-8082-2012; Paiva, Vitor/J-1092-2019; Silva, Monica/D-3300-2012; Neves, Veronica/A-4642-2009; Wittmer, Heiko/D-4172-2015; Masello, Juan Francisco/C-7133-2009; Ramos, Raul/S-3112-2016; Catry, Paulo/I-5408-2013</t>
  </si>
  <si>
    <t>Jaeger, Audrey/0000-0002-5649-0315; Dias, Maria P./0000-0002-7281-4391; Clay, Tommy/0000-0002-0644-6105; Bugoni, Leandro/0000-0003-0689-7026; campioni, letizia/0000-0002-6319-6931; Granadeiro, José Pedro/0000-0002-7207-3474; Ravache, Andreas/0000-0001-5413-3149; Kirk, Holly/0000-0002-8724-3210; Ramos, Jaime A./0000-0002-9533-987X; Satgé, Yvan/0000-0001-5148-8008; Vicente Sastre, Diego/0000-0003-4458-8005; Dehnhard, Nina/0000-0002-4182-2698; Thompson, Paul/0000-0002-4720-8867; McDuie, Fiona/0000-0002-1948-5613; Hansen, Erpur Snær/0000-0001-6899-2817; Biscoito, Manuel/0000-0002-9347-0823; Cowger, Win/0000-0001-9226-3104; Sanz-Aguilar, Ana/0000-0002-4177-9749; Choi, Chang-Yong/0000-0002-4519-7957; Arcos, Jose Manuel Pep/0000-0001-7486-4475; Ryan, Peter/0000-0002-3356-2056; Saldanha, Sarah/0000-0003-0084-1929; Carvalho Magalhaes, Maria/0000-0003-4486-8592; Kruger, Lucas/0000-0003-4637-5302; Gonzalez-Solis, Jacob/0000-0002-8691-9397; Zavalaga, Carlos/0000-0003-1712-7334; Rotger, Andreu/0000-0002-9093-9497; Manica, Andrea/0000-0003-1895-450X; Catry, Teresa/0000-0003-4047-9995; Paiva, Vitor/0000-0001-6368-9579; Robertson, Greg/0000-0001-8452-5506; Silva, Monica/0000-0003-2404-3964; Hallgrimsson, Gunnar Thor/0000-0002-3697-9148; Neves, Veronica/0000-0002-6826-4542; Wittmer, Heiko/0000-0002-8861-188X; , Ana/0000-0003-0573-7549; Clark, Bethany Louise/0000-0001-5803-7744; Ramirez, Ivan/0000-0001-7944-8710; Masello, Juan Francisco/0000-0002-6826-4016; Ramos, Raul/0000-0002-0551-8605; Catry, Paulo/0000-0003-3000-0522; Quinn, John/0000-0001-9363-3146; Pereira, Jorge/0000-0002-7594-3535; Rouyer, Marie-Morgane/0000-0003-4915-7191</t>
  </si>
  <si>
    <t>Cambridge Conservation Initiative's Collaborative Fund; Prince Albert II of Monaco Foundation; Natural Environment Research Council C-CLEAR doctoral training programme [NE/S007164/1]</t>
  </si>
  <si>
    <t>Cambridge Conservation Initiative's Collaborative Fund; Prince Albert II of Monaco Foundation; Natural Environment Research Council C-CLEAR doctoral training programme</t>
  </si>
  <si>
    <t>AcknowledgementsB.L.C., C.H., and A.M. were funded by the Cambridge Conservation Initiative's Collaborative Fund sponsored by the Prince Albert II of Monaco Foundation. E.J.P. was supported by the Natural Environment Research Council C-CLEAR doctoral training programme (Grant no. NE/S007164/1). We are grateful to all those who assisted with the collection and curation of tracking data. Further details are provided in the Supplementary Acknowledgements. Any use of trade, firm, or product names is for descriptive purposes only and does not imply endorsement by the U.S. Government.</t>
  </si>
  <si>
    <t>JUL 4</t>
  </si>
  <si>
    <t>10.1038/s41467-023-38900-z</t>
  </si>
  <si>
    <t>L7AL1</t>
  </si>
  <si>
    <t>Green Published, Green Accepted, Green Submitted, gold</t>
  </si>
  <si>
    <t>WOS:001024747400018</t>
  </si>
  <si>
    <t>Tebbett, SB; Schlaefer, JA; Bowden, CL; Collins, WP; Hemingson, CR; Ling, SD; Morais, J; Morais, RA; Siqueira, AC; Streit, RP; Swan, S; Bellwood, DR</t>
  </si>
  <si>
    <t>Tebbett, Sterling B.; Schlaefer, Jodie A.; Bowden, Casey L.; Collins, William P.; Hemingson, Christopher R.; Ling, Scott D.; Morais, Juliano; Morais, Renato A.; Siqueira, Alexandre C.; Streit, Robert P.; Swan, Sam; Bellwood, David R.</t>
  </si>
  <si>
    <t>Bio-physical determinants of sediment accumulation on an offshore coral reef: A snapshot study</t>
  </si>
  <si>
    <t>Algal turf; Geo-ecological function; Sedimentation; Sediment trap; Turbidity</t>
  </si>
  <si>
    <t>GREAT-BARRIER-REEF; PARROTFISHES FAMILY SCARIDAE; INSHORE TURBID REEFS; FINE SEDIMENT; ALGAL TURFS; INNER-SHELF; TEMPORAL VARIATIONS; EPILITHIC ALGAL; SUSPENDED SEDIMENT; FISH COMMUNITIES</t>
  </si>
  <si>
    <t>Sediments are found on all coral reefs around the globe. However, the amount of sediment in different reservoirs, and the rates at which sediments move between reservoirs, can shape the biological functioning of coral reefs. Unfortunately, relatively few studies have examined reef sediment dynamics, and associated bio-physical drivers, simultaneously over matching spatial and temporal scales. This has led to a partial understanding of how sediments and living reef systems are connected, especially on clear-water offshore reefs. To address this problem, four sediment reservoirs/sedimentary processes and three bio-physical drivers were quantified across seven different reef habitats/ depths at Lizard Island, an exposed mid-shelf reef on the Great Barrier Reef. Even in this clear-water reef location a substantial load of suspended sediment passed over the reef; a load theoretically capable of replacing the entire standing stock of on-reef turf sediments in just 8 h. However, quantification of actual sediment deposition suggested that just 2 % of this passing sediment settled on the reef. The data also revealed marked spatial incongruence in sediment deposition (sediment trap data) and accumulation (TurfPod data) across the reef profile, with the flat and back reef emerging as key areas of both deposition and accumulation. By contrast, the shallow windward reef crest was an area of deposition but had a limited capacity for sediment accumulation. These cross-reef patterns related to wave energy and reef geomorphology, with low sediment accumulation on the ecologically important reef crest aligning with substantial wave energy. These findings reveal a disconnect between patterns of sediment deposition and accumulation on the benthos, with the 'post-settlement' fate of sediments dependent on local hydrodynamic conditions. From an ecological perspective, the data suggests key contextual constraints (wave energy and reef geomorphology) may predispose some reefs or reef areas to high-load turf sediment regimes.</t>
  </si>
  <si>
    <t>[Tebbett, Sterling B.; Schlaefer, Jodie A.; Bowden, Casey L.; Collins, William P.; Hemingson, Christopher R.; Morais, Juliano; Morais, Renato A.; Siqueira, Alexandre C.; Streit, Robert P.; Swan, Sam; Bellwood, David R.] James Cook Univ, Coll Sci &amp; Engn, Res Hub Coral Reef Ecosyst Funct, Townsville, Qld 4811, Australia; [Schlaefer, Jodie A.] Commonwealth Sci &amp; Ind Res Org CSIRO, Environm, Townsville, Qld 4811, Australia; [Hemingson, Christopher R.] Univ Texas Austin, Marine Sci Inst, Dept Marine Sci, Port Aransas, TX USA; [Ling, Scott D.] Univ Tasmania, Inst Marine &amp; Antarctic Studies, Hobart 7001, Australia; [Morais, Renato A.] Univ Perpignan, Paris Sci &amp; Lettres Univ, Ecole Prat Hautes Etud, EPHE,UPVD,CNRS, Perpignan, France</t>
  </si>
  <si>
    <t>James Cook University; Commonwealth Scientific &amp; Industrial Research Organisation (CSIRO); University of Texas System; University of Texas Austin; University of Tasmania; Universite PSL; Ecole Pratique des Hautes Etudes (EPHE); Universite Perpignan Via Domitia; Centre National de la Recherche Scientifique (CNRS)</t>
  </si>
  <si>
    <t>Tebbett, SB (corresponding author), James Cook Univ, Coll Sci &amp; Engn, Res Hub Coral Reef Ecosyst Funct, Townsville, Qld 4811, Australia.</t>
  </si>
  <si>
    <t>sterling.tebbett@my.jcu.edu.au</t>
  </si>
  <si>
    <t>Morais, Juliano/I-5656-2016; Tebbett, Sterling B./J-9420-2019; Siqueira, Alexandre/AAJ-5987-2020</t>
  </si>
  <si>
    <t>Morais, Juliano/0000-0001-8022-5389; Tebbett, Sterling B./0000-0002-9372-7617; Siqueira, Alexandre/0000-0001-7970-4024; Streit, Robert/0000-0002-3471-5878</t>
  </si>
  <si>
    <t>Australian Research Council [CE140100020, FL190100062, FT200100949]; Ian Potter Foundation; Australian Museum's Lizard Island Research Station; Australian Research Council [FT200100949] Funding Source: Australian Research Council</t>
  </si>
  <si>
    <t>Australian Research Council(Australian Research Council); Ian Potter Foundation; Australian Museum's Lizard Island Research Station; Australian Research Council(Australian Research Council)</t>
  </si>
  <si>
    <t>This work was supported by the Australian Research Council (DRB, CE140100020 and FL190100062; SDL, FT200100949), the Ian Potter Foundation (SBT), and the Australian Museum's Lizard Island Research Station (SBT).</t>
  </si>
  <si>
    <t>JUN 28</t>
  </si>
  <si>
    <t>10.1016/j.scitotenv.2023.165188</t>
  </si>
  <si>
    <t>N6CH5</t>
  </si>
  <si>
    <t>WOS:001037864400001</t>
  </si>
  <si>
    <t>Fearon, G; Herbette, S; Cambon, G; Veitch, J; Meynecke, JO; Vichi, M</t>
  </si>
  <si>
    <t>Fearon, Giles; Herbette, Steven; Cambon, Gildas; Veitch, Jennifer; Meynecke, Jan-Olaf; Vichi, Marcello</t>
  </si>
  <si>
    <t>The land-sea breeze influences the oceanography of the southern Benguela upwelling system at multiple time-scales</t>
  </si>
  <si>
    <t>land-sea breeze; diurnal-inertial oscillations; vertical mixing; critical latitude; coastal upwelling; southern Benguela</t>
  </si>
  <si>
    <t>ST-HELENA BAY; BULK PARAMETERIZATION; CONTINENTAL-SHELF; INERTIAL MOTIONS; DIURNAL WINDS; NAMAQUA SHELF; WEST-COAST; RED TIDE; VARIABILITY; PHYTOPLANKTON</t>
  </si>
  <si>
    <t>The physical and biogeochemical functioning of eastern boundary upwelling systems is generally understood within the context of the upwelling - relaxation cycle, driven by sub-diurnal wind variability (i.e. with a time-scale of greater than a day). Here, we employ a realistically configured and validated 3D model of the southern Benguela upwelling system to quantify the impact of super-diurnal winds associated with the land-sea breeze (LSB). The ocean response to the LSB is found to be particularly enhanced within St Helena Bay (SHB), a hotspot for productivity which is also prone to Harmful Algal Bloom (HAB) development. We attribute the enhanced response to a combination of near-critical latitude for diurnal-inertial resonance (similar to 32.5 degrees S), the local enhancement of the LSB, and the local development of a shallow stratified surface layer through bay retention. Pronounced advection of the surface layer by diurnal-inertial oscillations contributes to large differences in day- and night-time sea surface temperatures (SST's) (more than 2 degrees C on average in SHB). Event-scale diapycnal mixing is particularly enhanced within SHB, as highlighted by a numerical experiment initialised with a subsurface passive tracer. These super-diurnal processes are shown to influence sub-diurnal dynamics within SHB through their modulation of the vertical water column structure. A deeper thermocline retains the upwelling front closer to land during active upwelling, while geostrophically-driven alongshore flow is impacted through the modulation of cross-shore pressure gradients. The results suggest that the LSB is likely to play an important role in the productivity and therefore HAB development within SHB, and highlight potential challenges for observational systems and models aiming to improve our understanding of the physical and biological functioning of the system.</t>
  </si>
  <si>
    <t>[Fearon, Giles; Herbette, Steven; Vichi, Marcello] Univ Cape Town, Dept Oceanog, Cape Town, South Africa; [Fearon, Giles; Vichi, Marcello] Univ Cape Town, Marine &amp; Antarctic Res Ctr Innovat &amp; Sustainabil M, Cape Town, South Africa; [Fearon, Giles; Veitch, Jennifer] South African Environm Observat Network, Egagasini Node, Cape Town, South Africa; [Herbette, Steven; Cambon, Gildas] Univ Brest, CNRS, IFREMER, IRD,Lab Oceanog Phys &amp; Spatiale LOPS,IUEM, F-29280 Plouzane, France; [Veitch, Jennifer] Univ Cape Town, Nansen Tutu Ctr, Dept Oceanog, Cape Town, South Africa; [Meynecke, Jan-Olaf] Griffith Univ, Griffith Climate Change Response Program, Southport, Qld, Australia; [Meynecke, Jan-Olaf] Griffith Univ, Coastal &amp; Marine Res Ctr, Southport, Qld, Australia</t>
  </si>
  <si>
    <t>University of Cape Town; University of Cape Town; National Research Foundation - South Africa; South African Environmental Observation Network (SAEON); Centre National de la Recherche Scientifique (CNRS); Universite de Bretagne Occidentale; Institut Universitaire Europeen de la Mer (IUEM); Institut de Recherche pour le Developpement (IRD); Ifremer; University of Cape Town; Griffith University; Griffith University - Gold Coast Campus; Griffith University; Griffith University - Gold Coast Campus</t>
  </si>
  <si>
    <t>Fearon, G; Vichi, M (corresponding author), Univ Cape Town, Dept Oceanog, Cape Town, South Africa.;Fearon, G; Vichi, M (corresponding author), Univ Cape Town, Marine &amp; Antarctic Res Ctr Innovat &amp; Sustainabil M, Cape Town, South Africa.;Fearon, G (corresponding author), South African Environm Observat Network, Egagasini Node, Cape Town, South Africa.</t>
  </si>
  <si>
    <t>gfearon11@gmail.com; marcello.vichi@uct.ac.za</t>
  </si>
  <si>
    <t>Herbette, Steven/L-4140-2015; Vichi, Marcello/B-8719-2008</t>
  </si>
  <si>
    <t>Herbette, Steven/0000-0002-7349-5572; Vichi, Marcello/0000-0002-0686-9634</t>
  </si>
  <si>
    <t>Whales and Climate Research Program; European Union [862923]; South African Environmental Observation Network (SAEON); LabexMER; French Embassy in South Africa</t>
  </si>
  <si>
    <t>Whales and Climate Research Program; European Union(European Union (EU)); South African Environmental Observation Network (SAEON)(National Research Foundation - South Africa); LabexMER; French Embassy in South Africa</t>
  </si>
  <si>
    <t>This research benefited from funding from a private charitable trust as part of the Whales and Climate Research Program (https://www.whalesandclimate.org/) and from the European Union's Horizon 2020 research and innovation programme under grant agreement No 862923. GF further acknowledges financial assistance from the South African Environmental Observation Network (SAEON), as well mobility grants from LabexMER and the French Embassy in South Africa.</t>
  </si>
  <si>
    <t>10.3389/fmars.2023.1186069</t>
  </si>
  <si>
    <t>M5CC9</t>
  </si>
  <si>
    <t>WOS:001030382300001</t>
  </si>
  <si>
    <t>Batistao, AR; Audino, JA; Passos, FD</t>
  </si>
  <si>
    <t>Batistao, A. R.; Audino, J. A.; Passos, F. D.</t>
  </si>
  <si>
    <t>The protobranch Aequiyoldia eightsii (Jay, 1839) (Nuculanida: Sareptidae) reveals uncommon siphonal anatomy among bivalves</t>
  </si>
  <si>
    <t>JOURNAL OF MOLLUSCAN STUDIES</t>
  </si>
  <si>
    <t>FUNCTIONAL-MORPHOLOGY</t>
  </si>
  <si>
    <t>Siphons represent a remarkable example of evolutionary convergence in different bivalve lineages. In Protobranchia, the siphons, when present, are used exclusively to channel the water currents used for respiration, waste removal and gamete release. Their emergence is thought to be associated with the taxonomic and morphological diversification within the Nuculanida. While siphons have been extensively studied in other bivalve groups, particularly the Heterodonta, gaps remain in the knowledge of protobranch siphons, especially on their morphology, including the musculature and innervation, and their functioning. The few data on Protobranchia siphons are restricted to some Nuculanoidea, and information is still missing for other nuculanid lineages, such as the Sareptoidea. The present study provides a description of the siphonal morphology of Aequiyoldia eightsii, a sareptid bivalve. Histological data were obtained to investigate their organization and infer their functioning. All traits observed were compared with those of heterodont siphons. In A. eightsii, the siphons are fused with each other and distinguished by their reduced longitudinal musculature in bundles that do not form layers, by the presence of a blood lacunal system that fills most of the wall of the siphon and by the innervation that is likely diffuse. This suggests that the siphons are hydrostatic organs with a hydraulic mechanism whose expansion occurs when the lacunar system is filled with blood. Our results provide the first morphological and functional details of a protobranch siphon and thus contribute to knowledge on the comparative anatomy of Bivalvia.</t>
  </si>
  <si>
    <t>[Batistao, A. R.] Univ Estadual Campinas, Postgrad Program Anim Biol, Campinas, SP, Brazil; [Audino, J. A.] Univ Sao Paulo, Dept Zool, Sao Paulo, SP, Brazil; [Passos, F. D.] Univ Estadual Campinas, Dept Anim Biol, Campinas, SP, Brazil</t>
  </si>
  <si>
    <t>Universidade Estadual de Campinas; Universidade de Sao Paulo; Universidade Estadual de Campinas</t>
  </si>
  <si>
    <t>Batistao, AR (corresponding author), Univ Estadual Campinas, Postgrad Program Anim Biol, Campinas, SP, Brazil.</t>
  </si>
  <si>
    <t>alan.rodrigob@hotmail.com</t>
  </si>
  <si>
    <t>Fapesp, Biota/F-8655-2017; Batistão, Alan Rodrigo/AAE-3328-2021</t>
  </si>
  <si>
    <t>Fapesp, Biota/0000-0002-9887-8449; Audino, Jorge/0000-0002-9688-559X</t>
  </si>
  <si>
    <t>National Council for Scientific and Technological Development (CNPq); Brazilian Navy and Brazilian Air Force; Sao Paulo Research Foundation (FAPESP) [2018/10313-0, 2021/00994-2, 2022/12606-0]; Secretary of Inter-Ministerial Commission for Marine Resources (SECIRM); Fundacao de Amparo a Pesquisa do Estado de Sao Paulo; Conselho Nacional de Desenvolvimento Cientifico e Tecnologico</t>
  </si>
  <si>
    <t>National Council for Scientific and Technological Development (CNPq)(Conselho Nacional de Desenvolvimento Cientifico e Tecnologico (CNPQ)); Brazilian Navy and Brazilian Air Force; Sao Paulo Research Foundation (FAPESP)(Fundacao de Amparo a Pesquisa do Estado de Sao Paulo (FAPESP)); Secretary of Inter-Ministerial Commission for Marine Resources (SECIRM); Fundacao de Amparo a Pesquisa do Estado de Sao Paulo(Fundacao de Amparo a Pesquisa do Estado de Sao Paulo (FAPESP)); Conselho Nacional de Desenvolvimento Cientifico e Tecnologico(Conselho Nacional de Desenvolvimento Cientifico e Tecnologico (CNPQ))</t>
  </si>
  <si>
    <t>This study was carried out as part of the Brazilian Antarctic Program (PROANTAR), with financial and logistic support provided by the National Council for Scientific and Technological Development (CNPq), the Secretary of Inter-Ministerial Commission for Marine Resources (SECIRM) and the Brazilian Navy and Brazilian Air Force. The authors acknowledge the research grants provided by the Sao Paulo Research Foundation (FAPESP) to Antonia Cecilia Zacagnini Amaral (no. 2018/10313-0), A.R.B. (no. 2021/00994-2) and F.D.P. (no. 2022/12606-0). Additional funding was provided by the Fundacao de Amparo aPesquisa do Estado de Sao Paulo and Conselho Nacional de Desenvolvimento Cientifico e Tecnologico.</t>
  </si>
  <si>
    <t>0260-1230</t>
  </si>
  <si>
    <t>1464-3766</t>
  </si>
  <si>
    <t>J MOLLUS STUD</t>
  </si>
  <si>
    <t>J. Molluscan Stud.</t>
  </si>
  <si>
    <t>eyad014</t>
  </si>
  <si>
    <t>10.1093/mollus/eyad014</t>
  </si>
  <si>
    <t>M5LM0</t>
  </si>
  <si>
    <t>WOS:001030630500001</t>
  </si>
  <si>
    <t>Bai, JY; Li, XY</t>
  </si>
  <si>
    <t>Bai, Jiayu; Li, Xiaoyu</t>
  </si>
  <si>
    <t>How SCAR informs decision-making for Antarctic governance: Perspectives from SCAR submissions</t>
  </si>
  <si>
    <t>Scientific Committee on Antarctic Research; Antarctic governance; Antarctic treaty system; Non-governmental organization; oision-making</t>
  </si>
  <si>
    <t>SCIENCE; TREATY</t>
  </si>
  <si>
    <t>Science plays an increasingly important role in responding to the issues arising from natural threats and anthropogenic activities in the Antarctic region. As one of the most prominent scientific non-governmental or-ganizations (NGOs) in Antarctic governance, the Scientific Committee on Antarctic Research (SCAR) participates in the Antarctic Treaty System (ATS) as an observer, informing the process of decision-making. To research on how SCAR informs decision-making, the study conducts empirical analysis of SCAR papers and examines their submission, adoption, and how they inform the decision-making process of the ATS. Based on the empirical analysis of SCAR papers, the study finds that with deeper involvement of SCAR in Antarctic governance, the number of papers submitted by SCAR shows an upward tendency, and the types of papers display the diversity. The actors submitting joint papers together with SCAR become diversified, and the Antarctic Treaty Consultant Parties (ATCPs) are the most important among these actors. The number of adopted papers also increases, especially the number adopted as resolutions, which promotes the revision of relevant rules. SCAR's scientific functions in Antarctic governance are driven by the advancement of the ATS, the internal reform of SCAR, and supports from decision-makers. Given the limits of SCAR's scientific functions based on the theory of scien-ce-policy interface, the cooperation among SCAR, increasing numbers of ATCPs, and other actors may better respond to the emerging challenges in the Antarctic region.</t>
  </si>
  <si>
    <t>[Bai, Jiayu; Li, Xiaoyu] Nankai Univ, Law Sch, 38, TongYan Ra, Tianjin 300350, Peoples R China; [Bai, Jiayu] Nankai Univ, Tianjin, Peoples R China</t>
  </si>
  <si>
    <t>Nankai University; Nankai University</t>
  </si>
  <si>
    <t>Bai, JY (corresponding author), Nankai Univ, Tianjin, Peoples R China.</t>
  </si>
  <si>
    <t>gracefulgl@hotmail.com</t>
  </si>
  <si>
    <t>National Social Science Foundation of China [18VHQ001]</t>
  </si>
  <si>
    <t>National Social Science Foundation of China(National Office of Philosophy and Social Sciences)</t>
  </si>
  <si>
    <t>This research received funding from by the National Social Science Foundation of China [Grant No.18VHQ001] . And this study is a contribution to the IMBeR/FEC Continental Margins Working Group-Chinese Case Study.</t>
  </si>
  <si>
    <t>10.1016/j.marpol.2023.105757</t>
  </si>
  <si>
    <t>N0GJ1</t>
  </si>
  <si>
    <t>WOS:001033901200001</t>
  </si>
  <si>
    <t>Koch, F; Neutel, AM; Barnes, DKA; Tielbörger, K; Zarfl, C; Allhoff, KT</t>
  </si>
  <si>
    <t>Koch, Franziska; Neutel, Anje-Margriet; Barnes, David K. A.; Tielboerger, Katja; Zarfl, Christiane; Allhoff, Korinna T.</t>
  </si>
  <si>
    <t>Competitive hierarchies in bryozoan assemblages mitigate network instability by keeping short and long feedback loops weak</t>
  </si>
  <si>
    <t>COMMUNICATIONS BIOLOGY</t>
  </si>
  <si>
    <t>INTRANSITIVE COMPETITION; STABILITY; COMPLEXITY; EXCLUSION; COMMUNITY; COEXISTENCE; MECHANISMS; DIVERSITY; CYCLES; MATRIX</t>
  </si>
  <si>
    <t>Competitive hierarchies between species in bryozoan assemblages are shown to mitigate network instability by keeping short and long feedback loops weak. Competitive hierarchies in diverse ecological communities have long been thought to lead to instability and prevent coexistence. However, system stability has never been tested, and the relation between hierarchy and instability has never been explained in complex competition networks parameterised with data from direct observation. Here we test model stability of 30 multispecies bryozoan assemblages, using estimates of energy loss from observed interference competition to parameterise both the inter- and intraspecific interactions in the competition networks. We find that all competition networks are unstable. However, instability is mitigated considerably by asymmetries in the energy loss rates brought about by hierarchies of strong and weak competitors. This asymmetric organisation results in asymmetries in the interaction strengths, which reduces instability by keeping the weight of short (positive) and longer (positive and negative) feedback loops low. Our results support the idea that interference competition leads to instability and exclusion but demonstrate that this is not because of, but despite, competitive hierarchy.</t>
  </si>
  <si>
    <t>[Koch, Franziska; Tielboerger, Katja; Zarfl, Christiane; Allhoff, Korinna T.] Univ Tubingen, Tubingen, Germany; [Koch, Franziska; Allhoff, Korinna T.] Univ Hohenheim, Stuttgart, Germany; [Neutel, Anje-Margriet; Barnes, David K. A.] British Antarctic Survey, Cambridge, England; [Allhoff, Korinna T.] Univ Hohenheim, State Museum Nat Hist, KomBioTa Ctr Biodivers &amp; Integrat Taxon, Stuttgart, Germany</t>
  </si>
  <si>
    <t>Eberhard Karls University of Tubingen; University Hohenheim; UK Research &amp; Innovation (UKRI); Natural Environment Research Council (NERC); NERC British Antarctic Survey; University Hohenheim</t>
  </si>
  <si>
    <t>Koch, F; Allhoff, KT (corresponding author), Univ Tubingen, Tubingen, Germany.;Koch, F; Allhoff, KT (corresponding author), Univ Hohenheim, Stuttgart, Germany.;Allhoff, KT (corresponding author), Univ Hohenheim, State Museum Nat Hist, KomBioTa Ctr Biodivers &amp; Integrat Taxon, Stuttgart, Germany.</t>
  </si>
  <si>
    <t>franziska.koch@uni-hohenheim.de; korinna.allhoff@uni-hohenheim.de</t>
  </si>
  <si>
    <t>Koch, Franziska/HRB-7081-2023</t>
  </si>
  <si>
    <t>Koch, Franziska/0000-0003-3019-323X; Zarfl, Christiane/0000-0002-2044-1335; Allhoff, Korinna Theresa/0000-0003-0164-7618; Barnes, David/0000-0002-9076-7867</t>
  </si>
  <si>
    <t>Deutsche Forschungsgemeinschaft (DFG, German Research Foundation) [451967415 (AL 2563/1-1)]</t>
  </si>
  <si>
    <t>Deutsche Forschungsgemeinschaft (DFG, German Research Foundation)(German Research Foundation (DFG))</t>
  </si>
  <si>
    <t>We thank Jamie Oliver for assistance with graphics; Lloyd Peck and Peter de Ruiter for comments on the manuscript; Jeff Huisman, Richard Law, Nicolas Loeuille, Elisa Thebault, Thilo Gross, Barbara Drossel, Merav Seifan and Jon Pitchford for discussions and all in the Rothera Research Station diving team over the years. This project was funded by the Deutsche Forschungsgemeinschaft (DFG, German Research Foundation) under project number 451967415 (AL 2563/1-1) (F.K., K.T.A.).</t>
  </si>
  <si>
    <t>2399-3642</t>
  </si>
  <si>
    <t>COMMUN BIOL</t>
  </si>
  <si>
    <t>Commun. Biol.</t>
  </si>
  <si>
    <t>10.1038/s42003-023-05060-1</t>
  </si>
  <si>
    <t>Biology; Multidisciplinary Sciences</t>
  </si>
  <si>
    <t>Life Sciences &amp; Biomedicine - Other Topics; Science &amp; Technology - Other Topics</t>
  </si>
  <si>
    <t>L4MA0</t>
  </si>
  <si>
    <t>WOS:001023010300001</t>
  </si>
  <si>
    <t>Mosbeux, C; Padman, L; Klein, E; Bromirski, PD; Fricker, HA</t>
  </si>
  <si>
    <t>Mosbeux, Cyrille; Padman, Laurie; Klein, Emilie; Bromirski, Peter D.; Fricker, Helen A.</t>
  </si>
  <si>
    <t>Seasonal variability in Antarctic ice shelf velocities forced by sea surfaceheight variations</t>
  </si>
  <si>
    <t>MASS-LOSS; FIRN DENSIFICATION; TIDAL MODULATION; LEVEL RISE; ROSS SEA; SHEET; MODEL; OCEAN; FLOW; DYNAMICS</t>
  </si>
  <si>
    <t>Antarctica's ice shelves resist the flow of grounded ice towards the ocean through buttressing arising from their contact with ice rises, rumples, and lateral margins. Ice shelf thinning and retreat reduce buttressing, leading to increased delivery of mass to the ocean that adds to global sea level. Ice shelf response to large annual cycles in atmospheric and oceanic processes provides opportunities to study the dynamics of both ice shelves and the buttressed grounded ice. Here, we explore whether seasonal variability of sea surface height (SSH) can explain observed seasonal variability of ice velocity. We investigate this hypothesis using several time series of ice velocity from the Ross Ice Shelf (RIS), satellite-based estimates of SSH seaward of the RIS front, ocean models of SSH under and near RIS, and a viscous ice sheet model. The observed annual changes in RIS velocity are of the order of 1-10 m a(-1 )(roughly 1 % of mean flow). The ice sheet model, forced by the observed and modelled range of SSH of about 10 cm, reproduces the observed velocity changes when sufficiently large basal drag changes near the grounding line are parameterised. The model response is dominated by grounding line migration but with a significant contribution from SSH-induced tilt of the ice shelf. We expect that climate-driven changes in the seasonal cycles of winds and upper-ocean summer warming will modify the seasonal response of ice shelves to SSH and that nonlinear responses of the ice sheet will affect the longer trend in ice sheet response and its potential sea-level rise contribution.</t>
  </si>
  <si>
    <t>[Mosbeux, Cyrille; Bromirski, Peter D.; Fricker, Helen A.] Univ Calif San Diego, Scripps Inst Oceanog, Inst Geophys &amp; Planetary Phys, La Jolla, CA 92093 USA; [Mosbeux, Cyrille] Univ Grenoble Alpes, CNRS, IGE, Grenoble, France; [Padman, Laurie] Earth &amp; Space Res, Corvallis, OR USA; [Klein, Emilie] PSL Univ, Ecole normale Super, Lab Geol, CNRS UMR 8538, Paris, France</t>
  </si>
  <si>
    <t>University of California System; University of California San Diego; Scripps Institution of Oceanography; Centre National de la Recherche Scientifique (CNRS); Communaute Universite Grenoble Alpes; Universite Grenoble Alpes (UGA); Centre National de la Recherche Scientifique (CNRS); CNRS - National Institute for Earth Sciences &amp; Astronomy (INSU); Universite PSL; Ecole Normale Superieure (ENS)</t>
  </si>
  <si>
    <t>Mosbeux, C (corresponding author), Univ Calif San Diego, Scripps Inst Oceanog, Inst Geophys &amp; Planetary Phys, La Jolla, CA 92093 USA.;Mosbeux, C (corresponding author), Univ Grenoble Alpes, CNRS, IGE, Grenoble, France.</t>
  </si>
  <si>
    <t>cyrille.mosbeux@univ-grenoble-alpes.fr</t>
  </si>
  <si>
    <t>Klein, Emilie/JZW-5171-2024</t>
  </si>
  <si>
    <t>Fricker, Helen Amanda/0000-0002-0921-1432</t>
  </si>
  <si>
    <t>National Science Foundation (NSF); National Aeronautics and Space Administration (NASA) under NSF [EAR-0735156 (GZ19), EAR-1724794]</t>
  </si>
  <si>
    <t>National Science Foundation (NSF)(National Science Foundation (NSF)); National Aeronautics and Space Administration (NASA) under NSF(National Aeronautics &amp; Space Administration (NASA))</t>
  </si>
  <si>
    <t>The authors thank the editor, Jan De Rydt, as well as the two anonymous reviewers for their insightful and helpful comments. This research uses the data services provided by the UNAVCO facility with support from the National Science Foundation (NSF) and the National Aeronautics and Space Administration (NASA) under NSF cooperative agreement EAR-0735156 (GZ19) and EAR-1724794 (BATG). The authors thank Richard Ray and colleagues for providing LORG GNSS data and Scott Springer, Mike Dinniman, Kaitlin Naughten, Ole Ritcher, Pierre Mathiot, and Nicolas Jourdain for providing SSH fields from their ocean models. The authors also thank Till Wagner, Pierre Mathiot, and Nicolas Jourdain for their valuable comments and discussions on this paper.</t>
  </si>
  <si>
    <t>10.5194/tc-17-2585-2023</t>
  </si>
  <si>
    <t>L4GJ2</t>
  </si>
  <si>
    <t>WOS:001022855500001</t>
  </si>
  <si>
    <t>Glotov, SV; Hushtan, KV; Rizun, VB</t>
  </si>
  <si>
    <t>Glotov, Serhii, V; Hushtan, Kateryna, V; Rizun, Volodymyr B.</t>
  </si>
  <si>
    <t>Rove beetle collection (Coleoptera: Staphylinidae: Aleocharinae) in the State Museum of Natural History (Lviv, Ukraine)</t>
  </si>
  <si>
    <t>Coleoptera; Staphylinidae; Aleocharinae; State Museum of Natural History; Lviv; Ukraine</t>
  </si>
  <si>
    <t>PALEARCTIC REGION; REVISION; TAXONOMY</t>
  </si>
  <si>
    <t>The collection of rove beetles of the subfamily Aleocharinae, stored in the State Museum of Natural History of the National Academy of Sciences of Ukraine (Lviv), has been catalogued. The catalog contains information about 2313 specimens of the collection, which belong to 278 species in 91 genera and 17 tribes. The overwhelming majority of the representatives of the subfamily Aleocharinae represented in the collection were collected on the territory of Ukraine, as well as in the modern territories of Europe, Africa, and Asia. The obtained data will later on provide an opportunity to expand the understanding of the distribution of species-specifically for faunal research, as well as for biogeographic study.</t>
  </si>
  <si>
    <t>[Glotov, Serhii, V; Hushtan, Kateryna, V; Rizun, Volodymyr B.] Natl Acad Sci Ukraine, State Museum Nat Sci, Teatralna str,18, UA-79008 Lvov, Ukraine; [Glotov, Serhii, V] Minist Educ &amp; Sci Ukraine, State Inst Natl Antarctic Sci Ctr, 16 Taras Shevchenko Blvd, UA-01601 Kiev, Ukraine; [Hushtan, Kateryna, V] Lviv Natl Agrarian Univ, Ecol Coll, 167 Zamarstynivska st, UA-79068 Lvov, Ukraine</t>
  </si>
  <si>
    <t>National Academy of Sciences Ukraine; Ministry of Education &amp; Science of Ukraine; State Institution National Antarctic Scientific Center; Lviv National Environmental University</t>
  </si>
  <si>
    <t>Glotov, SV (corresponding author), Natl Acad Sci Ukraine, State Museum Nat Sci, Teatralna str,18, UA-79008 Lvov, Ukraine.;Glotov, SV (corresponding author), Minist Educ &amp; Sci Ukraine, State Inst Natl Antarctic Sci Ctr, 16 Taras Shevchenko Blvd, UA-01601 Kiev, Ukraine.</t>
  </si>
  <si>
    <t>sergijglotov@gmail.com; katrinantonyuk@gmail.com; rizunv@ukr.net</t>
  </si>
  <si>
    <t>Rizun, Volodymyr/C-4008-2016</t>
  </si>
  <si>
    <t>Rizun, Volodymyr/0000-0002-1675-032X; Hushtan, Kateryna/0000-0002-5235-3233</t>
  </si>
  <si>
    <t>JUL 3</t>
  </si>
  <si>
    <t>10.11646/zootaxa.5311.4.2</t>
  </si>
  <si>
    <t>N1AJ4</t>
  </si>
  <si>
    <t>WOS:001034421900001</t>
  </si>
  <si>
    <t>Paine, ER; Brewer, EA; Schmid, M; Diaz-Pulido, G; Boyd, PW; Hurd, CL</t>
  </si>
  <si>
    <t>Paine, Ellie R.; Brewer, Elizabeth A.; Schmid, Matthias; Diaz-Pulido, Guillermo; Boyd, Philip W.; Hurd, Catriona L.</t>
  </si>
  <si>
    <t>Strong seasonal patterns of DOC release by a temperate seaweed community: Implications for the coastal ocean carbon cycle</t>
  </si>
  <si>
    <t>carbon; carbon dioxide concentrating mechanism; cool temperate; dissolved organic carbon; nitrogen; season; seaweed; temperature</t>
  </si>
  <si>
    <t>DISSOLVED ORGANIC-CARBON; CO2 CONCENTRATING MECHANISMS; EXTRACELLULAR PRODUCTS; LAMINARIA-LONGICRURIS; INTERTIDAL SEAWEEDS; GROWTH; NITROGEN; ALGAE; MACROALGAE; MATTER</t>
  </si>
  <si>
    <t>Release of dissolved organic carbon (DOC) by seaweed underpins the microbial food web and is crucial for the coastal ocean carbon cycle. However, we know relatively little of seasonal DOC release patterns in temperate regions of the southern hemisphere. Strong seasonal changes in inorganic nitrogen availability, irradiance, and temperature regulate the growth of seaweeds on temperate reefs and influence DOC release. We seasonally surveyed and sampled seaweed at Coal Point, Tasmania, over 1 year. Dominant species with or without carbon dioxide (CO2) concentrating mechanisms (CCMs) were collected for laboratory experiments to determine seasonal rates of DOC release. During spring and summer, substantial DOC release (10.06-33.54 mu molC.gDW(-1).h(-)1) was observed for all species, between 3 and 27 times greater than during autumn and winter. Our results suggest that inorganic carbon (C-i) uptake strategy does not regulate DOC release. Seasonal patterns of DOC release were likely a result of photosynthetic overflow during periods of high gross photosynthesis indicated by variations in tissue C:N ratios. For each season, we calculated a reef-scale net DOC release for seaweed at Coal Point of 7.84-12.9 gC.m(-2).d(-1) in spring and summer, which was similar to 16 times greater than in autumn and winter (0.2-1.0 gC.m(-2).d(-1)). Phyllospora comosa, which dominated the biomass, contributed the most DOC to the coastal ocean, up to similar to 14 times more than Ecklonia radiata and the understory assemblage combined. Reef-scale DOC release was driven by seasonal changes in seaweed physiology rather than seaweed biomass.</t>
  </si>
  <si>
    <t>[Paine, Ellie R.; Schmid, Matthias; Boyd, Philip W.; Hurd, Catriona L.] Univ Tasmania, Inst Marine &amp; Antarctic Studies, Hobart, Tas 7001, Australia; [Brewer, Elizabeth A.] CSIRO Oceans &amp; Atmosphere, Hobart, Tas, Australia; [Schmid, Matthias] Trinity Coll Dublin, Dublin, Ireland; [Schmid, Matthias] Univ Galway, Sch Biol &amp; Chem Sci, Galway, Ireland; [Diaz-Pulido, Guillermo] Griffith Univ, Coastal Marine Res Ctr, Sch Environm &amp; Sci, Nathan Campus, Brisbane, Qld, Australia; [Diaz-Pulido, Guillermo] Griffith Univ, Australian Rivers Inst Coast &amp; Estuaries, Nathan Campus, Brisbane, Qld, Australia</t>
  </si>
  <si>
    <t>University of Tasmania; Commonwealth Scientific &amp; Industrial Research Organisation (CSIRO); Trinity College Dublin; Ollscoil na Gaillimhe-University of Galway; Griffith University; Griffith University</t>
  </si>
  <si>
    <t>Paine, ER (corresponding author), Univ Tasmania, Inst Marine &amp; Antarctic Studies, Hobart, Tas 7001, Australia.</t>
  </si>
  <si>
    <t>ellie.paine@utas.edu.au</t>
  </si>
  <si>
    <t>Boyd, Philip W/J-7624-2014; Brewer, Elizabeth A./HGE-6812-2022</t>
  </si>
  <si>
    <t>Diaz-Pulido, Guillermo/0000-0002-0901-3727; Paine, Ellie/0000-0003-2816-9521</t>
  </si>
  <si>
    <t>ARC Discovery [DP160103071, DP200101467]; ARC Laureate Fellowship [FL160100131]; Science Foundation Ireland [18/FR/6198]; European Commission Marie Sklodowska-Curie Actions Postdoctoral Fellowship [101066815]; Marie Curie Actions (MSCA) [101066815] Funding Source: Marie Curie Actions (MSCA); Australian Research Council [DP200101467] Funding Source: Australian Research Council</t>
  </si>
  <si>
    <t>ARC Discovery(Australian Research Council); ARC Laureate Fellowship(Australian Research Council); Science Foundation Ireland(Science Foundation Ireland); European Commission Marie Sklodowska-Curie Actions Postdoctoral Fellowship; Marie Curie Actions (MSCA)(Marie Curie Actions); Australian Research Council(Australian Research Council)</t>
  </si>
  <si>
    <t>ARC Discovery, Grant/Award Number: DP160103071 and DP200101467; ARC Laureate Fellowship, Grant/Award Number: FL160100131; Science Foundation Ireland grant, Grant/Award Number: 18/FR/6198; European Commission Marie Sklodowska-Curie Actions Postdoctoral Fellowship, Grant/Award Number: Project 101066815 - ASPIRE</t>
  </si>
  <si>
    <t>10.1111/jpy.13352</t>
  </si>
  <si>
    <t>FO8W9</t>
  </si>
  <si>
    <t>WOS:001022315300001</t>
  </si>
  <si>
    <t>Ward, TM; Wolfe, BW; Grammer, GL; Ivey, AR; King, E; Schiller, A; McDonald, KS; Dambacher, JM</t>
  </si>
  <si>
    <t>Ward, Tim M.; Wolfe, Barrett W.; Grammer, Gretchen L.; Ivey, Alex R.; King, Edward; Schiller, Andreas; McDonald, Karlie S.; Dambacher, Jeffrey M.</t>
  </si>
  <si>
    <t>Large sardine resource discovered off south-eastern Australia: Potential risks, challenges and benefits of establishing a new fishery</t>
  </si>
  <si>
    <t>Small pelagic fish; Forage fish; Daily egg production method; Spawning biomass; Egg production; Spawning area</t>
  </si>
  <si>
    <t>MACKEREL TRACHURUS-DECLIVIS; JACK MACKEREL; BASS STRAIT; SPAWNING BIOMASS; SAGAX; MANAGEMENT; MORTALITY; PATTERNS; ANCHOVY</t>
  </si>
  <si>
    <t>This paper documents the discovery of a large sardine (Sardinops sagax) resource off South-eastern Australia. We use information from three ichthyoplankton surveys for jack mackerel to apply the Daily Egg Production Method (DEPM) to the South-eastern sardine stock. Mean daily egg production was estimated from survey data. Spawning area was estimated from the surveys and using a habitat suitability model to predict presence/absence of eggs in unsurveyed areas. Spawning biomass was calculated using adult parameters from the adjacent Southern stock. The spawning biomass in the area surveyed was 262,564 t (95% CI 125,670-326-438 t). Habitat modelling using a conservative threshold suggested that the total spawning biomass was 346,388 t (95% CI 143,936-548,840 t). These results suggest this stock has the capacity to sustain an annual catch of several tens of thousands of tonnes, which is considerably larger than the recent catch of &lt; 2500 t. Our findings provide further evidence that opportunities exist to increase Australia's fisheries production. Risks and challenges associated with establishing a new large-scale sardine fishery, including bycatch and ecological impacts, and opposition from conservation groups and recreational fishers are discussed. We also outline the potential socio-economic and environmental benefits, including the use of marine protein and oil from a sustainable local source with low environmental impacts as an input to the AU$1.3B Tasmanian salmon aquaculture industry. We emphasize the need to adopt a precautionary approach to developing a new fishery and the critical importance of conducting comprehensive surveys to confirm our findings and inform ongoing management.</t>
  </si>
  <si>
    <t>[Ward, Tim M.; Wolfe, Barrett W.; Schiller, Andreas; McDonald, Karlie S.] Univ Tasmania, Inst Marine &amp; Antarctic Studies, Hobart, Australia; [Grammer, Gretchen L.; Ivey, Alex R.] South Australian Res &amp; Dev Inst, Adelaide, SA, Australia; [King, Edward; Schiller, Andreas] CSIRO Environm, Castray Esplanade, Hobart, Tas, Australia; [Dambacher, Jeffrey M.] CSIRO, Castray Esplanade, Hobart, Tas, Australia</t>
  </si>
  <si>
    <t>University of Tasmania; South Australian Research &amp; Development Institute (SARDI); Commonwealth Scientific &amp; Industrial Research Organisation (CSIRO); Commonwealth Scientific &amp; Industrial Research Organisation (CSIRO)</t>
  </si>
  <si>
    <t>Ward, TM (corresponding author), Univ Tasmania, Inst Marine &amp; Antarctic Studies, Hobart, Australia.</t>
  </si>
  <si>
    <t>timothy.ward@utas.edu.au</t>
  </si>
  <si>
    <t>WARD, Timothy Mark/KDN-7596-2024; Wolfe, Barrett William/W-3509-2019</t>
  </si>
  <si>
    <t>WARD, Timothy Mark/0000-0002-9003-2772; Wolfe, Barrett William/0000-0002-9406-0578</t>
  </si>
  <si>
    <t>Fisheries Research Development Corporation [2013/053]; Australian Fisheries Management Authority (AFMA) [RR2016/0803, RR2018/0810]; Tasmanian Department of Natural Resources and Environment through the Sustainable Marine Resources Collaborative Partnership Agreement</t>
  </si>
  <si>
    <t>Fisheries Research Development Corporation; Australian Fisheries Management Authority (AFMA); Tasmanian Department of Natural Resources and Environment through the Sustainable Marine Resources Collaborative Partnership Agreement</t>
  </si>
  <si>
    <t>Information on the distribution and abundance of sardine eggs were obtained during applications of the Daily Egg Production Method to Jack Mackerel (Trachurus declivis) funded by the Fisheries Research Development Corporation (FRDC Project Number 2013/053) on behalf of the Australian Government and the Australian Fisheries Management Authority (AFMA Project Numbers RR2016/0803, RR2018/0810). The South Australian Research and Development Institute (SARDI) is acknowledged for making the data from the three DEPM surveys available for use in this study. The Tasmanian Department of Natural Resources and Environment provided funding to support the integration of the datasets through the Sustainable Marine Resources Collaborative Partnership Agreement. Environmental data were sourced from Australia's Integrated Marine Observing System (IMOS) - IMOS is enabled by the National Collaborative Research Infrastructure Strategy (NCRIS). The SeaDAS software is supported by NASA Goddard Space Flight Center, Ocean Ecology Laboratory, Ocean Biology Processing Group. Production of the Bluelink ReANalysis is supported by the Bluelink project, a partnership between CSIRO, the Australian Bureau of Meteorology and the Australian Department of Defence.</t>
  </si>
  <si>
    <t>10.1016/j.marpol.2023.105739</t>
  </si>
  <si>
    <t>N4OR4</t>
  </si>
  <si>
    <t>WOS:001036829800001</t>
  </si>
  <si>
    <t>Li, WH; Lei, JT; Shum, CK; Li, F; Zhang, SK; Shu, CF; Chen, W</t>
  </si>
  <si>
    <t>Li, Wenhao; Lei, Jintao; Shum, C. K.; Li, Fei; Zhang, Shengkai; Shu, Chanfang; Chen, Wei</t>
  </si>
  <si>
    <t>Unraveling contributions of Greenland's seasonal and transient crustal deformation during the past two decades</t>
  </si>
  <si>
    <t>Greenland ice sheet; Transient signals; Surface mass balance; GPS; GRACE</t>
  </si>
  <si>
    <t>SHEET MASS-BALANCE; ICE-SHEET; JAKOBSHAVN ISBRAE; CLIMATE; MELT; DISPLACEMENTS; ACCELERATION; VARIABILITY; MODEL</t>
  </si>
  <si>
    <t>Contemporary research on Greenland surface mass balance (SMB) is largely focused on the characteristics of decadal or longer trends, periodic oscillations, and acceleration. However, the specific components of the SMB such as snowfall (SF), rainfall (RF) and runoff (RU), and their corresponding temporal and spatial variability remain poorly understood. Here, we explore the respective contributions of SF, RF, and RU to the seasonal and transient crustal deformations of Greenland during the past two decades using GPS network and satellite gravimetry (GRACE) datasets, and regional climate model output. Our study unraveled that the largest annual vertical displacement caused by precipitations is in southeastern Greenland, reaching 7.27 mm. The largest surface displacement caused by RU is in western Greenland, reaching 19.82 mm. Ice mass gain/loss in Greenland shows a clear correlation between latitude and temperature, with greater variations in the south compared to the north. The transient deformation signals in Greenland mainly manifested in terms of abrupt subsidence in 2010, followed by uplift in 2014. The 2014 uplift can mainly be attributable to the combined effect of SF, RF, and RU. The largest transient signal occurs in the southeast subregions, with peak-to-peak amplitude exceeding 10 mm. Transient crustal deformation is mainly caused by precipitation in southeastern Greenland, while the contribution of RU dominates most of the time and in most subregions. We find that even though RF is increasing due to an increasingly warmer climate, its effect on SMB is still negligible, when compared with SF and RU. In some subregions and some periods, SF could become the primary contributor to transient SMB variations in Greenland.</t>
  </si>
  <si>
    <t>[Li, Wenhao; Shu, Chanfang] Nanjing Tech Univ, Sch Geomat Sci &amp; Technol, Nanjing 211816, Peoples R China; [Li, Wenhao] State Key Lab Geoinformat Engn, Xian 710054, Peoples R China; [Lei, Jintao] Guangxi Univ, Sch Civil Engn &amp; Architecture, Nanning 530004, Peoples R China; [Shum, C. K.] Ohio State Univ, Sch Earth Sci, Div Geodet Sci, Columbus, OH 43210 USA; [Li, Fei; Zhang, Shengkai] Wuhan Univ, Chinese Antarctic Ctr Surveying &amp; Mapping, Wuhan 430079, Peoples R China; [Chen, Wei] Hubei Univ Arts &amp; Sci, Coll Resource Environm &amp; Tourism, Xiangyang 441053, Peoples R China</t>
  </si>
  <si>
    <t>Nanjing Tech University; Guangxi University; University System of Ohio; Ohio State University; Wuhan University; Hubei University of Arts &amp; Science</t>
  </si>
  <si>
    <t>Lei, JT (corresponding author), Guangxi Univ, Sch Civil Engn &amp; Architecture, Nanning 530004, Peoples R China.</t>
  </si>
  <si>
    <t>jintao.lei@gxu.edu.cn</t>
  </si>
  <si>
    <t>National Natural Science Foundation of China [42074006]; National Key Research and Development Program of China [2017YFA0603104]; State Key Program of the National Natural Science Foundation of China [41531069]</t>
  </si>
  <si>
    <t>This research was funded by the National Natural Science Foundation of China [42074006] , the National Key Research and Development Program of China [2017YFA0603104] , The State Key Program of the National Natural Science Foundation of China [41531069] .</t>
  </si>
  <si>
    <t>10.1016/j.rse.2023.113701</t>
  </si>
  <si>
    <t>N6AO4</t>
  </si>
  <si>
    <t>WOS:001037818700001</t>
  </si>
  <si>
    <t>Nicola, L; Notz, D; Winkelmann, R</t>
  </si>
  <si>
    <t>Nicola, Lena; Notz, Dirk; Winkelmann, Ricarda</t>
  </si>
  <si>
    <t>Revisiting temperature sensitivity: how does Antarctic precipitation change with temperature?</t>
  </si>
  <si>
    <t>SURFACE MASS-BALANCE; ICE-SHEET; CLIMATE-CHANGE; ACCUMULATION; GREENLAND; SNOWFALL; 20TH-CENTURY; SIMULATIONS; COMMITMENT; DEPENDENCE</t>
  </si>
  <si>
    <t>With progressing global warming, snowfall in Antarctica is expected to increase, which could counteract or even temporarily overcompensate increased ice-sheet mass losses caused by increased ice discharge and melting. For sea-level projections it is therefore vital to understand the processes determining snowfall changes in Antarctica. Here we revisit the relationship between Antarctic temperature changes and precipitation changes, identifying and explaining regional differences and deviations from the theoretical approach based on the Clausius-Clapeyron relationship. Analysing the latest estimates from global (CMIP6, Coupled Model Intercomparison Project Phase 6) and regional (RACMO2.3) model projections, we find an average increase of 5.5 % in annual precipitation over Antarctica per degree of warming, with a minimum sensitivity of 2 % K-1 near Siple Coast and a maximum sensitivity of &gt; 10 % K-1 at the East Antarctic plateau region. This large range can be explained by the prevailing climatic conditions, with local temperatures determining the Clausius-Clapeyron sensitivity that is counteracted in some regions by the prevalence of the coastal wind regime. We compare different approaches of deriving the sensitivity factor, which in some cases can lead to sensitivity changes of up to 7 percentage points for the same model. Importantly, local sensitivity factors are found to be strongly dependent on the warming level, suggesting that some ice-sheet models which base their precipitation estimates on parameterisations derived from these sensitivity factors might overestimate warming-induced snowfall changes, particularly in high-emission scenarios. This would have consequences for Antarctic sea-level projections for this century and beyond.</t>
  </si>
  <si>
    <t>[Nicola, Lena; Notz, Dirk] Univ Hamburg, Inst Oceanog, Ctr Earth Syst Res &amp; Sustainabil CEN, Hamburg, Germany; [Nicola, Lena; Winkelmann, Ricarda] Leibniz Assoc, Potsdam Inst Climate Impact Res P, POB 60 12 03, D-14412 Potsdam, Germany; [Nicola, Lena; Winkelmann, Ricarda] Univ Potsdam, Inst Phys &amp; Astron, Karl Liebknecht Str 24-25, D-14476 Potsdam, Germany</t>
  </si>
  <si>
    <t>University of Hamburg; Potsdam Institut fur Klimafolgenforschung; University of Potsdam</t>
  </si>
  <si>
    <t>Nicola, L (corresponding author), Univ Hamburg, Inst Oceanog, Ctr Earth Syst Res &amp; Sustainabil CEN, Hamburg, Germany.;Nicola, L; Winkelmann, R (corresponding author), Leibniz Assoc, Potsdam Inst Climate Impact Res P, POB 60 12 03, D-14412 Potsdam, Germany.;Nicola, L; Winkelmann, R (corresponding author), Univ Potsdam, Inst Phys &amp; Astron, Karl Liebknecht Str 24-25, D-14476 Potsdam, Germany.</t>
  </si>
  <si>
    <t>lena.nicola@pik-potsdam.de; ricarda.winkelmann@pik-potsdam.de</t>
  </si>
  <si>
    <t>Notz, Dirk/P-4428-2017</t>
  </si>
  <si>
    <t>Notz, Dirk/0000-0003-0365-5654; Nicola, Lena/0000-0002-1748-7420</t>
  </si>
  <si>
    <t>Deutsche Forschungs-gemeinschaft; Deutsche Forschungs-gemeinschaft [WI4556/3-1, WI4556/5-1]; Bundesministerium fuer Bildung, Wissenschaft und Forschung [01LP1925D]; Deutsche Forschungsgemeinschaft under Germany's Excellence Strategy [390683824]</t>
  </si>
  <si>
    <t>Deutsche Forschungs-gemeinschaft(German Research Foundation (DFG)); Deutsche Forschungs-gemeinschaft(German Research Foundation (DFG)); Bundesministerium fuer Bildung, Wissenschaft und Forschung(Federal Ministry of Education &amp; Research (BMBF)); Deutsche Forschungsgemeinschaft under Germany's Excellence Strategy(German Research Foundation (DFG))</t>
  </si>
  <si>
    <t>Financial support. This research has been supported by Horizon 2020 (grant nos. 820575 and 869304); the Deutsche Forschungs-gemeinschaft (grant nos. WI4556/3-1 and WI4556/5-1); and the Bundesministerium fuer Bildung, Wissenschaft und Forschung (grant no. 01LP1925D). Dirk Notz received funding from the Deutsche Forschungsgemeinschaft under Germany's Excellence Strategy (EXC 2037; CLICCS - Climate, Climatic Change, and Society; grant no. 390683824).</t>
  </si>
  <si>
    <t>10.5194/tc-17-2563-2023</t>
  </si>
  <si>
    <t>L3LU2</t>
  </si>
  <si>
    <t>WOS:001022315800001</t>
  </si>
  <si>
    <t>Pandey, M; Pant, NC; Arora, D; Ferraccioli, F; Gupta, R; Joshi, S</t>
  </si>
  <si>
    <t>Pandey, Mayuri; Pant, Naresh Chandra; Arora, Devsamridhi; Ferraccioli, Fausto; Gupta, Rashmi; Joshi, Sonalika</t>
  </si>
  <si>
    <t>Unravelling the complex sub-ice geology of the Wilkes Subglacial Basin region of East Antarctica from marine sediment provenance analyses</t>
  </si>
  <si>
    <t>Australo-Antarctica; heavy minerals; Tonian-Cryogenian; Wilkes Subglacial Basin</t>
  </si>
  <si>
    <t>NORTHERN VICTORIA LAND; VOLCANIC GROUP; SHEET; EVOLUTION; GARNET; PLIOCENE; BASEMENT; CONSTRAINTS; SUPERGROUP; INSIGHTS</t>
  </si>
  <si>
    <t>Deciphering the sub-ice geology in the Wilkes Subglacial Basin region is important for understanding solid earth-ice sheet evolution and for assessing geological ties between East Antarctica and formerly contiguous Australia. We analyse marine sediment samples derived from drill site U1359 of Integrated Oceanic Drilling Program Expedition 318. Our study reports for the first time that the inland sediment source area comprises a complex mafic igneous terrain and a metamorphosed Precambrian subglacial basement. Pyroxene geochemical analyses confirm the presence of tholeiitic to calc-alkaline basalts. The high-grade part of the subglacial terrain contains upper amphibolite to granulite facies rocks that are comparable to Archaean to Palaeoproterozoic rocks exposed in the Terre Adelie Craton and the formerly adjacent Gawler Craton in Australia. Chemical Th-U-total Pb isochron method (CHIME) ages extracted from a subhedral monazite grain associated with the low-grade biotite-muscovite schist rock fragment provide a unimodal age of 799 &amp; PLUSMN; 13 Ma. Rare occurrences of 800 Ma age in the Terre Adelie Craton and/or George V Coast provide evidence for the presence of at least one late Neoproterozoic magmato-metamorphic event in the interior of Wilkes Land. The affinity of the unexposed geological domains of Wilkes Land, East Antarctica, with their Australian counterparts is discussed in the context of the Rodinia supercontinent.</t>
  </si>
  <si>
    <t>[Pandey, Mayuri; Gupta, Rashmi] Banaras Hindu Univ, Varanasi, India; [Pant, Naresh Chandra] Univ Delhi, Dept Geol, Delhi, India; [Arora, Devsamridhi] Univ Allahabad, Natl Ctr Expt Mineral &amp; Petrol, Allahabad, India; [Ferraccioli, Fausto] Natl Inst Oceanog &amp; Appl Geophys OGS, Sgonico, TS, Italy; [Joshi, Sonalika] Geol Survey India, Jaipur, India</t>
  </si>
  <si>
    <t>Banaras Hindu University (BHU); University of Delhi; University of Allahabad; Istituto Nazionale di Oceanografia e di Geofisica Sperimentale; Geological Survey India</t>
  </si>
  <si>
    <t>Pant, NC (corresponding author), Univ Delhi, Dept Geol, Delhi, India.</t>
  </si>
  <si>
    <t>pantnc@gmail.com</t>
  </si>
  <si>
    <t>GUPTA, RASHMI/JED-8985-2023</t>
  </si>
  <si>
    <t>GUPTA, RASHMI/0000-0001-7911-8025; Pant, Naresh Chandra/0000-0002-3204-0563; Arora, Devsamridhi/0000-0003-1790-6960</t>
  </si>
  <si>
    <t>National Centre for Polar and Ocean Research (NCPOR), India</t>
  </si>
  <si>
    <t>The project is funded by National Centre for Polar and Ocean Research (NCPOR), India.</t>
  </si>
  <si>
    <t>JUN</t>
  </si>
  <si>
    <t>PII S0954102023000123</t>
  </si>
  <si>
    <t>10.1017/S0954102023000123</t>
  </si>
  <si>
    <t>O2II9</t>
  </si>
  <si>
    <t>WOS:001021332600001</t>
  </si>
  <si>
    <t>Minutoli, R; Bergamasco, A; Guglielmo, L; Swadling, KM; Bergamasco, A; Veneziano, F; Geraci, A; Granata, A</t>
  </si>
  <si>
    <t>Minutoli, Roberta; Bergamasco, Alessandro; Guglielmo, Letterio; Swadling, Kerrie M.; Bergamasco, Andrea; Veneziano, Francesca; Geraci, Andrea; Granata, Antonia</t>
  </si>
  <si>
    <t>Species diversity and spatial distribution of pelagic amphipods in Terra Nova Bay (Ross Sea, Southern Ocean)</t>
  </si>
  <si>
    <t>Indicator values; Sea ice; Community structure; Horizontal and vertical distribution; Hyperiella dilatata</t>
  </si>
  <si>
    <t>PLEURAGRAMMA-ANTARCTICUM PISCES; MCMURDO SOUND; FOOD-WEB; ICE; NOTOTHENIIDAE; EXTRAPOLATION; ZOOPLANKTON; RAREFACTION; ASSEMBLAGES; DIET</t>
  </si>
  <si>
    <t>A greater understanding of biodiversity and the roles of various species involved in Southern Ocean pelagic food webs is needed to predict and hypothesize about responses to future scenarios in relation to climate changes. The aim of this paper was to describe for the first time the composition, relative abundance, spatial distribution and relation with water masses of pelagic amphipods in Terra Nova Bay, Ross Sea, based on stratified sampling. Zooplankton was collected by BIONESS (Bedford Institute of Oceanography Net Environmental Sampling System), during the 1987-1988 Italian Antarctic R/V Polar Queen Expedition. A total of 1331 specimens of pelagic amphipods was counted and 17 species belonging to nine families were identified. Significantly relative higher abundances were related to Modified Circumpolar Deep Water (MCDW) in the upper layer than modified Ross Sea Shelf Water (RSSW) and High Salinity Shelf Water (HSSW). Hyperiella dilatata was the most abundant species (48% of relative abundance), followed by Pseudorchomene plebs (14%), Hyperia macrocephala (8%) and Hyperiella macronyx (6%). Hyperiella dilatata was distributed widely across the study area and showed a link with Antarctic Surface Waters (AASW) and MCDW. Hyperiella macronyx and Pseudorchomene rossi were also distributed widely though were much lower in abundance. Hyperia macrocephala were high in abundance though had a narrow distribution that was linked with AASW. The vertical distributions showed variable patterns for adult and juvenile specimens. This study represents a knowledge base against which to compare more recent studies to highlight any structural changes attributable to ongoing climate change in the Terra Nova Bay and Ross Sea ecosystems.</t>
  </si>
  <si>
    <t>[Minutoli, Roberta; Veneziano, Francesca; Geraci, Andrea; Granata, Antonia] Univ Messina, Dept Chem Biol Pharmaceut &amp; Environm Sci, I-98166 Messina, Italy; [Bergamasco, Alessandro; Bergamasco, Andrea] Inst Marine Sci, Natl Res Council CNR ISMAR, Sect Venice, I-30122 Venice, Italy; [Guglielmo, Letterio] Zool Stn Anton Dohrn, I-80121 Naples, Italy; [Swadling, Kerrie M.] Univ Tasmania, Australian Antarctic Program Partnership, Hobart 7001, Australia; [Swadling, Kerrie M.] Univ Tasmania, Inst Marine &amp; Antarctic Studies, Hobart 7001, Australia</t>
  </si>
  <si>
    <t>University of Messina; Consiglio Nazionale delle Ricerche (CNR); Istituto di Scienze Marine (ISMAR-CNR); Stazione Zoologica Anton Dohrn di Napoli; University of Tasmania; University of Tasmania</t>
  </si>
  <si>
    <t>Bergamasco, A (corresponding author), Inst Marine Sci, Natl Res Council CNR ISMAR, Sect Venice, I-30122 Venice, Italy.</t>
  </si>
  <si>
    <t>Bergamasco, Alessandro/ABB-5648-2021</t>
  </si>
  <si>
    <t>Bergamasco, Alessandro/0000-0003-3138-8418; GRANATA, Antonia/0000-0001-7016-6418</t>
  </si>
  <si>
    <t>10.1007/s00300-023-03166-0</t>
  </si>
  <si>
    <t>WOS:001018738200001</t>
  </si>
  <si>
    <t>McFarlane, A</t>
  </si>
  <si>
    <t>McFarlane, Anna</t>
  </si>
  <si>
    <t>Reproductive Loss in the Anthropocene: Paul McAuley's Austral</t>
  </si>
  <si>
    <t>SCIENCE-FICTION STUDIES</t>
  </si>
  <si>
    <t>The figure of the child is evocative of the deep time of human-as-species and has been read as a symbol of the future that forecloses political possibilities. Drawing on the work of Lee Edelman and Rebekah Sheldon, this paper argues that in the era of the climate crisis and the Anthropocene, the symbolism of reproductive loss is becoming increasingly significant, redolent as it is of futures cut short and time running out. This paper reads Paul McAuley's Austral, a text centered around the miscarriage of its main character, a woman gene-edited to survive in Antarctic conditions. While the miscarriage represents a story brought to a premature end, it also anchors the novel's narrative, which deals with the terraforming of Antarctica in conditions of global warming and the racialization of new forms of gene-edited life. The article considers the importance of reproductive loss as a metaphor for the climate crisis, while also engaging with the importance of representing and expressing experiences of reproductive loss that are often grieved in private.</t>
  </si>
  <si>
    <t>British Academy Postdoctoral Fellowship [pf170027]</t>
  </si>
  <si>
    <t>British Academy Postdoctoral Fellowship</t>
  </si>
  <si>
    <t>This research was supported by the British Academy Postdoctoral Fellowship Products of Conception: Pregnancy and Science Fiction, 1968-2015, pf170027.</t>
  </si>
  <si>
    <t>GREENCASTLE</t>
  </si>
  <si>
    <t>DEPAUW UNIV, DEPT ROMANCE LANGUAGES, GREENCASTLE, IN 46135-0037 USA</t>
  </si>
  <si>
    <t>0091-7729</t>
  </si>
  <si>
    <t>SCI-FICTION STUD</t>
  </si>
  <si>
    <t>Sci.-Fict. Stud.</t>
  </si>
  <si>
    <t>Literature</t>
  </si>
  <si>
    <t>MJ5O9</t>
  </si>
  <si>
    <t>WOS:001193269500005</t>
  </si>
  <si>
    <t>Ghirotto, A; Armadillo, E; Crispini, L; Zunino, A; Tontini, FC; Ferraccioli, F</t>
  </si>
  <si>
    <t>Ghirotto, Alessandro; Armadillo, Egidio; Crispini, Laura; Zunino, Andrea; Tontini, Fabio Caratori; Ferraccioli, Fausto</t>
  </si>
  <si>
    <t>The Sub-Ice Structure of Mt. Melbourne Volcanic Field (Northern Victoria Land, Antarctica) Uncovered by High-Resolution Aeromagnetic Data</t>
  </si>
  <si>
    <t>Aeromagnetics; exploration geophysics; inverse modeling; rock magnetism; Magnetostratigraphy; Antarctic volcanism</t>
  </si>
  <si>
    <t>ROSS SEA REGION; MOUNT MELBOURNE; EVOLUTION; STRATIGRAPHY; FRAMEWORK; PATTERNS; GEOLOGY</t>
  </si>
  <si>
    <t>The Mt. Melbourne Volcanic Field is a quiescent volcanic complex located in Northern Victoria Land, Antarctica, mostly covered by ice. Its inner structure has remained largely unknown, due to the paucity of outcrops and the lack of detailed multi-disciplinary investigations. Here we present a novel high-resolution aeromagnetic dataset, revealing strong long-wavelength negative anomalies superimposed by short-wavelength positive ones forming characteristic radial patterns. Automatic lineament detection, through the Hough transform technique applied to the tilt derivative of our magnetic dataset, shows prevailing NW-SE-to NNE-SSW-trending structural features, which combined with the few structural field observations contribute to define the deformation pattern. Pre-existing and novel magnetic property measurements, coupled with available geochronological data, are used to constrain a two-step 3D magnetic inversion. A layer-structured Oldenburg-Parker's inversion was utilized to model the deep and long-wavelength components of the magnetic field, whereas a linear inversion based on a set of shallower prisms was used to model the short-wavelength components. The final 3D model shows widespread reversely-polarized volcanics, which are locally intruded and superimposed, respectively by swarms of normally-polarized dikes and radial lava flows along paleo-valleys. These results support the onset of volcanic activity in the entire field at least in the Matuyama magnetic epoch, that is, between 2.58 and 0.78 Ma.</t>
  </si>
  <si>
    <t>[Ghirotto, Alessandro; Armadillo, Egidio; Crispini, Laura; Tontini, Fabio Caratori] Univ Genoa, DISTAV, Genoa, Italy; [Zunino, Andrea] Swiss Fed Inst Technol, Inst Geophys, Zurich, Switzerland; [Ferraccioli, Fausto] Ist Nazl Oceanog &amp; Geofis Sperimentale OGS, Sgonico, Italy; [Ferraccioli, Fausto] British Antarctic Survey, Cambridge, England</t>
  </si>
  <si>
    <t>University of Genoa; Swiss Federal Institutes of Technology Domain; ETH Zurich; Istituto Nazionale di Oceanografia e di Geofisica Sperimentale; UK Research &amp; Innovation (UKRI); Natural Environment Research Council (NERC); NERC British Antarctic Survey</t>
  </si>
  <si>
    <t>Ghirotto, A; Armadillo, E (corresponding author), Univ Genoa, DISTAV, Genoa, Italy.</t>
  </si>
  <si>
    <t>alessandro.ghirotto@edu.unige.it; egidio.armadillo@unige.it</t>
  </si>
  <si>
    <t>Tontini, Fabio Caratori/S-4025-2018; Crispini, Laura/N-1580-2019; Armadillo, Egidio/AAD-2877-2021</t>
  </si>
  <si>
    <t>Tontini, Fabio Caratori/0000-0002-2000-416X; Crispini, Laura/0000-0001-5770-8569; Armadillo, Egidio/0000-0003-0982-6629; Ghirotto, Alessandro/0000-0001-5696-2119; Zunino, Andrea/0000-0002-3415-162X</t>
  </si>
  <si>
    <t>project TIMM - Italian Antarctic research program (PNRA) [PNRA 2002/3.11]; project BOOST - Italian Antarctic research program (PNRA) [PNRA19_00051 A1]; University of Genova (Fondi di Ricerca di Ateneo - FRA 2020); Dipartimento di Scienze della Terra, dell'Ambiente e della Vita (DISTAV) of the University of Genova</t>
  </si>
  <si>
    <t>project TIMM - Italian Antarctic research program (PNRA); project BOOST - Italian Antarctic research program (PNRA); University of Genova (Fondi di Ricerca di Ateneo - FRA 2020); Dipartimento di Scienze della Terra, dell'Ambiente e della Vita (DISTAV) of the University of Genova</t>
  </si>
  <si>
    <t>This work was supported by the projects TIMM (PNRA - 2002/3.11) and BOOST (PNRA19_00051 - A1), funded by the Italian Antarctic research program (PNRA), and partially by the University of Genova (Fondi di Ricerca di Ateneo - FRA 2020). The authors gratefully thank Richard Blakely, Richard Saltus, Gerhard Woerner and an anonymous reviewer for the valuable comments and suggestions provided to improve this work. A.G. would like to acknowledge the Dipartimento di Scienze della Terra, dell'Ambiente e della Vita (DISTAV) of the University of Genova for the further financial and material support provided in the context of his PhD program.</t>
  </si>
  <si>
    <t>e2022JB025687</t>
  </si>
  <si>
    <t>10.1029/2022JB025687</t>
  </si>
  <si>
    <t>Q7ZA9</t>
  </si>
  <si>
    <t>WOS:001059657600001</t>
  </si>
  <si>
    <t>Cole, MR; Ware, C; Mchuron, EA; Costa, DP; Ponganis, PJ; McDonald, BI</t>
  </si>
  <si>
    <t>Cole, Mason R.; Ware, Colin; Mchuron, Elizabeth A.; Costa, Daniel P.; Ponganis, Paul J.; McDonald, Birgitte I.</t>
  </si>
  <si>
    <t>Deep dives and high tissue density increase mean dive costs in California sea lions (Zalophus californianus)</t>
  </si>
  <si>
    <t>JOURNAL OF EXPERIMENTAL BIOLOGY</t>
  </si>
  <si>
    <t>Body density; Otariid; Dive depth; Buoyancy; Biologging; Energy expenditure</t>
  </si>
  <si>
    <t>WING-PROPELLED DIVERS; DOUBLY LABELED WATER; ANTARCTIC FUR SEALS; BODY-COMPOSITION; DIVING BEHAVIOR; METABOLIC-RATE; FORAGING STRATEGIES; STROKE PATTERNS; OXYGEN STORES; ENERGY-COST</t>
  </si>
  <si>
    <t>Diving is central to the foraging strategies of many marine mammals and seabirds. Still, the effect of dive depth on foraging cost remains elusive because energy expenditure is difficult to measure at fine temporal scales in wild animals. We used depth and acceleration data from eight lactating California sea lions (Zalophus californianus) to model body density and investigate the effect of dive depth and tissue density on rates of energy expenditure. We calculated body density in 5 s intervals from the rate of gliding descent. We modeled body density across depth in each dive, revealing high tissue densities and diving lung volumes (DLVs). DLV increased with dive depth in four individuals. We used the buoyancy calculated from dive-specific body-density models and drag calculated from swim speed to estimate metabolic power and cost of transport in 5 s intervals during descents and ascents. Deeper dives required greater mean power for round-trip vertical transit, especially in individuals with higher tissue density. These trends likely follow from increased mean swim speed and buoyant hinderance that increasingly outweighs buoyant aid in deeper dives. This suggests that deep diving is either a 'high-cost, high-reward' strategy or an energetically expensive option to access prey when prey in shallow waters are limited, and that poor body condition may increase the energetic costs of deep diving. These results add to our mechanistic understanding of how foraging strategy and body condition affect energy expenditure in wild breath hold divers.</t>
  </si>
  <si>
    <t>[Cole, Mason R.; McDonald, Birgitte I.] San Jose State Univ, Moss Landing Marine Labs, 8272 Moss Landing Rd, Moss Landing, CA 95039 USA; [Ware, Colin] Univ New Hampshire, Ctr Coastal &amp; Ocean Mapping, Durham, NH 03824 USA; [Mchuron, Elizabeth A.] Univ Washington, Cooperat Inst Climate Ocean &amp; Ecosyst Studies, Seattle, WA 98105 USA; [Costa, Daniel P.] Univ Calif Santa Cruz, Dept Ecol &amp; Evolutionary Biol, Santa Cruz, CA 95064 USA; [Ponganis, Paul J.] Univ Calif San Diego, Scripps Inst Oceanog, Ctr Marine Biodivers &amp; Biomed, 8655 Kennel Way, La Jolla, CA 92037 USA</t>
  </si>
  <si>
    <t>Moss Landing Marine Laboratories; California State University System; San Jose State University; University System Of New Hampshire; University of New Hampshire; University of Washington; University of Washington Seattle; University of California System; University of California Santa Cruz; University of California System; University of California San Diego; Scripps Institution of Oceanography</t>
  </si>
  <si>
    <t>Cole, MR (corresponding author), San Jose State Univ, Moss Landing Marine Labs, 8272 Moss Landing Rd, Moss Landing, CA 95039 USA.</t>
  </si>
  <si>
    <t>masonrcole@gmail.com</t>
  </si>
  <si>
    <t>Carlos, Universidade Federal de São/W-8832-2019; Costa, Daniel Paul/E-2616-2013</t>
  </si>
  <si>
    <t>Carlos, Universidade Federal de São/0000-0002-0334-3899; McDonald, Birgitte/0000-0001-5028-066X; Cole, Mason/0000-0002-1041-6435; Ware, Colin/0000-0002-4616-5017; Costa, Daniel Paul/0000-0002-0233-5782</t>
  </si>
  <si>
    <t>Council on Ocean Affairs Science and Technology, California State University (COAST) Graduate Student Research Award [CSUCOAST-COLMAS-SJSU-AY1617]; H.T. Harvey Memorial Research Fellowship; MLML Scholar Award; San Jose State University (SJSU) Archimedes Scholarship; Earl H. and Ethel M. Myers Additional support Oceanographic and Marine Biology Trust; Office of Naval Research [N000141210633, N000141612852]; U.S. Department of Defense (DOD) [N000141612852] Funding Source: U.S. Department of Defense (DOD)</t>
  </si>
  <si>
    <t>Council on Ocean Affairs Science and Technology, California State University (COAST) Graduate Student Research Award; H.T. Harvey Memorial Research Fellowship; MLML Scholar Award; San Jose State University (SJSU) Archimedes Scholarship; Earl H. and Ethel M. Myers Additional support Oceanographic and Marine Biology Trust; Office of Naval Research(Office of Naval Research); U.S. Department of Defense (DOD)(United States Department of Defense)</t>
  </si>
  <si>
    <t>This research was supported by the Council on Ocean Affairs Science and Technology, California State University (COAST) Graduate Student Research Award (CSUCOAST-COLMAS-SJSU-AY1617 awarded to M.R.C.) , the H.T. Harvey Memorial Research Fellowship, the MLML Scholar Award, the San Jose State University (SJSU) Archimedes Scholarship, and the Earl H. and Ethel M. Myers Additional support Oceanographic and Marine Biology Trust (all awarded to M.R.C.) . Additional support was provided by the Office of Naval Research (award number N000141210633 awarded to P.J.P. and B.I.M., and N000141612852 awarded to B.I.M) .</t>
  </si>
  <si>
    <t>COMPANY BIOLOGISTS LTD</t>
  </si>
  <si>
    <t>BIDDER BUILDING, STATION RD, HISTON, CAMBRIDGE CB24 9LF, ENGLAND</t>
  </si>
  <si>
    <t>0022-0949</t>
  </si>
  <si>
    <t>1477-9145</t>
  </si>
  <si>
    <t>J EXP BIOL</t>
  </si>
  <si>
    <t>J. Exp. Biol.</t>
  </si>
  <si>
    <t>jeb246059</t>
  </si>
  <si>
    <t>10.1242/jeb.246059</t>
  </si>
  <si>
    <t>Z0OR0</t>
  </si>
  <si>
    <t>WOS:001109167500011</t>
  </si>
  <si>
    <t>Kurgansky, MV; Bezotecheskaya, EA</t>
  </si>
  <si>
    <t>Kurgansky, M. V.; Bezotecheskaya, E. A.</t>
  </si>
  <si>
    <t>On the Relationship of Cirrus Clouds and Upper Tropospheric Relative Humidity Fields with Symmetric Instability</t>
  </si>
  <si>
    <t>RUSSIAN METEOROLOGY AND HYDROLOGY</t>
  </si>
  <si>
    <t>cirrus clouds; relative humidity; jet streams; symmetric instability; vertical eddy viscosity</t>
  </si>
  <si>
    <t>INERTIAL INSTABILITY; POTENTIAL VORTICITY; TURBULENCE; STABILITY; MOMENTUM; HEAT</t>
  </si>
  <si>
    <t>The relationship of cirrus clouds and areas of increased relative humidity in the upper troposphere with symmetric instability developing on the subtropical (anticyclonic) side of jet streams are explored. Theoretical arguments are supplemented by case studies related to the Northern and Southern hemispheres. Using satellite images of cirrus clouds and reanalysis data, the values of the vertical eddy viscosity, which compensates for the inviscid growth of disturbances in case of symmetric instability, are estimated. At the levels of 250 and 200 hPa, a significant correlation between high relative humidity and potential vorticity characteristic of symmetric instability is confirmed.</t>
  </si>
  <si>
    <t>[Kurgansky, M. V.; Bezotecheskaya, E. A.] Russian Acad Sci, Obukhov Inst Atmospher Phys, Pyzhevskii Per 3, Moscow 119017, Russia; [Bezotecheskaya, E. A.] Arctic &amp; Antarctic Res Inst, Ul Beringa 38, St Petersburg 199397, Russia</t>
  </si>
  <si>
    <t>Russian Academy of Sciences; Obukhov Institute of Atmospheric Physics of Russian Academy of Sciences; Arctic &amp; Antarctic Research Institute</t>
  </si>
  <si>
    <t>Kurgansky, MV (corresponding author), Russian Acad Sci, Obukhov Inst Atmospher Phys, Pyzhevskii Per 3, Moscow 119017, Russia.</t>
  </si>
  <si>
    <t>kurgansk@ifaran.ru</t>
  </si>
  <si>
    <t>Kurgansky, Michael/AAT-3531-2021</t>
  </si>
  <si>
    <t>Russian Science Foundation [22-27-00039]</t>
  </si>
  <si>
    <t>The research was supported by the Russian Science Foundation (grant 22-27-00039).</t>
  </si>
  <si>
    <t>1068-3739</t>
  </si>
  <si>
    <t>1934-8096</t>
  </si>
  <si>
    <t>RUSS METEOROL HYDRO+</t>
  </si>
  <si>
    <t>Russ. Meteorol. Hydrol.</t>
  </si>
  <si>
    <t>10.3103/S1068373923070026</t>
  </si>
  <si>
    <t>Y0ZB2</t>
  </si>
  <si>
    <t>WOS:001102625900002</t>
  </si>
  <si>
    <t>Lopes, DD; de Oliveira, FS; Schaefer, CEGR</t>
  </si>
  <si>
    <t>Lopes, Davi do Vale; de Oliveira, Fabio Soares; Schaefer, Carlos Ernesto G. R.</t>
  </si>
  <si>
    <t>Soil-Geomorphic processes in periglacial environments: the patterned ground phenomenon in Maritime Antarctica</t>
  </si>
  <si>
    <t>REVISTA BRASILEIRA DE GEOMORFOLOGIA</t>
  </si>
  <si>
    <t>Portuguese</t>
  </si>
  <si>
    <t>Periglacial Geomorphology; cryoclasty; permafrost; cryoturbation; cryogenic weathering</t>
  </si>
  <si>
    <t>SOUTH SHETLAND ISLANDS; MARITIME ANTARCTICA; PENINSULA; CRYOSOLS; FEATURES; ORIGIN</t>
  </si>
  <si>
    <t>Patterned ground is a typical landform of periglacial environments. Physicochemical processes driven by freezing and thawing mechanisms are common of these environments. The present study aimed to analyze soil-landform relationships and processes associated with patterned ground on Snow Island, Maritime Antarctica. Field descriptions were carried out in three areas with PG occurrence. The soils were classified according to the U.S. Soil Taxonomy. Morphological, physical and chemical analyzes were performed. Physical processes such as cryoclasty and cryoturbation were identified. Marked differences were observed between the central zones and the edges of the circles of the patterned ground surfaces. Central zones show greater pedogenetic development and higher values of sum of bases (SB) and nutrients (K and P). The edges have twice as much coarse fraction (&gt; 2 mm), being more colonized by vegetation and subjected to organic matter illuviation (podzolization). This microscale variation of processes that have a dual character (pedogeomorphological) is relevant for a better understanding of Antarctic ecosystems, being of inestimable value for the study of the establishment of periglacial conditions and for monitoring possible alterations in the face of climate change scenarios.</t>
  </si>
  <si>
    <t>[Lopes, Davi do Vale] Univ Fed Rio Grande do Norte, Dept Geog, Caico, RN, Brazil; [de Oliveira, Fabio Soares] Univ Fed Minas Gerais, Dept Geog, Belo Horizonte, MG, Brazil; [Schaefer, Carlos Ernesto G. R.] Univ Fed Vicosa, Dept Solos, Vicosa, MG, Brazil</t>
  </si>
  <si>
    <t>Universidade Federal do Rio Grande do Norte; Universidade Federal de Minas Gerais; Universidade Federal de Vicosa</t>
  </si>
  <si>
    <t>Lopes, DD (corresponding author), Univ Fed Rio Grande do Norte, Dept Geog, Caico, RN, Brazil.</t>
  </si>
  <si>
    <t>davivlopes@hotmail.com; fabiosolos@gmail.com; carlos.schaefer@ufv.br</t>
  </si>
  <si>
    <t>UNIAO GEOMORFOLOGIA BRASILEIRA</t>
  </si>
  <si>
    <t>UBERLANDIA, BRAZIL</t>
  </si>
  <si>
    <t>UNIV FEDERAL UBERLANDIA, AV JOAO NAVES AVILA 2160, UBERLANDIA, BRAZIL, 00000, BRAZIL</t>
  </si>
  <si>
    <t>1519-1540</t>
  </si>
  <si>
    <t>2236-5664</t>
  </si>
  <si>
    <t>REV BRAS GEOMORFOL</t>
  </si>
  <si>
    <t>Rev. Bras. Geomorfol.</t>
  </si>
  <si>
    <t>JUL-SEP</t>
  </si>
  <si>
    <t>e2248</t>
  </si>
  <si>
    <t>10.20502/rbg.v24i3.2248</t>
  </si>
  <si>
    <t>Geography, Physical</t>
  </si>
  <si>
    <t>Physical Geography</t>
  </si>
  <si>
    <t>S6QZ4</t>
  </si>
  <si>
    <t>WOS:001072404300002</t>
  </si>
  <si>
    <t>Perondi, C; da Rosa, KK; Magrani, FJG; Petsch, C; Vieira, R; Neto, AA; Simoes, JC</t>
  </si>
  <si>
    <t>Perondi, Cleiva; da Rosa, Katia Kellem; Magrani, Fabio Jose Guedes; Petsch, Carina; Vieira, Rosemary; Neto, Arthur Ayres; Simoes, Jefferson Cardia</t>
  </si>
  <si>
    <t>Paleoglaciological reconstruction and geomorphological mapping of Dobrowolski Glacier, King George Island, Antarctica</t>
  </si>
  <si>
    <t>Climate change; Glacial extent; Glacier reconstruction; Ice-margin; Little Ice Age; Morainal banks</t>
  </si>
  <si>
    <t>SOUTH SHETLAND ISLANDS; ICE CAP; PENINSULA; GREENLAND; CLIMATE; DEGLACIATION; COMPILATION; LANDFORMS; MARGINS; RETREAT</t>
  </si>
  <si>
    <t>The paper aims to reconstruct the fluctuations of Dobrowolski Glacier, a tidewater glacier located in the inner position of the Admiralty Bay (King George Island, Antarctica), from the Little Ice Age (1400-1700) until the present. Measurements of the glacier's area and length were based on multitemporal satellite imagery and submarine glacial landforms. The glacier surface area variations between the Little Ice Age and 2014 A.D were estimated. Morainic banks and paleoglacial reconstructions provided evidence of fluctuations in the surface area of the glacier between PIG and 2014 AD. Therefore, four stages of analysis were established: Stage I (Part I) (1400 to 1700), Stage I (Part II) (1700 until the mid-20th century), Stage II (mid-20th century until the 1980s), Stage III (1980 to 2000), and Stage IV (2000 to 2020). The climate during the Little Ice Age triggered the last major glacial advance, and their grounding line position was recorded by an external and prominent morainic bank. After the major glacial advance position of the grounding line, the ice-margin has undergone higher retreat rates (stage I) as response to the warming trend and the loss of anchoring point. The stage II (Unit B) is recorded by distal and discontinuous morainal ridges and glacial lineations formed in the context of an active ice flow at a deeper point in the fjord. During stage III (Unit C) glacial lineations and steep slopes occur, while landforms are less preserved, revealing a fast shrinkage phase. Stage IV is characterized by discontinuous morainic ridges (Unit D), when the glacier presents the highest annual glacial area loss. Currently, the accelerated shrinkage may be linked to the loss of anchorage on seamounts (serving as pinning points) and increased warming. The U-shaped valley geometry has also influenced the glacier shrinkage processes and the redirection of glacial paleoflow during the last 300 years. The retreat rate to mid-20th century-2020 period is higher than Little Ice Age-mid -20th century period.</t>
  </si>
  <si>
    <t>[Perondi, Cleiva] Univ Fed Rio Grande Do Sul, Programa Posgrad Geog, Ctr Polar &amp; Climat, Inst Geociencias, Ave Bento Goncalves, 9500, BR-91501970 Porto Alegre, RS, Brazil; [da Rosa, Katia Kellem] Univ Fed Rio Grande Do Sul, Inst Geociencias, Ctr Polar &amp; Climat, Ave Bento Goncalves 9500, BR-90450090 Porto Alegre, RS, Brazil; [Magrani, Fabio Jose Guedes] Univ Bern, Oeschger Ctr Climate Change Res, Baltzerstr 13, CH-3012 Bern, Switzerland; [Magrani, Fabio Jose Guedes] Inst Geol, Baltzerstr 13, CH-3012 Bern, Switzerland; [Petsch, Carina] Univ Fed Santa Maria UFSM, Dept Geociencias, Ave Roraima, 1000, BR-97105900 Santa Maria, RS, Brazil; [Vieira, Rosemary] Univ Fed Fluminense, Inst Geociencias, Dept Geog, Av Gal Milton Tavares Souza, S N, BR-24210346 Niteroi, RJ, Brazil; [Neto, Arthur Ayres] Univ Fed Fluminense, Dept Geol &amp; Geofis, Ave Gal Milton Tavares de Souza S N, BR-24210346 Niteroi, RJ, Brazil; [Simoes, Jefferson Cardia] Univ Fed Rio Grande Do Sul, Inst Geociencias, Ctr Polar &amp; Climat, Ave Bento Goncalves 9500, BR-90450090 Porto Alegre, RS, Brazil; [Simoes, Jefferson Cardia] Univ Maine, Climate Change Inst, Orono, ME USA</t>
  </si>
  <si>
    <t>Universidade Federal do Rio Grande do Sul; Universidade Federal do Rio Grande do Sul; University of Bern; Universidade Federal de Santa Maria (UFSM); Universidade Federal Fluminense; Universidade Federal Fluminense; Universidade Federal do Rio Grande do Sul; University of Maine System; University of Maine Orono</t>
  </si>
  <si>
    <t>Perondi, C (corresponding author), Univ Fed Rio Grande Do Sul, Programa Posgrad Geog, Ctr Polar &amp; Climat, Inst Geociencias, Ave Bento Goncalves, 9500, BR-91501970 Porto Alegre, RS, Brazil.</t>
  </si>
  <si>
    <t>cleiva.perondi@ufrgs.br; katia.rosa@ufrgs.br; fabiomagrani@gmail.com; carina.petsch@ufsm.br; rosemaryvieira@id.uff; aayres@id.uff.br; jefferson.simoes@ufrgs.br</t>
  </si>
  <si>
    <t>Simoes, Jefferson Cardia/D-7232-2013</t>
  </si>
  <si>
    <t>Simoes, Jefferson Cardia/0000-0001-5555-3401; Petsch, Carina/0000-0002-1079-0080; Rosa, Katia Kellem da/0000-0003-0977-9658; Ayres Neto, Arthur/0000-0002-2982-245X; Vieira, Rosemary/0000-0003-0312-2890</t>
  </si>
  <si>
    <t>Conselho Nacional de Desenvolvimento Cientifico e Tecnologico (CNPq) [465680/2014-3]; Coordenacao de Aperfeicoamento de Pessoal de Nivel Superior (CAPES); Brazilian Antarctic Program (PROANTAR); Foundation of Research Support of the State of Rio Grande do Sul (FAPERGS)</t>
  </si>
  <si>
    <t>Conselho Nacional de Desenvolvimento Cientifico e Tecnologico (CNPq)(Conselho Nacional de Desenvolvimento Cientifico e Tecnologico (CNPQ)); Coordenacao de Aperfeicoamento de Pessoal de Nivel Superior (CAPES)(Coordenacao de Aperfeicoamento de Pessoal de Nivel Superior (CAPES)); Brazilian Antarctic Program (PROANTAR); Foundation of Research Support of the State of Rio Grande do Sul (FAPERGS)(Fundacao de Amparo a Ciencia e Tecnologia do Estado do Rio Grande do Sul (FAPERGS))</t>
  </si>
  <si>
    <t>We acknowledge the Conselho Nacional de Desenvolvimento Cientifico e Tecnologico (CNPq) Project 465680/2014-3 (INCT da Criosfera) , Coordenacao de Aperfeicoamento de Pessoal de Nivel Superior (CAPES) , Brazilian Antarctic Program (PROANTAR) , Foundation of Research Support of the State of Rio Grande do Sul (FAPERGS) for financial support, and Postgraduate Program in Geography of the UFRGS.</t>
  </si>
  <si>
    <t>e2425</t>
  </si>
  <si>
    <t>10.20502/rbg.v24i3.2425</t>
  </si>
  <si>
    <t>S6MZ3</t>
  </si>
  <si>
    <t>WOS:001072296600001</t>
  </si>
  <si>
    <t>Teoh, CP; Lavin, P; González-Aravena, M; Wong, C</t>
  </si>
  <si>
    <t>Teoh, C. P.; Lavin, P.; Gonzalez-Aravena, M.; Wong, C. M. V. L.</t>
  </si>
  <si>
    <t>Genomic Analysis of a Novel Antarctic Bacterium, Cryobacterium sp. SO2 Provides Insights into its Genomic Potential for Production of Antimicrobial Compounds</t>
  </si>
  <si>
    <t>SAINS MALAYSIANA</t>
  </si>
  <si>
    <t>Complete genome; Cryobacterium sp.; drug-resistant; psychrotolerant; secondary metabolite gene cluster</t>
  </si>
  <si>
    <t>PSYCHROTOLERANT BACTERIUM; MARINE ACTINOBACTERIA; GENE CLUSTERS; PAN-GENOME; SP-NOV; STREPTOMYCES; ANNOTATION; IDENTIFICATION; ACTINOMYCETE; CAROTENOIDS</t>
  </si>
  <si>
    <t>A novel strain of Cryobacterium designated as SO2, was isolated from the Antarctic. Hence, this study was undertaken to gain further insight into the antimicrobial compounds and secondary metabolites produced by Cryobacterium sp. SO2. It was found that strain SO2 is a Gram-positive that exhibits an irregular rod shape, which formed yellow to orange pigmented colonies on semi-solid media. Strain SO2 grows at temperatures ranging from 4 to 25 degrees C. It has a complete genomic size of 4.097 Mb. SO2 has a DNA G+C content of 68.43%, and genomic annotation showed that the genome contained 3,862 CDS, 10 rRNA, 55 tRNA and 1 tm-RNA. Phylogenetic and OrthoANI analysis suggested Cryobacterium sp. strains SO1, N22, TMB1-8, LW097, TMN39-1, C. zongtaii TMN-42, C. arcticum PAMC27867 and C. soli GCJ02 as its closest phylogenetic neighbour. Genome annotation shows that strain SO2 confers beta-lactamase class A, cephalosporin-C deacetylases, and 27 drug-resistance or efflux coding genes, and allows resistance to ceftazidime. Functional annotation identifies 28.74% of predicted genes are of unknown functions. Genome mining indicates that there are six putative secondary metabolite gene clusters in strain SO2. They are made up of RRE-containing, terpene, beta-lactone, T3PKS, NAPAA, and 2dos. This finding shows strain SO2 harbours genes that may be involved in the production of compounds with antibacterial and antioxidant activities.</t>
  </si>
  <si>
    <t>[Teoh, C. P.; Wong, C. M. V. L.] Univ Malaysia Sabah, Biotechnol Res Inst, Kota Kinabalu 88400, Sabah, Malaysia; [Lavin, P.] Univ Antofagasta, Fac Ciencias Mar &amp; Recursos Biol, Dept Biotecnol, 601 Ave Angamos, Antofagasta 1270300, Chile; [Gonzalez-Aravena, M.] Inst Antartico Chileno, Plaza Munoz Gamero 1055, Punta Arenas, Chile</t>
  </si>
  <si>
    <t>Universiti Malaysia Sabah; Universidad de Antofagasta</t>
  </si>
  <si>
    <t>Wong, C (corresponding author), Univ Malaysia Sabah, Biotechnol Res Inst, Kota Kinabalu 88400, Sabah, Malaysia.</t>
  </si>
  <si>
    <t>michaelw@ums.edu.my</t>
  </si>
  <si>
    <t>Teoh, Chui Peng/AAM-9640-2021</t>
  </si>
  <si>
    <t>Teoh, Chui Peng/0000-0003-1261-4600</t>
  </si>
  <si>
    <t>Ministry of Science, Technology, and Innovation (MOSTI) , Malaysia [1: FP1213E036]</t>
  </si>
  <si>
    <t>Ministry of Science, Technology, and Innovation (MOSTI) , Malaysia(Ministry of Energy, Science, Technology, Environment and Climate Change (MESTECC), Malaysia)</t>
  </si>
  <si>
    <t>The funding support from the Ministry of Science, Technology, and Innovation (MOSTI) , Malaysia, under the Antarctica Flagship Programme (Sub-Project 1: FP1213E036) is gratefully acknowledged.</t>
  </si>
  <si>
    <t>UNIV KEBANGSAAN MALAYSIA, FAC SCIENCE &amp; TECHNOLOGY</t>
  </si>
  <si>
    <t>BANGI</t>
  </si>
  <si>
    <t>-, BANGI, SELANGOR 43600, MALAYSIA</t>
  </si>
  <si>
    <t>0126-6039</t>
  </si>
  <si>
    <t>SAINS MALAYS</t>
  </si>
  <si>
    <t>Sains Malays.</t>
  </si>
  <si>
    <t>10.17576/jsm-2023-5207-05</t>
  </si>
  <si>
    <t>T4AC3</t>
  </si>
  <si>
    <t>WOS:001077420200004</t>
  </si>
  <si>
    <t>Vitale, GA; January, GG; Oppong-Danquah, E; Della Sala, G; Palma Esposito, F; Tasdemir, D; de Pascale, D</t>
  </si>
  <si>
    <t>Vitale, Giovanni A.; January, Grant G.; Oppong-Danquah, Ernest; Della Sala, Gerardo; Palma Esposito, Fortunato; Tasdemir, Deniz; de Pascale, Donatella</t>
  </si>
  <si>
    <t>A metabologenomics approach to unlock the metabolome of the novel Antarctic deep-sea isolate Lacinutrix shetlandiensis sp. nov. WUR7</t>
  </si>
  <si>
    <t>PNAS NEXUS</t>
  </si>
  <si>
    <t>deep sea; Lacinutrix; OMICs; OSMAC; alkaloids</t>
  </si>
  <si>
    <t>INDOLE ALKALOIDS; DISCOVERY; GENOME; GENERA</t>
  </si>
  <si>
    <t>The South Shetland Trough, Antarctica, is an underexplored region for microbiological and biotechnological exploitation. Herein, we describe the isolation and characterization of the novel bacterium Lacinutrix shetlandiensis sp. nov. WUR7 from a deep-sea environment. We explored its chemical diversity via a metabologenomics approach, wherein the OSMAC strategy was strategically employed to upregulate cryptic genes for secondary metabolite production. Based on hybrid de novo whole genome sequencing and digital DNA-DNA hybridization, isolate WUR7 was identified as a novel species from the Gram-negative genus Lacinutrix. Its genome was mined for the presence of biosynthetic gene clusters with limited results. However, extensive investigation of its metabolism uncovered an unusual tryptophan decarboxylase with high sequence homology and conserved structure of the active site as compared to ZP_02040762, a highly specific tryptophan decarboxylase from Ruminococcus gnavus. Therefore, WUR7's metabolism was directed toward indole-based alkaloid biosynthesis by feeding it with L-tryptophan. As expected, its metabolome profile changed dramatically, by triggering the extracellular accumulation of a massive array of metabolites unexpressed in the absence of tryptophan. Untargeted LC-MS/MS coupled with molecular networking, followed along with chemoinformatic dereplication, allowed for the annotation of 10 indole alkaloids, belonging to beta-carboline, bisindole, and monoindole classes, alongside several unknown alkaloids. These findings guided us to the isolation of a new natural bisindole alkaloid 8,9-dihydrocoscinamide B (1), as the first alkaloid from the genus Lacinutrix, whose structure was elucidated on the basis of extensive 1D and 2D NMR and HR-ESIMS experiments. This comprehensive strategy allowed us to unlock the previously unexploited metabolome of L. shetlandiensis sp. nov. WUR7.</t>
  </si>
  <si>
    <t>[Vitale, Giovanni A.] Univ Tubingen, Interfac Inst Microbiol &amp; Med, CMFI Cluster Excellence, D-72076 Tubingen, Germany; [Vitale, Giovanni A.; Della Sala, Gerardo; Palma Esposito, Fortunato; de Pascale, Donatella] Stn Zool Anton Dohrn, Dept Ecosustainable Marine Biotechnol, Giardini Molosiglio,Via F Acton 55, I-80133 Naples, Italy; [Vitale, Giovanni A.; January, Grant G.; Palma Esposito, Fortunato; de Pascale, Donatella] CNR, Inst Biochem &amp; Cell Biol IBBC, Via Pietro Castellino 111, I-80131 Naples, Italy; [January, Grant G.] Univ Plymouth, Sch Biomed Sci, Fac Hlth, Derriford Res Facil, 14 Res Way, Plymouth PL6 8BU, Devon, England; [Oppong-Danquah, Ernest; Tasdemir, Deniz] GEOMAR Helmholtz Ctr Ocean Res Kiel, Res Unit Marine Nat Prod Chem, GEOMAR Ctr Marine Biotechnol GEOMAR Biotech, Am Kiel Kanal 44, D-24106 Kiel, Germany; [Tasdemir, Deniz] Univ Kiel, Christian Albrechts Pl 4, D-24118 Kiel, Germany</t>
  </si>
  <si>
    <t>Eberhard Karls University of Tubingen; Stazione Zoologica Anton Dohrn di Napoli; Consiglio Nazionale delle Ricerche (CNR); Istituto di Biochimica e Biologia Cellulare (IBBC-CNR); University of Plymouth; Helmholtz Association; GEOMAR Helmholtz Center for Ocean Research Kiel; University of Kiel</t>
  </si>
  <si>
    <t>Della Sala, G; de Pascale, D (corresponding author), Stn Zool Anton Dohrn, Dept Ecosustainable Marine Biotechnol, Giardini Molosiglio,Via F Acton 55, I-80133 Naples, Italy.;de Pascale, D (corresponding author), CNR, Inst Biochem &amp; Cell Biol IBBC, Via Pietro Castellino 111, I-80131 Naples, Italy.</t>
  </si>
  <si>
    <t>gerardo.dellasala@szn.it; donatella.depascale@szn.it</t>
  </si>
  <si>
    <t>January, Grant Garren/GRP-9984-2022; Della Sala, Gerardo/K-1805-2018</t>
  </si>
  <si>
    <t>January, Grant Garren/0000-0002-6569-7596; Della Sala, Gerardo/0000-0001-8957-3259; Tasdemir, Deniz/0000-0002-7841-6271; Oppong-Danquah, Ernest/0000-0003-3567-4067; Vitale, Giovanni Andrea/0000-0002-7143-6317; Palma Esposito, Fortunato/0000-0002-3768-4712; de Pascale, Donatella/0000-0002-6732-0901</t>
  </si>
  <si>
    <t>European Commission [GA721421]</t>
  </si>
  <si>
    <t>European Commission(European Union (EU)European Commission Joint Research Centre)</t>
  </si>
  <si>
    <t>This research was funded by the MarPipe project: Improving the flow in the pipeline of the next generation of marine biodiscovery scientists, funded through the European Commission H2020-MSCA-ITN-ETN scheme, GA721421.</t>
  </si>
  <si>
    <t>2752-6542</t>
  </si>
  <si>
    <t>PNAS Nexus</t>
  </si>
  <si>
    <t>pgad221</t>
  </si>
  <si>
    <t>10.1093/pnasnexus/pgad221</t>
  </si>
  <si>
    <t>Multidisciplinary Sciences; Social Sciences, Interdisciplinary</t>
  </si>
  <si>
    <t>Science &amp; Technology - Other Topics; Social Sciences - Other Topics</t>
  </si>
  <si>
    <t>R3HS3</t>
  </si>
  <si>
    <t>WOS:001063301500020</t>
  </si>
  <si>
    <t>Pessi, IS; Popin, RV; Durieu, B; Lara, Y; Tytgat, B; Savaglia, V; Roncero-Ramos, B; Hultman, J; Verleyen, E; Vyverman, W; Wilmotte, A</t>
  </si>
  <si>
    <t>Pessi, Igor S.; Popin, Rafael V.; Durieu, Benoit; Lara, Yannick; Tytgat, Bjorn; Savaglia, Valentina; Roncero-Ramos, Beatriz; Hultman, Jenni; Verleyen, Elie; Vyverman, Wim; Wilmotte, Annick</t>
  </si>
  <si>
    <t>Novel diversity of polar Cyanobacteria revealed by genome-resolved metagenomics</t>
  </si>
  <si>
    <t>MICROBIAL GENOMICS</t>
  </si>
  <si>
    <t>Cyanobacteria; metagenomics; microbial mats; polar regions</t>
  </si>
  <si>
    <t>16S RIBOSOMAL-RNA; MICROBIAL MATS; GLOEOBACTER-VIOLACEUS; PHYLOGENETIC-RELATIONSHIPS; TAXONOMIC CLASSIFICATION; STRESS GENES; ANTARCTICA; ALIGNMENT; OSCILLATORIALES; BIOGEOGRAPHY</t>
  </si>
  <si>
    <t>Benthic microbial mats dominated by Cyanobacteria are important features of polar lakes. Although culture- independent studies have provided important insights into the diversity of polar Cyanobacteria, only a handful of genomes have been sequenced to date. Here, we applied a genome- resolved metagenomics approach to data obtained from Arctic, sub- Antarctic and Antarctic microbial mats. We recovered 37 metagenome- assembled genomes (MAGs) of Cyanobacteria representing 17 distinct species, most of which are only distantly related to genomes that have been sequenced so far. These include (i) lineages that are common in polar microbial mats such as the filamentous taxa Pseudanabaena, Leptolyngbya, Microcoleus/Tychonema and Phormidium; (ii) the less common taxa Crinalium and Chamaesiphon; (iii) an enigmatic Chroococcales lineage only distantly related to Microcystis; and (iv) an early branching lineage in the order Gloeobacterales that is distributed across the cold biosphere, for which we propose the name Candidatus Sivonenia alaskensis. Our results show that genome- resolved metagenomics is a powerful tool for expanding our understanding of the diversity of Cyanobacteria, especially in understudied remote and extreme environments.</t>
  </si>
  <si>
    <t>[Pessi, Igor S.; Popin, Rafael V.; Hultman, Jenni] Univ Helsinki, Dept Microbiol, Helsinki, Finland; [Pessi, Igor S.; Hultman, Jenni] Helsinki Inst Sustainabil Sci HELSUS, Helsinki, Finland; [Durieu, Benoit; Savaglia, Valentina; Roncero-Ramos, Beatriz; Wilmotte, Annick] Univ Liege, InBioS Ctr Prot Engn, Liege, Belgium; [Lara, Yannick] Univ Liege, Early Life Traces &amp; Evolut Astrobiol, UR Astrobiol, Liege, Belgium; [Tytgat, Bjorn; Savaglia, Valentina; Verleyen, Elie; Vyverman, Wim] Univ Ghent, Lab Protistol &amp; Aquat Ecol, Ghent, Belgium; [Roncero-Ramos, Beatriz] Univ Seville, Dept Plant Biol &amp; Ecol, Seville, Spain; [Hultman, Jenni] Nat Resources Inst Finland LUKE, Helsinki, Finland</t>
  </si>
  <si>
    <t>University of Helsinki; Finland National Institute for Health &amp; Welfare; University of Liege; University of Liege; Ghent University; University of Sevilla; Natural Resources Institute Finland (Luke)</t>
  </si>
  <si>
    <t>Pessi, IS (corresponding author), Univ Helsinki, Dept Microbiol, Helsinki, Finland.;Pessi, IS (corresponding author), Helsinki Inst Sustainabil Sci HELSUS, Helsinki, Finland.</t>
  </si>
  <si>
    <t>igor.pessi@helsinki.fi</t>
  </si>
  <si>
    <t>Roncero-Ramos, Beatriz/J-3514-2018; Hultman, Jenni/K-1990-2015</t>
  </si>
  <si>
    <t>Roncero-Ramos, Beatriz/0000-0002-7253-8374; Savaglia, Valentina/0000-0002-8524-7795; Lara, Yannick/0000-0002-4444-0767; Vyverman, Wim/0000-0003-0850-2569; Popin, Rafael/0000-0003-0427-0326; Hultman, Jenni/0000-0002-3431-1785; Pessi, Igor/0000-0001-5926-7496</t>
  </si>
  <si>
    <t>Belgian Federal Science Policy Office (BELSPO) [AMBIO - SD/BA/01A, CCAMBIO - SD/BA/03A, PORTAL - B2/212/P1/PORTAL]; Belgian National Fund for Scientific Research (FRS-FNRS) [2.4570.09, CR.CH.10-11-1.5139.11]; Academy of Finland [1314114]; Doctoral Programme in Microbiology and Biotechnology (University of Helsinki); FRS-FNRS; Junta de Andalucia [PAIDI-DOCTOR 21_00571]; Helsinki University Library; EU-Interact project MiBiPol; Special Funds for Research (University of Liege); IPD-STEMA Programme</t>
  </si>
  <si>
    <t>Belgian Federal Science Policy Office (BELSPO)(Belgian Federal Science Policy Office); Belgian National Fund for Scientific Research (FRS-FNRS)(Fonds de la Recherche Scientifique - FNRS); Academy of Finland(Research Council of Finland); Doctoral Programme in Microbiology and Biotechnology (University of Helsinki); FRS-FNRS(Fonds de la Recherche Scientifique - FNRS); Junta de Andalucia(Junta de Andalucia); Helsinki University Library; EU-Interact project MiBiPol; Special Funds for Research (University of Liege); IPD-STEMA Programme</t>
  </si>
  <si>
    <t>&amp; nbsp;This work was supported by the Belgian Federal Science Policy Office (BELSPO) (projects AMBIO - SD/BA/01A, CCAMBIO - SD/BA/03A and PORTAL - B2/212/P1/PORTAL) , the Belgian National Fund for Scientific Research (FRS-FNRS) (grants 2.4570.09 and CR.CH.10-11-1.5139.11) , and the EU-Interact project MiBiPol. I.S.P. and J.H. were supported by the Academy of Finland grant 1314114, R.V.P. by the Doctoral Programme in Microbiology and Biotechnology (University of Helsinki) , B.D. and V.S. by the FRS-FNRS, B.R.R. by the Special Funds for Research (University of Liege) , the IPD-STEMA Programme, and the Junta de Andalucia (PAIDI-DOCTOR 21_00571) , and A.W. is Senior Research Associate of the FRS-FNRS. Open access was funded by the Helsinki University Library.</t>
  </si>
  <si>
    <t>MICROBIOLOGY SOC</t>
  </si>
  <si>
    <t>14-16 MEREDITH ST, LONDON, ENGLAND</t>
  </si>
  <si>
    <t>2057-5858</t>
  </si>
  <si>
    <t>MICROB GENOMICS</t>
  </si>
  <si>
    <t>Microb. Genomics</t>
  </si>
  <si>
    <t>10.1099/mgen.0.001056</t>
  </si>
  <si>
    <t>Genetics &amp; Heredity; Microbiology</t>
  </si>
  <si>
    <t>N4WA8</t>
  </si>
  <si>
    <t>WOS:001037022200008</t>
  </si>
  <si>
    <t>Rosas, MR; Segovia, RA; Guerrero, PC</t>
  </si>
  <si>
    <t>Rosas, Marcelo R.; Segovia, Ricardo A.; Guerrero, Pablo C.</t>
  </si>
  <si>
    <t>Climatic Niche Dynamics of the Astereae Lineage and Haplopappus Species Distribution following Amphitropical Long-Distance Dispersal</t>
  </si>
  <si>
    <t>amphitropical disjunction; Asteraceae; biogeographic patterns; Chile; climates; Mediterranean biome; niche conservatism</t>
  </si>
  <si>
    <t>NULL MODEL ANALYSIS; CONTINENTAL-SCALE; BIOME SHIFTS; EVOLUTION; CONSERVATISM; NORTH; PHYLOGENY; RICHNESS; PATTERNS; PLANT</t>
  </si>
  <si>
    <t>The tribe Astereae (Asteraceae) displays an American Amphitropical Disjunction. To understand the eco-evolutionary dynamics associated with a long-distance dispersal event and subsequent colonization of extratropical South America, we compared the climatic and geographic distributions of South American species with their closest North American relatives, focusing on the diverse South American Astereae genus, Haplopappus. Phylogenetic analysis revealed that two South American genera are closely related to seven North American genera. The climatic niche overlap (D = 0.5) between South and North America exhibits high stability (0.89), low expansion (0.12), and very low unfilling (0.04). The distribution of the North American species predicted the climatic and geographic space occupied by the South American species. In central Chile, Haplopappus showed a non-random latitudinal gradient in species richness, with Mediterranean climate variables mainly explaining the variation. Altitudinal patterns indicated peak richness at 600 m, declining at lower and higher elevations. These findings support climatic niche conservatism in shaping Haplopappus species distribution and diversity. Two major endemism zones were identified in central Chile and the southern region, with a transitional zone between Mediterranean and Temperate macro-bioclimates. Our results indicate strong niche conservatism following long-distance dispersal and slight niche expansion due to unique climatic variables in each hemisphere.</t>
  </si>
  <si>
    <t>[Rosas, Marcelo R.; Segovia, Ricardo A.; Guerrero, Pablo C.] Univ Concepcion, Fac Ciencias Nat &amp; Oceanog, Dept Bot, Casilla 160-C, Concepcion 4030000, Chile; [Rosas, Marcelo R.; Segovia, Ricardo A.; Guerrero, Pablo C.] Barrio Univ, Inst Ecol &amp; Biodivers IEB Chile Cl, Victoria 631, Concepcion 4030000, Chile; [Guerrero, Pablo C.] Millennium Inst Biodivers Antarctic &amp; Subantarctic, Santiago 7800003, Chile</t>
  </si>
  <si>
    <t>Universidad de Concepcion</t>
  </si>
  <si>
    <t>Rosas, MR (corresponding author), Univ Concepcion, Fac Ciencias Nat &amp; Oceanog, Dept Bot, Casilla 160-C, Concepcion 4030000, Chile.;Rosas, MR (corresponding author), Barrio Univ, Inst Ecol &amp; Biodivers IEB Chile Cl, Victoria 631, Concepcion 4030000, Chile.</t>
  </si>
  <si>
    <t>mrosas.bot@gmail.com</t>
  </si>
  <si>
    <t>Rosas, Marcelo/HTO-1883-2023; Guerrero, Pablo/J-4296-2012</t>
  </si>
  <si>
    <t>Rosas, Marcelo/0000-0001-7876-6629; Guerrero, Pablo/0000-0003-1034-1899</t>
  </si>
  <si>
    <t>FONDECYT [1211441, 11200967]; IEB ANID [FB210006]</t>
  </si>
  <si>
    <t>FONDECYT(Comision Nacional de Investigacion Cientifica y Tecnologica (CONICYT)CONICYT FONDECYT); IEB ANID</t>
  </si>
  <si>
    <t>The study was supported by FONDECYT 1211441 and 11200967; IEB ANID grant FB210006.</t>
  </si>
  <si>
    <t>10.3390/plants12142721</t>
  </si>
  <si>
    <t>S7YX4</t>
  </si>
  <si>
    <t>WOS:001073298900001</t>
  </si>
  <si>
    <t>Hayashida, H; Kiss, AE; Miyama, T; Miyazawa, Y; Yasunaka, S</t>
  </si>
  <si>
    <t>Hayashida, Hakase; Kiss, Andrew E.; Miyama, Toru; Miyazawa, Yasumasa; Yasunaka, Sayaka</t>
  </si>
  <si>
    <t>Anomalous Nutricline Drives Marked Biogeochemical Contrasts During the Kuroshio Large Meander</t>
  </si>
  <si>
    <t>LONG-TERM VARIABILITY; PATH VARIATIONS SOUTH; SEA-ICE MODEL; OCEAN MODEL; JAPAN; PROTOCOLS; WATER</t>
  </si>
  <si>
    <t>The large meander (LM) of the Kuroshio western boundary current is well known to influence the local climate, fisheries, and aquaculture by greatly modulating regional heat transport, but its impact on biogeochemical processes remains unclear. Using a high-resolution numerical ocean model and long-term observational datasets, we show that the path of the Kuroshio south of Japan determines the extent of the shallow nutricline region, where winter convective mixing replenishes nutrient availability for subsequent blooms of phytoplankton during spring. During the LM phase, this mechanism triggers offshore phytoplankton blooms that can be twice as strong as those during the non-large meander phase. In contrast, spring blooms are weaker in the nearshore region where the nutricline depth is deeper, which reduces the nutrient supply by winter convective mixing during the LM. The LM also modulates the spatial distributions of primary production, air-sea carbon flux, and export production. Hence, the Kuroshio path variability has broader implications for marine ecosystems and biogeochemical cycles. The biogeochemical impacts of the Kuroshio LM exert bottom-up control on regional marine ecosystems that may be disproportionate to its thermal effect, and therefore need to be assessed to understand the LM's overall impacts on fisheries and aquaculture.</t>
  </si>
  <si>
    <t>[Hayashida, Hakase; Miyama, Toru; Miyazawa, Yasumasa] Japan Agcy Marine Earth Sci &amp; Technol, Applicat Lab, Yokohama, Japan; [Hayashida, Hakase] Univ Tasmania, Inst Marine &amp; Antarctic Studies, Hobart, Tas, Australia; [Kiss, Andrew E.] Australian Natl Univ, Res Sch Earth Sci, Canberra, ACT, Australia; [Kiss, Andrew E.] Australian Res Council Ctr Excellence Climate Extr, Sydney, NSW, Australia; [Yasunaka, Sayaka] Tohoku Univ, Grad Sch Sci, Sendai, Japan</t>
  </si>
  <si>
    <t>Japan Agency for Marine-Earth Science &amp; Technology (JAMSTEC); University of Tasmania; Australian National University; Tohoku University</t>
  </si>
  <si>
    <t>Hayashida, H (corresponding author), Japan Agcy Marine Earth Sci &amp; Technol, Applicat Lab, Yokohama, Japan.;Hayashida, H (corresponding author), Univ Tasmania, Inst Marine &amp; Antarctic Studies, Hobart, Tas, Australia.</t>
  </si>
  <si>
    <t>hakaseh@jamstec.go.jp</t>
  </si>
  <si>
    <t>Miyama, Toru/A-3824-2009; Hayashida, Hakase/AAY-4151-2020; Miyazawa, Yasumasa/J-3196-2014; Kiss, Andrew/E-7733-2016</t>
  </si>
  <si>
    <t>Miyama, Toru/0000-0002-6400-0312; Hayashida, Hakase/0000-0002-6349-4947; Miyazawa, Yasumasa/0000-0002-0107-6272; Yasunaka, Sayaka/0000-0002-4581-4951; Kiss, Andrew/0000-0001-8960-9557</t>
  </si>
  <si>
    <t>Australian Research Council [CE170100023, LP160100073, LP200100406]; Australian Government's Australian Antarctic Science Program [4541]; Australian Government; JSPS KAKENHI [JP22H05207]; Australian Research Council [LP160100073, LP200100406] Funding Source: Australian Research Council</t>
  </si>
  <si>
    <t>Australian Research Council(Australian Research Council); Australian Government's Australian Antarctic Science Program; Australian Government(Australian Government); JSPS KAKENHI(Ministry of Education, Culture, Sports, Science and Technology, Japan (MEXT)Japan Society for the Promotion of ScienceGrants-in-Aid for Scientific Research (KAKENHI)); Australian Research Council(Australian Research Council)</t>
  </si>
  <si>
    <t>Hakase Hayashida and Andrew E. Kiss thank the Consortium for Ocean-Sea Ice Modelling in Australia (COSIMA) team for their support in generating the model output. Andrew E. Kiss was supported by Australian Research Council Grants (CE170100023, LP160100073, and LP200100406) and the Australian Government's Australian Antarctic Science Program Grant 4541. This project was undertaken with the assistance of resources and services from the National Computational Infrastructure, which is supported by the Australian Government. We thank the JMA for making their data publicly available. We thank the editor for handling the manuscript timely and fairly and the three anonymous reviewers for their constructive feedback which greatly improved the manuscript. This work is a part of the Japan Coastal Ocean Predictability Experiment (JCOPE) promoted by the Japan Agency for Marine-Earth Science and Technology (JAMSTEC). Sayaka Yasunaka was supported by JSPS KAKENHI Grant JP22H05207.</t>
  </si>
  <si>
    <t>e2023JC019697</t>
  </si>
  <si>
    <t>10.1029/2023JC019697</t>
  </si>
  <si>
    <t>M0GL5</t>
  </si>
  <si>
    <t>WOS:001026973900001</t>
  </si>
  <si>
    <t>Xie, AH; Zhu, JP; Qin, X; Wang, SM</t>
  </si>
  <si>
    <t>Xie, Aihong; Zhu, Jiangping; Qin, Xiang; Wang, Shimeng</t>
  </si>
  <si>
    <t>The Antarctic Amplification Based on MODIS Land Surface Temperature and ERA5</t>
  </si>
  <si>
    <t>Antarctic Ice Sheet; temperature; Antarctic amplification; MODIS</t>
  </si>
  <si>
    <t>POLAR AMPLIFICATION; ARCTIC AMPLIFICATION; CLIMATE-CHANGE; TRENDS; CMIP6</t>
  </si>
  <si>
    <t>With global warming accelerating, polar amplification is one of the hot issues in climate research. However, most studies focus on Arctic amplification, and little attention has been paid to Antarctic amplification (AnA), and there is no relevant research based on MODIS (Moderate Resolution Imaging Spectroradiometer) land surface temperature observations. Compared with 128 stations' observations, MODIS can capture the variations in temperature over Antarctica. In addition, the temperature changes in Antarctica, East Antarctica, West Antarctica and the Antarctic Peninsula during the period 2001-2018 reflected by the MODIS and ERA5 are basically consistent, and the temperature changes in Antarctica are negatively correlated with the Southern Annular Mode. AnA occurs under all annual and seasonal scales, with an AnA index greater than 1.27 (1.31) from the MODIS (ERA5), and is strongest in the austral winter and weakest in summer. AnA displays regional differences, and the signal from the MODIS is similar to that from ERA5. The strongest amplification occurs in East Antarctica, with an AnA index greater than 1.45 (1.48) from the MODIS (ERA5), followed by West Antarctica, whereas the amplified signal is absent at the Antarctic Peninsula. In addition, seasonal differences can be observed in the sub regions of Antarctica. For West Antarctica, the greatest amplification appears in austral winter, and in austral spring for East Antarctica. The AnA signal also can be captured in daytime and nighttime observations, and the AnA in nighttime observations is stronger than that in daytime. Generally, the MODIS illustrates the appearance of AnA for the period 2001-2018, and the Antarctic climate undergoes drastic changes, and the potential impact should arouse attention.</t>
  </si>
  <si>
    <t>[Xie, Aihong; Zhu, Jiangping; Qin, Xiang; Wang, Shimeng] Chinese Acad Sci, Northwest Inst Ecoenvironm &amp; Resources, State Key Lab Cryospher Sci, Lanzhou 730000, Peoples R China</t>
  </si>
  <si>
    <t>Chinese Academy of Sciences</t>
  </si>
  <si>
    <t>Zhu, JP (corresponding author), Chinese Acad Sci, Northwest Inst Ecoenvironm &amp; Resources, State Key Lab Cryospher Sci, Lanzhou 730000, Peoples R China.</t>
  </si>
  <si>
    <t>xieaih@lzb.ac.cn; zhujiangping@nieer.ac.cn; qinxiang@lzb.ac.cn; wangshimeng@lzb.ac.cn</t>
  </si>
  <si>
    <t>zhu, jiangping/0000-0003-0660-2443</t>
  </si>
  <si>
    <t>We thank the National Centre for Atmospheric Science, European Center for Medium-Range Weather Forecasts, Scientific Committee on Antarctic Research, and Wang Y.T. for providing data to improve the paper.</t>
  </si>
  <si>
    <t>10.3390/rs15143540</t>
  </si>
  <si>
    <t>S2YK7</t>
  </si>
  <si>
    <t>WOS:001069876700001</t>
  </si>
  <si>
    <t>Buyens, IPR; Raath-Krüger, MJ; Haddad, WA; le Roux, PC</t>
  </si>
  <si>
    <t>Buyens, Isabelle Patricia Rita; Raath-Kruger, Morgan Jade; Haddad, William A.; le Roux, Peter Christiaan</t>
  </si>
  <si>
    <t>Fine-scale variation in the effect of the cushion plant Azorella selago on vascular plants, mosses, hepatics and lichens in the sub-Antarctic</t>
  </si>
  <si>
    <t>JOURNAL OF VEGETATION SCIENCE</t>
  </si>
  <si>
    <t>cushion plant; facilitation; fine-scale variation; plant-lichen communities; plant-lichen interactions; plant-plant interactions; proximal variables; stress gradient; sub-Antarctic</t>
  </si>
  <si>
    <t>STRESS-GRADIENT HYPOTHESIS; POSITIVE SPECIES INTERACTIONS; BIOTIC INTERACTIONS; SILENE-ACAULIS; HIGH-ANDES; FACILITATION; ALPINE; COMMUNITY; COMPETITION; ELEVATION</t>
  </si>
  <si>
    <t>Question: Plant-plant interactions can strongly influence community structure and composition. The outcome of these interactions can vary considerably across space and is often linked to environmental conditions, with, for example, a higher prevalence of facilitative interactions typically being observed under greater environmental severity. To date, most studies have documented shifts from competitive to facilitative (or neutral) plant-plant and plant-lichen interactions along gradients of increasing environmental severity from pairwise interspecific interactions. However, few studies have examined if the outcome of these interactions for different taxonomic groups is dependent on environmental conditions across multiple environmental stress gradients.Location: Sub-Antarctic Marion Island.Methods: We examine community-level variation in the response of four taxa (i.e., vascular plants, hepatics, mosses, and lichens) to an interaction with a long-lived cushion plant species (Azorella selago) that ameliorates microenvironmental conditions, testing how the effect of the cushion plant on the taxa varies along multiple stress gradients at the scale of a landform.Results: Contrary to expectations, even when considering multiple proximate predictor variables, fine-scale spatial v ariation in the effect of A. selago on the taxa could not be explained. However, the outcome of the interaction with A. selago differed between taxonomic groups, with vascular plants benefitting and the non-vascular taxa experiencing neutral or negative impacts.Conclusions: This study highlights that the impacts of biotic interactions cannot always be generalized across plant groups, and that it is necessary to consider taxon-specific responses when predicting community-level impacts of biotic interactions. More generally, we demonstrate how complex spatial variation in environmental stressors can be explicitly considered when modelling variation in the outcome of plant-plant interactions.</t>
  </si>
  <si>
    <t>[Buyens, Isabelle Patricia Rita; Raath-Kruger, Morgan Jade; le Roux, Peter Christiaan] Univ Pretoria, Dept Plant &amp; Soil Sci, Hatfield, South Africa; [Haddad, William A.] Univ Johannesburg, Dept Zool, Johannesburg, South Africa; [Raath-Kruger, Morgan Jade] Univ Pretoria, Dept Plant &amp; Soil Sci, ZA-0028 Pretoria, Hatfield, South Africa</t>
  </si>
  <si>
    <t>University of Pretoria; University of Johannesburg; University of Pretoria</t>
  </si>
  <si>
    <t>Raath-Krüger, MJ (corresponding author), Univ Pretoria, Dept Plant &amp; Soil Sci, ZA-0028 Pretoria, Hatfield, South Africa.</t>
  </si>
  <si>
    <t>le Roux, Peter Christiaan/E-7784-2011; Raath-Krüger, Morgan/AAM-8871-2020</t>
  </si>
  <si>
    <t>le Roux, Peter Christiaan/0000-0002-7941-7444; Raath-Krüger, Morgan/0000-0002-3326-1165; Buyens, Isabelle/0000-0002-3855-0919</t>
  </si>
  <si>
    <t>We acknowledge the late Niek Gremmen for his invaluable contribution to data collection and species identification in this project, and for encouraging and inspiring so many of the scientists he interacted with. We thank Nothando Mhlongo and Elana Mostert</t>
  </si>
  <si>
    <t>We acknowledge the late Niek Gremmen for his invaluable contribution to data collection and species identification in this project, and for encouraging and inspiring so many of the scientists he interacted with. We thank Nothando Mhlongo and Elana Mostert for their assistance with fieldwork, and Bettine Jansen van Vuuren, Melodie McGeoch and Steven Chown for making data from the study site available.</t>
  </si>
  <si>
    <t>1100-9233</t>
  </si>
  <si>
    <t>1654-1103</t>
  </si>
  <si>
    <t>J VEG SCI</t>
  </si>
  <si>
    <t>J. Veg. Sci.</t>
  </si>
  <si>
    <t>e13200</t>
  </si>
  <si>
    <t>10.1111/jvs.13200</t>
  </si>
  <si>
    <t>Plant Sciences; Ecology; Forestry</t>
  </si>
  <si>
    <t>Plant Sciences; Environmental Sciences &amp; Ecology; Forestry</t>
  </si>
  <si>
    <t>Q0WH7</t>
  </si>
  <si>
    <t>WOS:001054800700001</t>
  </si>
  <si>
    <t>Hatton, JE; Ng, HC; Meire, L; Woodward, EMS; Leng, MJ; Coath, CD; Stuart-Lee, A; Wang, T; Annett, AL; Hendry, KR</t>
  </si>
  <si>
    <t>Hatton, J. E.; Ng, H. C.; Meire, L.; Woodward, E. M. S.; Leng, M. J.; Coath, C. D.; Stuart-Lee, A.; Wang, T.; Annett, A. L.; Hendry, K. R.</t>
  </si>
  <si>
    <t>Silicon Isotopes Highlight the Role of Glaciated Fjords in Modifying Coastal Waters</t>
  </si>
  <si>
    <t>silicon isotope geochemistry; fjord nutrient cycling; silicon cycling; Greenland Ice Sheet</t>
  </si>
  <si>
    <t>GREENLAND ICE-SHEET; BIOGENIC SILICA; FRACTIONATION; PRODUCTIVITY; SOUTHWEST; MELTWATER; DIATOMS</t>
  </si>
  <si>
    <t>Glaciers and ice sheets are experiencing rapid warming under current climatic change and there is increasing evidence that glacial meltwaters provide key dissolved and dissolvable amorphous nutrients to downstream ecosystems. However, large debate exists around the fate of these nutrients within complex and heterogenous fjord environments, where biogeochemical cycling is still often poorly understood. We combine silicon (Si) concentration data with isotopic compositions to better understand silicon cycling and export in two contrasting fjordic environments in south-west Greenland. We show that both fjords have isotopically light dissolved silicon (DSi) within surface waters, despite an apparently rapid biological drawdown of DSi with increasing salinity. We hypothesize that such observations cannot be explained by simple water mass mixing processes, and postulate that an isotopically light source of Si, most likely glacially derived amorphous silica (ASi), is responsible for further modifying these coastal waters within the fjords and beyond. Fjord to coastal exchange is likely a relatively slow process (several months), and thus is less impacted by short-term (</t>
  </si>
  <si>
    <t>[Hatton, J. E.] Charles Univ Prague, Dept Ecol, Prague, Czech Republic; [Hatton, J. E.; Ng, H. C.; Coath, C. D.; Wang, T.; Hendry, K. R.] Univ Bristol, Sch Earth Sci, Bristol, Avon, England; [Ng, H. C.] Univ Bretagne Occidentale, Ifremer, CNRS, Geoocean, Plouzane, France; [Meire, L.] Greenland Inst Nat Resources, Greenland Climate Res Ctr GCRC, Nuuk, Greenland; [Woodward, E. M. S.] Plymouth Marine Lab, Plymouth, England; [Leng, M. J.] British Geol Survey, NERC Isotope Geosci Facil, Nottingham, England; [Leng, M. J.] Univ Nottingham, Ctr Environm Geochem, Sch Biosci, Sutton Bonington Campus, Loughborough, England; [Stuart-Lee, A.] Royal Netherlands Inst Sea Res, Dept Estuarine &amp; Delta Syst, Yerseke, Netherlands; [Annett, A. L.] Univ Southampton, Natl Oceanog Ctr, Ocean &amp; Earth Sci, Waterfront Campus, Southampton, England; [Hendry, K. R.] British Antarctic Survey, Polar Oceans Team, Cambridge, England</t>
  </si>
  <si>
    <t>Charles University Prague; University of Bristol; Universite de Bretagne Occidentale; Centre National de la Recherche Scientifique (CNRS); Ifremer; Greenland Institute of Natural Resources; Plymouth Marine Laboratory; UK Research &amp; Innovation (UKRI); Natural Environment Research Council (NERC); NERC British Geological Survey; University of Nottingham; Utrecht University; Royal Netherlands Institute for Sea Research (NIOZ); University of Southampton; NERC National Oceanography Centre; UK Research &amp; Innovation (UKRI); Natural Environment Research Council (NERC); NERC British Antarctic Survey</t>
  </si>
  <si>
    <t>Hatton, JE (corresponding author), Charles Univ Prague, Dept Ecol, Prague, Czech Republic.;Hatton, JE (corresponding author), Univ Bristol, Sch Earth Sci, Bristol, Avon, England.</t>
  </si>
  <si>
    <t>jade.hatton@natur.cuni.cz</t>
  </si>
  <si>
    <t>Hatton, Jade/KFB-6939-2024; Stuart-Lee, Alice/KGM-1717-2024; Hendry, Katharine/E-4793-2011; Woodward, E. Malcolm S./D-5755-2016</t>
  </si>
  <si>
    <t>Hatton, Jade/0000-0002-9408-7981; Stuart-Lee, Alice/0000-0003-4052-3036; Coath, Christopher/0000-0002-6520-2223; Annett, Amber/0000-0002-3730-2438; Wang, Tong/0000-0002-5217-9490; Leng, Melanie/0000-0003-1115-5166; Hendry, Katharine/0000-0002-0790-5895; Woodward, E. Malcolm S./0000-0002-7187-6689</t>
  </si>
  <si>
    <t>UK Royal Society Enhancement Award [RGF\EA\181036]; ERC Starting Grant [ICY-LAB (678371)]</t>
  </si>
  <si>
    <t>UK Royal Society Enhancement Award; ERC Starting Grant(European Research Council (ERC))</t>
  </si>
  <si>
    <t>The authors thank all involved in fieldwork during the 2018 and 2019 field campaigns, particularly the crews of the KISAQ and TULU and logistical support from GINR. We also thank the Bristol Isotope Group for ongoing analytical support. JEH and KRH and the fieldwork were funded by UK Royal Society Enhancement Award (RGF\EA\181036) and ERC Starting Grant ICY-LAB (678371).</t>
  </si>
  <si>
    <t>e2022JG007242</t>
  </si>
  <si>
    <t>10.1029/2022JG007242</t>
  </si>
  <si>
    <t>O0KA9</t>
  </si>
  <si>
    <t>hybrid, Green Accepted, Green Published, Green Submitted</t>
  </si>
  <si>
    <t>WOS:001040784800001</t>
  </si>
  <si>
    <t>Zulhamidi, NFI; Abdullah, M; Hamid, NSA; Yusof, KA</t>
  </si>
  <si>
    <t>Zulhamidi, Nur Fatin Irdina; Abdullah, Mardina; Hamid, Nurul Shazana Abdul; Yusof, Khairul Adib</t>
  </si>
  <si>
    <t>Comparative Analysis of Variants of Geomagnetic Diurnal Variation Ratio Method for Earthquake Precursor Detection</t>
  </si>
  <si>
    <t>JURNAL KEJURUTERAAN</t>
  </si>
  <si>
    <t>Geomagnetic diurnal variations; earthquake precursor; SuperMAG database; diurnal variation ratio (DVR)</t>
  </si>
  <si>
    <t>The application of electromagnetic signals in earthquake study has been applied by previous researchers through the monitoring of geomagnetic variations. The previous studies have revealed inconsistencies in the implementation of the diurnal variation ratio (DVR) method and the results were also found to be limited in specific events. This study sought to enhance the reliability of earthquake forecasting by implementing two different variants of the DVR method in investigating the magnetic responses prior to earthquakes (EQ). Global EQ events that occurred between 2000-2020 with magnitude above 5.0 were observed. The anomalies were detected as early as 60 days to 1 day prior to the EQ events for DVR using threshold value (Method 1), and 30 days to 15 days prior to the EQ events for DVR using the comparison with 1-year background geomagnetic data (Method 2). All geomagnetic N, E, and Z components showed anomalous behaviour during the quiet days but with temporal lags between the components. It can be concluded that Method 1 approach, yielded results with significantly more precursor presence than Method 2. The relationship of the geomagnetic variations with earthquake properties such as magnitude and focal depth showed higher rate of precursor presence in both the strong and mid-focus EQ. Future studies will be conducted to correlate geomagnetic variations with seismo-ionospheric response and physical ground movement prior to the events. The outcomes of this study will be able to provide insights of effective analysis for precursor study particularly in seismic hazard.</t>
  </si>
  <si>
    <t>[Zulhamidi, Nur Fatin Irdina; Abdullah, Mardina; Hamid, Nurul Shazana Abdul; Yusof, Khairul Adib] Univ Kebangsaan Malaysia, Inst Climate Change, Space Sci Ctr, Bangi, Malaysia; [Abdullah, Mardina] Univ Kebangsaan Malaysia, Fac Engn &amp; Built Environm, Dept Elect Elect &amp; Syst Engn, Bangi, Malaysia; [Hamid, Nurul Shazana Abdul] Univ Kebangsaan Malaysia, Fac Sci &amp; Technol, Dept Appl Phys, Bangi, Malaysia; [Yusof, Khairul Adib] Univ Putra Malaysia, Fac Sci, Dept Phys, Serdang, Malaysia</t>
  </si>
  <si>
    <t>Universiti Kebangsaan Malaysia; Universiti Kebangsaan Malaysia; Universiti Kebangsaan Malaysia; Universiti Putra Malaysia</t>
  </si>
  <si>
    <t>Abdullah, M (corresponding author), Univ Kebangsaan Malaysia, Inst Climate Change, Space Sci Ctr, Bangi, Malaysia.;Abdullah, M (corresponding author), Univ Kebangsaan Malaysia, Fac Engn &amp; Built Environm, Dept Elect Elect &amp; Syst Engn, Bangi, Malaysia.</t>
  </si>
  <si>
    <t>mardina@ukm.edu.my</t>
  </si>
  <si>
    <t>Abdullah, Mardina/J-9781-2016; Zulhamidi, Nur Fatin Irdina/ABI-6147-2022</t>
  </si>
  <si>
    <t>Fundamental Research Grant Scheme, Ministry of Higher Education, Malaysia [FRGS/1/2020/TK0/UKM/01/1]</t>
  </si>
  <si>
    <t>Fundamental Research Grant Scheme, Ministry of Higher Education, Malaysia</t>
  </si>
  <si>
    <t>This study was supported by the Fundamental Research Grant Scheme, Ministry of Higher Education, Malaysia (FRGS/1/2020/TK0/UKM/01/1) . The magnetometer data were contributed by the following organisations: INTERMAGNET, Alan Thomson; CARISMA, PI Ian Mann; CANMOS, Geomagnetism Unit of the Geological Survey of Canada; The S -RAMP Database, PI K. Yumoto and Dr. K. Shiokawa; the SPIDR database; AARI, PI Oleg Troshichev; the MACCS programme, PI M. Engebretson; GIMA; MEASURE, UCLA IGPP and Florida Institute of Technology; SAMBA, PI Eftyhia Zesta; 210 Chain, PI K. Yumoto; SAMNET, PI Farideh Honary; IMAGE, PI Liisa Juusola; Finnish Meteorological Institute, PI Liisa Juusola; Sodankyla Geophysical Observatory, PI Tero Raita; UiT the Arctic University of Norway, Tromso Geophysical Observatory, PI Magnar G. Johnsen; GFZ German Research Centre For Geosciences, PI Jurgen Matzka; Institute of Geophysics, Polish Academy of Sciences, PIAnne Neska and Jan Reda; Polar Geophysical Institute, PI Alexander Yahnin and Yarolav Sakharov; Geological Survey of Sweden, PI Gerhard Schwarz; Swedish Institute of Space Physics, PI Masatoshi Yamauchi; AUTUMN, PI Martin Connors; DTU Space, Thom Edwards and PI Anna Willer; South Pole and McMurdo Magnetometer, PI's Louis J. Lanzarotti and Alan T. Weatherwax; ICESTAR; RAPIDMAG; British Antarctic Survey; McMac, PI Dr. Peter Chi; BGS, PI Dr. Susan Macmillan; Pushkov Institute of Terrestrial Magnetism, Ionosphere and Radio Wave Propagation (IZMIRAN) ; MFGI, PI B. Heilig; Institute of Geophysics, Polish Academy of Sciences, PI Anne Neska and Jan Reda; University ofL'Aquila, PI M. Vellante; BCMT, V. Lesur and A. Chambodut; Data obtained in cooperation with Geoscience Australia, PI Andrew Lewis; AALPIP, co-PIs Bob Clauer and Michael Hartinger; SuperMAG, PI Jesper W. Gjerloev; Data obtained in cooperation with the Australian Bureau of Meteorology, PI Richard Marshall; MAGDAS/CPMN, PI Akimasa Yoshikawa; International Center for Space Weather Science and Education, Kyushu University. The geomagnetic ap and Dst indices were downloaded from Goddard Space Flight Center, Space Physics Data Facility. The information of the earthquakes was based on the USGS catalogue. The present paper is an extended version of our paper which was presented at the 2021 7th International Conference on Space Science and Communication (Zulhamidi et al. 2021) .</t>
  </si>
  <si>
    <t>UKM PRESS</t>
  </si>
  <si>
    <t>SELANGOR</t>
  </si>
  <si>
    <t>BANGI, SELANGOR, 43600, MALAYSIA</t>
  </si>
  <si>
    <t>0128-0198</t>
  </si>
  <si>
    <t>2289-7526</t>
  </si>
  <si>
    <t>J KEJURUTER</t>
  </si>
  <si>
    <t>J. Kejuruter.</t>
  </si>
  <si>
    <t>10.17576/jkukm-2023-35(4)-10</t>
  </si>
  <si>
    <t>Engineering, Multidisciplinary</t>
  </si>
  <si>
    <t>O0IJ7</t>
  </si>
  <si>
    <t>WOS:001040741600010</t>
  </si>
  <si>
    <t>Han, XX; Stewart, AL; Chen, DK; Liu, XH; Lian, T</t>
  </si>
  <si>
    <t>Han, Xianxian; Stewart, Andrew L.; Chen, Dake; Liu, Xiaohui; Lian, Tao</t>
  </si>
  <si>
    <t>Controls of Topographic Rossby Wave Properties and Downslope Transport in Dense Overflows</t>
  </si>
  <si>
    <t>Bottom currents; Density currents; Mesoscale processes; Rossby waves; Topographic effects; Idealized models</t>
  </si>
  <si>
    <t>CIRCUMPOLAR DEEP-WATER; BAROCLINIC INSTABILITY; BOTTOM WATER; CAPE DARNLEY; COLD EDDIES; CIRCULATION; VARIABILITY; CLOSURE; SEA</t>
  </si>
  <si>
    <t>Antarctic Bottom Water is primarily formed via overflows of dense shelf water (DSW) around the Antarctic continental margins. The dynamics of these overflows therefore influence the global abyssal stratification and circulation. Previous studies indicate that dense overflows can be unstable, energizing topographic Rossby waves (TRW) over the continental slope. However, it remains unclear how the wavelength and frequency of the TRWs are related to the properties of the overflowing DSW and other environmental conditions, and how the TRW properties influence the downslope transport of DSW. This study uses idealized high-resolution numerical simulations to investigate the dynamics of overflow-forced TRWs and the associated downslope transport of DSW. It is shown that the propagation of TRWs is constrained by the geostrophic along-slope flow speed of the DSW and by the dynamics of linear plane waves, allowing the wavelength and frequency of the waves to be predicted a priori. The rate of downslope DSW transport depends nonmonotonically on the slope steepness: steep slopes approximately suppress TRW formation, resulting in steady, frictionally dominated DSW descent. For slopes of intermediate steepness, the overflow becomes unstable and generates TRWs, accompanied by interfacial form stresses that drive DSW downslope relatively rapidly. For gentle slopes, the TRWs lead to the formation of coherent eddies that inhibit downslope DSW transport. These findings may explain the variable properties of TRWs observed in oceanic overflows, and they imply that the rate at which DSW descends to the abyssal ocean depends sensitively on the manifestation of TRWs and/or nonlinear eddies over the continental slope.</t>
  </si>
  <si>
    <t>[Han, Xianxian; Chen, Dake; Liu, Xiaohui; Lian, Tao] Sun Yat sen Univ, Sch Atmospher Sci, Zhuhai, Peoples R China; [Han, Xianxian; Chen, Dake; Liu, Xiaohui; Lian, Tao] Southern Marine Sci &amp; Engn Guangdong Lab Zhuhai, Zhuhai, Peoples R China; [Stewart, Andrew L.] Univ Calif Los Angeles, Dept Atmospher &amp; Ocean Sci, Los Angeles, CA USA; [Chen, Dake; Liu, Xiaohui; Lian, Tao] Minist Nat Resources, Inst Oceanog 2, State Key Lab Satellite Ocean Environm Dynam, Hangzhou, Peoples R China; [Chen, Dake; Lian, Tao] Shanghai Jiao Tong Univ, Sch Oceanog, Shanghai, Peoples R China</t>
  </si>
  <si>
    <t>Sun Yat Sen University; Southern Marine Science &amp; Engineering Guangdong Laboratory; Southern Marine Science &amp; Engineering Guangdong Laboratory (Zhuhai); University of California System; University of California Los Angeles; Ministry of Natural Resources of the People's Republic of China; Shanghai Jiao Tong University</t>
  </si>
  <si>
    <t>Chen, DK (corresponding author), Sun Yat sen Univ, Sch Atmospher Sci, Zhuhai, Peoples R China.;Chen, DK (corresponding author), Southern Marine Sci &amp; Engn Guangdong Lab Zhuhai, Zhuhai, Peoples R China.;Chen, DK (corresponding author), Minist Nat Resources, Inst Oceanog 2, State Key Lab Satellite Ocean Environm Dynam, Hangzhou, Peoples R China.;Chen, DK (corresponding author), Shanghai Jiao Tong Univ, Sch Oceanog, Shanghai, Peoples R China.</t>
  </si>
  <si>
    <t>dchen@sio.org.cn</t>
  </si>
  <si>
    <t>Lian, Tao/HNQ-2867-2023</t>
  </si>
  <si>
    <t>Han, Xianxian/0000-0003-1160-7783; Stewart, Andrew/0000-0001-5861-4070</t>
  </si>
  <si>
    <t>National Natural Science Foundation of China [42227901, 41941007, 41730535]; National Science Foundation [OCE-1751386, OPP -2023244]</t>
  </si>
  <si>
    <t>National Natural Science Foundation of China(National Natural Science Foundation of China (NSFC)); National Science Foundation(National Science Foundation (NSF))</t>
  </si>
  <si>
    <t>This work is supported by grants from the National Natural Science Foundation of China (42227901, 41941007, and 41730535). Author Stewart was supported by the National Science Foundation under Grants OCE-1751386 and OPP -2023244. The authors thank two anonymous reviewers for constructive suggestions that improved the submitted paper. The authors declare no conflicts of interest.</t>
  </si>
  <si>
    <t>10.1175/JPO-D-22-0237.1</t>
  </si>
  <si>
    <t>O1CV2</t>
  </si>
  <si>
    <t>WOS:001041277000002</t>
  </si>
  <si>
    <t>Kürzel, K; Brix, S; Brandt, A; Brenke, N; Enderlein, P; Griffiths, HJ; Kaiser, S; Svavarsson, J; Lörz, AN; Frutos, I; Taylor, J; Linse, K</t>
  </si>
  <si>
    <t>Kuerzel, Karlotta; Brix, Saskia; Brandt, Angelika; Brenke, Nils; Enderlein, Peter; Griffiths, Huw J.; Kaiser, Stefanie; Svavarsson, Jorundur; Loerz, Anne-Nina; Frutos, Inmaculada; Taylor, James; Linse, Katrin</t>
  </si>
  <si>
    <t>Pan-Atlantic Comparison of Deep-Sea Macro- and Megabenthos</t>
  </si>
  <si>
    <t>species distribution patterns; Atlantic Ocean; Southern Ocean; benthic macrofauna; deep sea; EBS; depth gradient; environmental variables</t>
  </si>
  <si>
    <t>VEMA FRACTURE-ZONE; PUERTO-RICO TRENCH; SOUTHERN-OCEAN; SPECIES-RICHNESS; MARINE BIODIVERSITY; COMMUNITY STRUCTURE; EPIBENTHIC-SLEDGE; BODY-SIZE; SUPRABENTHIC ASSEMBLAGES; PERACARID CRUSTACEANS</t>
  </si>
  <si>
    <t>Deep-sea benthic fauna is vital for a well-functioning marine ecosystem but is increasingly under threat from a changing environment. To monitor and conserve this fauna, an understanding of their large-scale spatial and bathymetric distribution and their environmental drivers is necessary. In this study, we conduct a multivariate analysis on abundance benthic fauna data collected at the phylum and multitaxon levels using an epibenthic sledge (EBS) across the Atlantic, and identify the environmental factors that affect such data. Our findings show a decrease in abundance with depth in most of the Atlantic but find relatively heterogeneous abundances with depth within the Southern Ocean. Principal component analyses indicate differences in environmental conditions south of the Antarctic Polar Front (similar to 52 degrees S), outlining contrasts in the quantities of macronutrients and physical factors. Despite this, community composition seemed markedly similar throughout the Atlantic with the Antarctic Circumpolar Current seemingly not affecting benthic community composition for higher taxonomic levels. Those differences that did occur were largely caused by benthic chlorophyll, benthic iron, and surface silicate through a Bio-ENV. Overall, we argue that further large-scale spatial and bathymetric distribution studies are important amid environmental changes that are driving shifts in benthic community abundance and composition.</t>
  </si>
  <si>
    <t>[Kuerzel, Karlotta; Brix, Saskia; Taylor, James] Univ Hamburg, German Ctr Marine Biodivers Res DZMB, Biozentrum Grindel, Martin Luther King Pl 3, D-20146 Hamburg, Germany; [Kuerzel, Karlotta; Loerz, Anne-Nina] Univ Hamburg, Inst Marine Ecosyst &amp; Fishery Sci IMF, Ctr Earth Syst Res &amp; Sustainabil CEN, Grosse Elbstr 133, D-22767 Hamburg, Germany; [Brandt, Angelika; Kaiser, Stefanie] Nat Hist Museum Frankfurt, Senckenberg Res Inst, Senckenberganlage 25, D-60325 Frankfurt, Germany; [Brandt, Angelika] Goethe Univ Frankfurt, Inst Ecol Evolut &amp; Divers, FB 15, Max von Laue Str 13, D-60439 Frankfurt, Germany; [Brenke, Nils] Sci Marine Serv, Riekersweg 17, D-27798 Hude, Germany; [Enderlein, Peter; Griffiths, Huw J.; Linse, Katrin] British Antarctic Survey, Madingley Rd, Cambridge CB3 0ET, England; [Svavarsson, Jorundur] Univ Iceland, Inst Biol, Sturlugata 7, IS-101 Reykjavik, Iceland; [Frutos, Inmaculada] Univ Lodz, Fac Biol &amp; Environm Protect, Dept Invertebrate Zool &amp; Hydrobiol, 12-16 Banacha St, PL-90237 Lodz, Poland</t>
  </si>
  <si>
    <t>University of Hamburg; University of Hamburg; Senckenberg Gesellschaft fur Naturforschung (SGN); Goethe University Frankfurt; UK Research &amp; Innovation (UKRI); Natural Environment Research Council (NERC); NERC British Antarctic Survey; University of Iceland; University of Lodz</t>
  </si>
  <si>
    <t>Kürzel, K; Brix, S (corresponding author), Univ Hamburg, German Ctr Marine Biodivers Res DZMB, Biozentrum Grindel, Martin Luther King Pl 3, D-20146 Hamburg, Germany.</t>
  </si>
  <si>
    <t>lotta.kuerzel@gmx.de; saskia.brix-elsig@senckenberg.de; angelika.brandt@senckenberg.de; nils.brenke@rub.de; pend@bas.ac.uk; hjg@bas.ac.uk; stefanie.kaiser@senckenberg.de; jorundur@hi.is; anne-nina.loerz@uni-hamburg.de; inmaculada.frutos@biol.uni.lodz.pl; ames.taylor@senckenberg.de; kl@bas.ac.uk</t>
  </si>
  <si>
    <t>Griffiths, Huw J/D-4234-2009</t>
  </si>
  <si>
    <t>Griffiths, Huw J/0000-0003-1764-223X; Loerz, Anne-Nina/0000-0001-9942-349X; Brix, Saskia/0000-0002-3269-8904; Brandt, Angelika/0000-0002-5807-1632</t>
  </si>
  <si>
    <t>German Science Foundation (DFG) [GPF 20-3_087]; Federal Ministry of Education and Research (BMBF) [GPF 20-3_087 (SO280)]; IceDIVA project 2021-2022 [BR3843-3-1]; DFG [BR3843-4-1, M85/3, POS456, MerMet17-6]; BMBF [LO2543/1-1]; Bauer Foundation; junior research group Vema TRANSIT; Natural Environment Research Council (NERC) [NC-Science]; German Science Foundation Project IceAGE Amphipoda; [MerMet17-5 (MSM75)]</t>
  </si>
  <si>
    <t>German Science Foundation (DFG)(German Research Foundation (DFG)); Federal Ministry of Education and Research (BMBF)(Federal Ministry of Education &amp; Research (BMBF)); IceDIVA project 2021-2022; DFG(German Research Foundation (DFG)); BMBF(Federal Ministry of Education &amp; Research (BMBF)); Bauer Foundation; junior research group Vema TRANSIT; Natural Environment Research Council (NERC) [NC-Science](UK Research &amp; Innovation (UKRI)Natural Environment Research Council (NERC)); German Science Foundation Project IceAGE Amphipoda;</t>
  </si>
  <si>
    <t>This study was directly funded by the German Science Foundation (DFG) through the IceAGE RR grant (MerMet17-5 (MSM75)), and by the DFG and Federal Ministry of Education and Research (BMBF) through the IceDivA grant (GPF 20-3_087 (SO280)) given to PIs Saskia Brix, James Taylor, and Katrin Linse. Karlotta Kuerzel was also supported through grant GPF 20-3_087 as part of the IceDIVA project 2021-2022. Funding for previous expeditions that provided data were: IceAGE 1 and 2 (funded by the DFG under grant number BR3843-3-1 and 4-1 (M85/3 and POS456)), and IceAGE 3 (funded by DFG and BMBF under grant number MerMet17-6). Additionally, Angelika Brandt was granted funding (SO 237, Foerderziffer 03G0237A) by the Bauer Foundation for the VEMA-Transit project. Inmaculada Frutos was supported through the junior research group Vema TRANSIT. Puerto Rico Trench, Vema Fracture Zone and Abyssal Atlantic Biodiversity Study as part of the project Biodiversitaetnachhaltige Ressourcennutzung (Aktenzeichen T237/25054/). Katrin Linse, Peter Enderlein, and Huw J. Griffiths were part of the British Antarctic Survey Polar Science for Planet Earth Programme funded by The Natural Environment Research Council (NERC) [NC-Science] which includes the funding for the RSS James Clark Ross expeditions BIOPEARL I and JR275. Anne-Nina Loerz was funded by the German Science Foundation Project IceAGE Amphipoda, LO2543/1-1.</t>
  </si>
  <si>
    <t>10.3390/d15070814</t>
  </si>
  <si>
    <t>N6LB8</t>
  </si>
  <si>
    <t>WOS:001038092700001</t>
  </si>
  <si>
    <t>Villalón, A; Muñoz, C; Muñoz, J; Rivera, M</t>
  </si>
  <si>
    <t>Villalon, Ariel; Munoz, Carlos; Munoz, Javier; Rivera, Marco</t>
  </si>
  <si>
    <t>A Detailed dSPACE-Based Implementation of Modulated Model Predictive Control for AC Microgrids</t>
  </si>
  <si>
    <t>AC microgrid; droop control; dSPACE; fixed-switching-frequency modulated model predictive control; power sharing; voltage source inverter</t>
  </si>
  <si>
    <t>CONTROL STRATEGIES; POWER; VALIDATION; ROBUST</t>
  </si>
  <si>
    <t>Microgrids represent a promising energy technology, because of the inclusion in them of clean and smart energy technologies. They also represent research challenges, including controllability, stability, and implementation. This article presents a dSPACE-control-platform-based implementation of a fixed-switching-frequency modulated model predictive control ((MPC)-P-2) strategy, as an inner controller of a two-level, three-phase voltage source inverter (VSI) working in an islanded AC microgrid. The developed controller is hierarchical, as it includes a primary controller to share the load equally with the other power converter with its own local modulated predictive-based controller. All details of the implementation are given for establishing the dSPACE-based implementation of the control on a dSPACE ds1103 control platform, using MATLAB/Simulink for the controller design, I/O implementation and configuration with the embedded dSPACE's real-time interface in Simulink, and then using the ControlDesk software for monitoring and testing of the real plant. The latter consists of the VSI operating with LCL filters, and sharing an RL load with a paralleled VSI with exactly the same controller. Finally, the obtained experimental waveforms are shown, with our respective conclusions representing this work, which is a very valuable tool for helping microgrid researchers implement dSPACE-based real-time simulations.</t>
  </si>
  <si>
    <t>[Villalon, Ariel] Univ Talca, Fac Engn, Engn Syst Doctoral Program, Campus Curico, Curico 3344158, Chile; [Munoz, Carlos; Munoz, Javier] Univ Talca, Fac Engn, Dept Elect Engn, Campus Curico, Curico 3344158, Chile; [Munoz, Carlos] Univ Jaen, Dept Ingn Elect, Campus Lagunillas S-N,Bldg A3, Jaen 23071, Spain; [Rivera, Marco] Univ Talca, Fac Engn, Lab Energy Convers &amp; Power Elect, Campus Curico, Curico 3344158, Chile; [Rivera, Marco] Univ Nottingham, Fac Engn, Power Elect &amp; Machine Ctr, Nottingham NG7 2RD, England</t>
  </si>
  <si>
    <t>Universidad de Talca; Universidad de Talca; Universidad de Jaen; Universidad de Talca; University of Nottingham</t>
  </si>
  <si>
    <t>Villalón, A (corresponding author), Univ Talca, Fac Engn, Engn Syst Doctoral Program, Campus Curico, Curico 3344158, Chile.;Muñoz, J (corresponding author), Univ Talca, Fac Engn, Dept Elect Engn, Campus Curico, Curico 3344158, Chile.</t>
  </si>
  <si>
    <t>avillalon@utalca.cl; carlosmunoz@utalca.cl; jamunoz@utalca.cl; marcoriv@utalca.cl</t>
  </si>
  <si>
    <t>Munoz, Carlos/0009-0002-0516-0698; Villalon, Ariel/0000-0002-8061-7777; Rivera, Marco/0000-0002-4353-2088</t>
  </si>
  <si>
    <t>CONICYT PFCHA/Doctorado Becas Chile/2019 [2119025]; Agencia Nacional de Investigacion y Desarrollo (ANID) FONDECYT Regular grant [1220556]; Centre for Multidisciplinary Research on Smart and Sustainable Energy Technologies for Sub-Antarctic Regions under Climate Crisis [ANID/ATE220023]; CONICYT PFCHA/Doctorado Becas Chile/2019 [2119025]; Agencia Nacional de Investigacion y Desarrollo (ANID) FONDECYT Regular grant [1220556]; Centre for Multidisciplinary Research on Smart and Sustainable Energy Technologies for Sub-Antarctic Regions under Climate Crisis [ANID/ATE220023]</t>
  </si>
  <si>
    <t>CONICYT PFCHA/Doctorado Becas Chile/2019; Agencia Nacional de Investigacion y Desarrollo (ANID) FONDECYT Regular grant; Centre for Multidisciplinary Research on Smart and Sustainable Energy Technologies for Sub-Antarctic Regions under Climate Crisis; CONICYT PFCHA/Doctorado Becas Chile/2019; Agencia Nacional de Investigacion y Desarrollo (ANID) FONDECYT Regular grant; Centre for Multidisciplinary Research on Smart and Sustainable Energy Technologies for Sub-Antarctic Regions under Climate Crisis</t>
  </si>
  <si>
    <t>This research was funded by CONICYT PFCHA/Doctorado Becas Chile/2019-2119025 and the Agencia Nacional de Investigacion y Desarrollo (ANID) FONDECYT Regular grant number 1220556. The &amp; nbsp;work was also supported by Centre for Multidisciplinary Research on Smart and Sustainable Energy Technologies for Sub-Antarctic Regions under Climate Crisis ANID/ATE220023.</t>
  </si>
  <si>
    <t>10.3390/s23146288</t>
  </si>
  <si>
    <t>N8VE6</t>
  </si>
  <si>
    <t>WOS:001039717100001</t>
  </si>
  <si>
    <t>Harris, WS; Jackson, KH; Carlson, H; Hoem, N; Dominguez, TE; Burri, L</t>
  </si>
  <si>
    <t>Harris, William S.; Jackson, Kristina H.; Carlson, Heather; Hoem, Nils; Dominguez, Tonje E.; Burri, Lena</t>
  </si>
  <si>
    <t>Derivation of the Omega-3 Index from EPA and DHA Analysis of Dried Blood Spots from Dogs and Cats (vol 10, 13, 2023)</t>
  </si>
  <si>
    <t>VETERINARY SCIENCES</t>
  </si>
  <si>
    <t>[Harris, William S.] Fatty Acid Res Inst, Sioux Falls, SD 57106 USA; [Harris, William S.; Jackson, Kristina H.] Univ South Dakota, Sanford Sch Med, Dept Internal Med, Sioux Falls, SD 57105 USA; [Jackson, Kristina H.] OmegaQuant Analyt LLC, Sioux Falls, SD 57106 USA; [Carlson, Heather] All City Pet Care Vet Emergency Hosp, Sioux Falls, SD 57105 USA; [Hoem, Nils; Dominguez, Tonje E.; Burri, Lena] Aker BioMarine Antarctic AS, NO-1327 Lysaker, Norway</t>
  </si>
  <si>
    <t>University of South Dakota; OmegaQuant, LLC</t>
  </si>
  <si>
    <t>Harris, WS (corresponding author), Fatty Acid Res Inst, Sioux Falls, SD 57106 USA.;Harris, WS (corresponding author), Univ South Dakota, Sanford Sch Med, Dept Internal Med, Sioux Falls, SD 57105 USA.</t>
  </si>
  <si>
    <t>wsh@faresinst.com</t>
  </si>
  <si>
    <t>Harris, William/0000-0003-3042-9353</t>
  </si>
  <si>
    <t>2306-7381</t>
  </si>
  <si>
    <t>VET SCI</t>
  </si>
  <si>
    <t>Vet. Sci.</t>
  </si>
  <si>
    <t>10.3390/vetsci10070422</t>
  </si>
  <si>
    <t>Veterinary Sciences</t>
  </si>
  <si>
    <t>N8TY2</t>
  </si>
  <si>
    <t>WOS:001039684600001</t>
  </si>
  <si>
    <t>Barnett, RL; Austermann, J; Dyer, B; Telfer, MW; Barlow, NLM; Boulton, SJ; Carr, AS; Creel, RC</t>
  </si>
  <si>
    <t>Barnett, Robert L.; Austermann, Jacqueline; Dyer, Blake; Telfer, Matt W.; Barlow, Natasha L. M.; Boulton, Sarah J.; Carr, Andrew S.; Creel, Roger C.</t>
  </si>
  <si>
    <t>Constraining the contribution of the Antarctic Ice Sheet to Last Interglacial sea level</t>
  </si>
  <si>
    <t>TEMPERATURE-CHANGES; DOSE-RATES; LUMINESCENCE; MARINE; QUARTZ; SINGLE; EVOLUTION; UPLIFT; QUATERNARY; CLIMATE</t>
  </si>
  <si>
    <t>Polar temperatures during the Last Interglacial [LIG; similar to 129 to 116 thousand years (ka)] were warmer than today, making this time period an important testing ground to better understand how ice sheets respond to warming. However, it remains debated how much and when the Antarctic and Greenland ice sheets changed during this period. Here, we present a combination of new and existing absolutely dated LIG sea-level observations from Britain, France, and Denmark. Because of glacial isostatic adjustment (GIA), the LIG Greenland ice melt contribution to sea-level change in this region is small, which allows us to constrain Antarctic ice change. We find that the Antarctic contribution to LIG global mean sea level peaked early in the interglacial (before 126 ka), with a maximum contribution of 5.7 m (50th percentile, 3.6 to 8.7 m central 68% probability) before declining. Our results support an asynchronous melt history over the LIG, with an early Antarctic contribution followed by later Greenland Ice Sheet mass loss.</t>
  </si>
  <si>
    <t>[Barnett, Robert L.] Univ Exeter, Coll Life &amp; Environm Sci, Geog, Exeter, England; [Barnett, Robert L.] Univ Quebec Rimouski, Dept Biol Chim &amp; Geog, Rimouski, PQ, Canada; [Austermann, Jacqueline; Creel, Roger C.] Columbia Univ, Lamont Doherty Earth Observ, Palisades, NY 10964 USA; [Dyer, Blake] Univ Victoria, Sch Earth &amp; Ocean Sci, Victoria, BC, Canada; [Telfer, Matt W.; Boulton, Sarah J.] Univ Plymouth, Sch Geog Earth &amp; Environm Sci, Plymouth, England; [Barlow, Natasha L. M.] Univ Leeds, Sch Earth &amp; Environm, Leeds, England; [Carr, Andrew S.] Univ Leicester, Sch Geog Geol &amp; Environm, Leicester, England</t>
  </si>
  <si>
    <t>University of Exeter; University of Quebec; Universite du Quebec a Rimouski; Columbia University; University of Victoria; University of Plymouth; University of Leeds; University of Leicester</t>
  </si>
  <si>
    <t>Austermann, J (corresponding author), Columbia Univ, Lamont Doherty Earth Observ, Palisades, NY 10964 USA.</t>
  </si>
  <si>
    <t>jackya@ldeo.columbia.edu</t>
  </si>
  <si>
    <t>IPO, PAGES/JXY-7546-2024; Telfer, Matt/K-7596-2015; Barlow, Natasha/I-1855-2013</t>
  </si>
  <si>
    <t>Telfer, Matt/0000-0002-8562-7720; Creel, Roger/0000-0001-6382-6545; Austermann, Jacqueline/0000-0003-3754-5082; Dyer, Blake/0000-0002-0277-366X; Barlow, Natasha/0000-0002-2713-2543; Boulton, Sarah/0000-0002-8251-0025</t>
  </si>
  <si>
    <t>University of Exeter; Securite publique du Quebec; NSF [OCE-1841888]; Vetlesen Foundation; European Research Council (ERC) under the European Union's Horizon 2020 research and innovation programme (RISeR) [802281]; University of Plymouth's Marine Institute; NIH Research Facility Improvement Grant [1G20RR030893-01]; New York State Empire State Development, Division of Science Technology and Innovation (NYSTAR) [C090171]; European Research Council (ERC) [802281] Funding Source: European Research Council (ERC)</t>
  </si>
  <si>
    <t>University of Exeter; Securite publique du Quebec; NSF(National Science Foundation (NSF)); Vetlesen Foundation; European Research Council (ERC) under the European Union's Horizon 2020 research and innovation programme (RISeR)(European Research Council (ERC)); University of Plymouth's Marine Institute; NIH Research Facility Improvement Grant(United States Department of Health &amp; Human ServicesNational Institutes of Health (NIH) - USAOffice of the Administrator (NIH)); New York State Empire State Development, Division of Science Technology and Innovation (NYSTAR); European Research Council (ERC)(European Research Council (ERC)Spanish Government)</t>
  </si>
  <si>
    <t>R.L.B. acknowledges a Research Fellowship from the University of Exeter and funding from the Securite publique du Quebec to the University of &amp; nbsp;Quebec at Rimouski. J.A., B.D., and R.C.C. acknowledge funding from NSF grant OCE-1841888. J.A. acknowledges support from the Vetlesen Foundation. N.L.M.B. received support for this work from European Research Council (ERC) under the European Union's Horizon 2020 research and innovation programme (RISeR, grant agreement no. 802281). M.W.T. and S.J.B. received funding for fieldwork from the University of Plymouth's Marine Institute. J.A. acknowledges computing resources from Columbia University's Shared Research Computing Facility project, which is supported by NIH Research Facility Improvement Grant 1G20RR030893-01, and associated funds from the New York State Empire State Development, Division of Science Technology and Innovation (NYSTAR) contract C090171, both awarded 15 April 2010.</t>
  </si>
  <si>
    <t>eadf0198</t>
  </si>
  <si>
    <t>10.1126/sciadv.adf0198</t>
  </si>
  <si>
    <t>M5YS5</t>
  </si>
  <si>
    <t>WOS:001030977500017</t>
  </si>
  <si>
    <t>Liu, Z; Carvalho, BB; Li, WC; Tong, LX; Bartoli, O; Chen, LY; Yan, QH; Wu, HB</t>
  </si>
  <si>
    <t>Liu, Zhao; Carvalho, Bruna B.; Li, Wancai; Tong, Laixi; Bartoli, Omar; Chen, Longyao; Yan, Qinghe; Wu, Haobo</t>
  </si>
  <si>
    <t>Into the High to Ultrahigh Temperature Melting of Earth's Crust: Investigation of Melt and Fluid Inclusions within Mg-Rich Metapelitic Granulites from the Mather Peninsula, East Antarctica</t>
  </si>
  <si>
    <t>JOURNAL OF PETROLOGY</t>
  </si>
  <si>
    <t>East Antarctica; Mather Peninsula; C-O-H fluid; Melt inclusions; UHT metamorphism</t>
  </si>
  <si>
    <t>KERALA KHONDALITE BELT; LUTZOW-HOLM COMPLEX; LA-ICP-MS; U-TH-PB; RAUER GROUP; PHASE-EQUILIBRIA; PRYDZ BAY; FACIES METAMORPHISM; CONTINENTAL-CRUST; LARSEMANN HILLS</t>
  </si>
  <si>
    <t>Precise constraints on the compositions of melts generated by anatexis under ultrahigh temperature (UHT) conditions are critical for understanding processes of partial melting and differentiation of the Earth's crust. Here we reveal geochemical and physical signatures of anatectic melts preserved as nanogranitoids (i.e. crystalized melt inclusions) within sapphirine-bearing UHT metapelitic granulites from the Mather Peninsula, East Antarctica. Their coexistence with high-Al orthopyroxene as inclusions in garnets strongly suggests that the investigated melts were at least partially UHT in origin. The nanogranitoids are enriched in SiO2 (69.9-75.6 wt.%), strongly peraluminous (ASI values = 1.2-1.6) and potassic to ultrapotassic (Na2O + K2O = 7.1-9.5 wt.%, K/Na = 2.2-9.3). When compared to the granulitic restite, the melts are enriched in Li, Cs, Rb, Ta, Sm, Nd, Zr, U and Pb, and depleted in Ce, Th, Ba, Sr and Nb. Their geochemical characteristics are consistent with biotite-dehydration melting in the absence of plagioclase. Our calculation results indicate that these hot crustal melts have low densities of 2.47 &amp; PLUSMN; 0.07 g/cm(3), low viscosities of 10(4.9 &amp; PLUSMN; 1.2) Pa &amp; BULL;s and high heat production values of &amp; SIM;2.8 &amp; mu;W/m(3). Therefore, such melts are mobile and susceptible to be extracted from the source, and consequently their flow and removal from the deep crust may greatly affect the chemical and thermal structure of the continental crust. Secondary C - O - H fluid inclusions within garnet and orthopyroxene have also been detected. These inclusions contain magnesite, pyrophyllite, corundum, with or without residual CO2. The minerals within the fluid inclusions are interpreted as stepdaughter minerals, which were produced by the reaction of the fluid with its host. The metamorphic timing of the investigated rocks is still a matter of debate. Zircon U-Pb dating results obtained in this study suggest that the metapelitic granulites may have undergone two separated thermal events at &amp; SIM;1000 and &amp; SIM;530 Ma, respectively. The presence of fluid inclusions indicates that fluid infiltration and Pan-African reworking may have played an important role in obscuring chronological information of the early thermal scenario in poly-metamorphic terranes.</t>
  </si>
  <si>
    <t>[Liu, Zhao; Tong, Laixi; Wu, Haobo] Northwest Univ, Dept Geol, State Key Lab Continental Dynam, Xian 710069, Peoples R China; [Carvalho, Bruna B.; Bartoli, Omar] Univ Padua, Dipartimento Geosci, Via Gradenigo 6, I-35131 Padua, Italy; [Li, Wancai] Univ Sci &amp; Technol China, Sch Earth &amp; Space Sci, CAS Key Lab Crust Mantle Mat &amp; Environm, Hefei 230026, Peoples R China; [Chen, Longyao] Chinese Acad Geol Sci, Inst Geomech, Key Lab Paleomagnetism &amp; Tecton Reconstruct, Minist Nat Resources, Beijing 100081, Peoples R China; [Yan, Qinghe] Yunnan Univ, Sch Resource Environm &amp; Earth Sci, Kunming 650091, Peoples R China</t>
  </si>
  <si>
    <t>Northwest University Xi'an; University of Padua; Chinese Academy of Sciences; University of Science &amp; Technology of China, CAS; Ministry of Natural Resources of the People's Republic of China; China Geological Survey; Institute of Geomechanics, Chinese Academy of Geological Sciences; Chinese Academy of Geological Sciences; Yunnan University</t>
  </si>
  <si>
    <t>Tong, LX (corresponding author), Northwest Univ, Dept Geol, State Key Lab Continental Dynam, Xian 710069, Peoples R China.</t>
  </si>
  <si>
    <t>gavin_zliu@nwu.edu.cn; bruna.borgescarvalho@unipd.it; jifm@ustc.edu.cn; tonglx@nwu.edu.cn; omar.bartoli@unipd.it; chenlongyao1220@163.com; yanqinhe211@126.com; 3275073337@qq.com</t>
  </si>
  <si>
    <t>NSFC [42102043, 41972050]; China Postdoctoral Science Foundation [2020~M683535]; Programma Nazionale di Ricerca in Antartide 2018 [PNRA18_00103]; Padua University [BART_SID19_01]</t>
  </si>
  <si>
    <t>NSFC(National Natural Science Foundation of China (NSFC)); China Postdoctoral Science Foundation(China Postdoctoral Science Foundation); Programma Nazionale di Ricerca in Antartide 2018; Padua University</t>
  </si>
  <si>
    <t>This research was financially supported by the NSFC projects (42102043, 41972050) and the China Postdoctoral Science Foundation (2020 &amp; nbsp;M683535). This study also benefitted from funding of the Programma Nazionale di Ricerca in Antartide 2018 (PNRA18_00103 to B.B. Carvalho) and Padua University (BART_SID19_01 to O. Bartoli; WelcomeKit to B.B. Carvalho). We thank the leaders and members of the 33rd and 39th Chinese National Antarctic Research Expedition (CHINARE) for the logistic support during the Antarctic field work. We are especially grateful to Prof. J. Liu for his involvement in the field work. Dr. W.Q. Yang and Dr. C. Li are thanked for his help in the electronic microprobe analyses for mineral compositions. Dr. Y.G. Feng from Chang'an University is acknowledged for his help in the Raman analyses. We are deeply indebted to Dr. J.Y. Pan, J.M. Cui and J.Y. Ding from Nanjing University for their kind help during the LA?-?ICP?-?MS analyses for trace element of melt inclusions. We are grateful to Prof. Georg Zellmer (editor-in-chief) and Sherlock Sarah (editor) for their editorial work, and Alessia Borghini, Tetsuo Kawakami and Jon Pownall for their constructive comments that greatly improved the paper.</t>
  </si>
  <si>
    <t>0022-3530</t>
  </si>
  <si>
    <t>1460-2415</t>
  </si>
  <si>
    <t>J PETROL</t>
  </si>
  <si>
    <t>J. Petrol.</t>
  </si>
  <si>
    <t>JUL 1</t>
  </si>
  <si>
    <t>egad051</t>
  </si>
  <si>
    <t>10.1093/petrology/egad051</t>
  </si>
  <si>
    <t>N3JV8</t>
  </si>
  <si>
    <t>WOS:001036025600002</t>
  </si>
  <si>
    <t>Lam, MM; Shore, RM; Chisham, G; Freeman, MP; Grocott, A; Walach, MT; Orr, L</t>
  </si>
  <si>
    <t>Lam, M. M.; Shore, R. M.; Chisham, G.; Freeman, M. P.; Grocott, A.; Walach, M. -T.; Orr, L.</t>
  </si>
  <si>
    <t>A Model of High Latitude Ionospheric Convection Derived From SuperDARN EOF Model Data</t>
  </si>
  <si>
    <t>SPACE WEATHER-THE INTERNATIONAL JOURNAL OF RESEARCH AND APPLICATIONS</t>
  </si>
  <si>
    <t>ionospheric convection; high-latitude ionosphere; operational nowcasting; solar wind-magnetosphere coupling; solar cycle variations; BAS SuperDARN EOF analysis</t>
  </si>
  <si>
    <t>INTERPLANETARY MAGNETIC-FIELD; ELECTRIC POTENTIALS; STATISTICAL PATTERNS; CURRENTS; MAGNETOSPHERE</t>
  </si>
  <si>
    <t>Forecasting of the effects of thermospheric drag on satellites will be improved significantly with better modeling of space weather effects on the high-latitude ionosphere, in particular the Joule heating arising from electric field variability. We use a regression analysis to build a model of the ionospheric convection drift velocity which is driven by relatively few solar and solar wind variables. The model is developed using a solar cycle's worth (1997-2008 inclusive) of 5-min resolution Empirical Orthogonal Function (EOF) patterns derived from Super Dual Auroral Radar Network (SuperDARN) line-of-sight observations of the convection velocity across the high-latitude northern hemisphere ionosphere. At key stages of development of the model, we use the percentage of explained variance P to see how well the model reproduces the EOF data. The final model is driven by four variables: (a) the interplanetary magnetic field component B-y, (b) the solar wind coupling parameter epsilon e, (c) a trigonometric function of day-of-year, and (d) the monthly F-10.7 index. The model can reproduce the EOF velocities with a characteristic P = 0.7. The model and EOF data compare best around the solar maximum of 2001. P $P$ is lower around solar minimum, due to occasional limitations in the geographical and temporal coverage of the SuperDARN measurements. This may indicate the need to modify our model around the minimum of the solar cycle. Our model has the potential to be used to forecast the ionospheric electric field using the real-time solar wind data available from spacecraft located upstream of the Earth.</t>
  </si>
  <si>
    <t>[Lam, M. M.; Shore, R. M.; Chisham, G.; Freeman, M. P.] British Antarctic Survey, Cambridge, England; [Grocott, A.; Walach, M. -T.; Orr, L.] Univ Lancaster, Lancaster, England</t>
  </si>
  <si>
    <t>UK Research &amp; Innovation (UKRI); Natural Environment Research Council (NERC); NERC British Antarctic Survey; Lancaster University</t>
  </si>
  <si>
    <t>Lam, MM (corresponding author), British Antarctic Survey, Cambridge, England.</t>
  </si>
  <si>
    <t>mml@bas.ac.uk</t>
  </si>
  <si>
    <t>Walach, Maria-Theresia/AAB-1833-2020</t>
  </si>
  <si>
    <t>Walach, Maria-Theresia/0000-0002-9352-0659; Grocott, Adrian/0000-0002-6489-095X; Shore, Robert/0000-0002-8386-1425; Chisham, Gareth/0000-0003-1151-5934</t>
  </si>
  <si>
    <t>NERC [NE/V002732/1, NE/N01099X/1]; National Environment Research Council (NERC) [NE/V00283X/1, NE/V002686/1, NE/T000937/1]; NERC [NE/T000937/1, NE/N01099X/1] Funding Source: UKRI; SPF [NE/V002686/1, NE/V002732/1, NE/V00283X/1] Funding Source: UKRI</t>
  </si>
  <si>
    <t>NERC(UK Research &amp; Innovation (UKRI)Natural Environment Research Council (NERC)); National Environment Research Council (NERC)(UK Research &amp; Innovation (UKRI)Natural Environment Research Council (NERC)); NERC(UK Research &amp; Innovation (UKRI)Natural Environment Research Council (NERC)); SPF</t>
  </si>
  <si>
    <t>The authors gratefully acknowledge the use of SuperDARN data. SuperDARN is a collection of radars funded by the national scientific funding agencies of Australia, Canada, China, France, Italy, Japan, Norway, South Africa, United Kingdom, and the United States. MML thanks S. Bronsdon (University of Leeds) for useful discussions. MML, RMS, GC, and MPF gratefully acknowledge funding from NERC through the standard Grant NE/V002732/1. RMS and MPF also gratefully acknowledge funding from NERC through the standard Grant NE/N01099X/1. AG and LO gratefully acknowledge funding from the National Environment Research Council (NERC) through the standard Grant NE/V00283X/1 and NE/V002686/1. AG and M-TW gratefully acknowledge funding from the National Environment Research Council (NERC) through the standard Grant NE/T000937/1.</t>
  </si>
  <si>
    <t>1542-7390</t>
  </si>
  <si>
    <t>SPACE WEATHER</t>
  </si>
  <si>
    <t>Space Weather</t>
  </si>
  <si>
    <t>e2023SW003428</t>
  </si>
  <si>
    <t>10.1029/2023SW003428</t>
  </si>
  <si>
    <t>Astronomy &amp; Astrophysics; Geochemistry &amp; Geophysics; Meteorology &amp; Atmospheric Sciences</t>
  </si>
  <si>
    <t>O2HU4</t>
  </si>
  <si>
    <t>WOS:001042088800001</t>
  </si>
  <si>
    <t>Lockwood, M</t>
  </si>
  <si>
    <t>Lockwood, M.</t>
  </si>
  <si>
    <t>Northern and Southern Hemisphere Polar Cap Indices: To What Extent Do They Agree and to What Extent Should They Agree?</t>
  </si>
  <si>
    <t>polar cap indices; hemispheric differences; solar wind coupling functions; induction effects; lobe reconnection; Russell-McPherron effect</t>
  </si>
  <si>
    <t>INTERPLANETARY MAGNETIC-FIELD; HIGH-LATITUDE; IONOSPHERIC SIGNATURES; POTENTIAL SATURATION; PLASMA CONVECTION; NUMERICAL-MODEL; RECONNECTION; MAGNETOSPHERE; FLUX; FLOW</t>
  </si>
  <si>
    <t>The IAGA-endorsed Polar Cap Indices for the northern and southern hemispheres, PCN and PCS, are compared for 1998-2018, inclusive. Potential effects of the slightly different, and changing, magnetic coordinates of the two magnetic stations employed, Thule (Qaanaaq) in Greenland and Vostok in Antarctica, are investigated. It is shown that the agreement in overall behavior of the two indices is very close indeed but that PCS consistently correlates slightly better with solar wind parameters than PCN. Optimum lags for these correlations are 19 min for 1-min data and 37 min for hourly averages. The correlations are significantly highest for the predicted magnetopause reconnection voltage, which is a linear predictor of PCN and PCS for all 1-hr data and for all but the largest 0.1% of 1-min values. The indices show lower correlation and marked non-linearity (tending to saturation) at all levels with the estimated magnetopause reconnection electric field or the estimated power input into the magnetosphere. The PCN index is shown to correlate closely with the transpolar voltage measured by the northern-hemisphere SuperDARN radar network and both PCN and PCS clearly show the Russell-McPherron effect of dipole tilt and the Y-component of the interplanetary magnetic field. However the patterns in time-of-year and Universal Time (UT) are complicated by lobe reconnection during northward-IMF, the effect of which on the indices is shown to be predominantly a summer hemisphere phenomenon and gives a UT dependence on the IMF Y-component that is predicted theoretically.</t>
  </si>
  <si>
    <t>[Lockwood, M.] Univ Reading, Dept Meteorol, Reading, England</t>
  </si>
  <si>
    <t>University of Reading</t>
  </si>
  <si>
    <t>Lockwood, M (corresponding author), Univ Reading, Dept Meteorol, Reading, England.</t>
  </si>
  <si>
    <t>m.lockwood@reading.ac.uk</t>
  </si>
  <si>
    <t>Lockwood, Mike/G-1030-2011</t>
  </si>
  <si>
    <t>Lockwood, Mike/0000-0002-7397-2172</t>
  </si>
  <si>
    <t>United Kingdom Science and Technology Facilities Council (UKRI/STFC) [ST/R000921/1, ST/V000497/1]; United Kingdom Natural Environment Research Council (UKRI/NERC) [NE/P016928/1, NE/S010033/1]</t>
  </si>
  <si>
    <t>United Kingdom Science and Technology Facilities Council (UKRI/STFC); United Kingdom Natural Environment Research Council (UKRI/NERC)</t>
  </si>
  <si>
    <t>The author is grateful to the instrument scientists and engineers who make the data sets employed in this study possible; in particular those at the National Space Institute, Technical University of Denmark (DTU, Denmark) for the PCN index and the Arctic and Antarctic Research Institute (AARI, Russian Federation) for the PCS index. He is also grateful to the SuperDARN project. SuperDARN is a collection of radars funded by national scientific funding agencies of Australia, Canada, China, France, Italy, Japan, Norway, South Africa, United Kingdom and the United States of America: he particularly thanks Kathryn McWilliams of University of Saskatchewan for the generation of the SuperDARN transpolar voltage data set used. He also thanks the staff of the data centres that allow easy access to the data. These include: the Space Physics Data Facility (SPDF) at NASA's Goddard Space Flight Center for the Omni composite of interplanetary observations; the International Service of Geomagnetic Indices (ISGI), France and collaborating institutes for distribution of the polar cap indices. This work is supported by a number of grants: consolidated Grants ST/R000921/1 and ST/V000497/1 from the United Kingdom Science and Technology Facilities Council (UKRI/STFC) and the SWIGS Directed Highlight Topic Grants NE/P016928/1/and NE/S010033/1 from the United Kingdom Natural Environment Research Council (UKRI/NERC).</t>
  </si>
  <si>
    <t>e2023JA031464</t>
  </si>
  <si>
    <t>10.1029/2023JA031464</t>
  </si>
  <si>
    <t>O0GZ7</t>
  </si>
  <si>
    <t>Green Accepted, Green Submitted, hybrid</t>
  </si>
  <si>
    <t>WOS:001040705000001</t>
  </si>
  <si>
    <t>Hoffman, JI; Heesch, S; Clark, MS</t>
  </si>
  <si>
    <t>Hoffman, Joseph Ivan; Heesch, Svenja; Clark, Melody Susan</t>
  </si>
  <si>
    <t>Editorial: Polar Genomics in a Changing World</t>
  </si>
  <si>
    <t>GENES</t>
  </si>
  <si>
    <t>[Hoffman, Joseph Ivan] Univ Bielefeld, Dept Anim Behav, Postfach 10 01 31, D-33615 Bielefeld, Germany; [Hoffman, Joseph Ivan; Clark, Melody Susan] British Antarctic Survey, Madingley Rd, Cambridge CB3 OET, England; [Heesch, Svenja] Univ Rostock, Inst Biosci, Appl Ecol &amp; Phycol, D-18059 Rostock, Germany</t>
  </si>
  <si>
    <t>University of Bielefeld; UK Research &amp; Innovation (UKRI); Natural Environment Research Council (NERC); NERC British Antarctic Survey; University of Rostock</t>
  </si>
  <si>
    <t>Hoffman, JI (corresponding author), Univ Bielefeld, Dept Anim Behav, Postfach 10 01 31, D-33615 Bielefeld, Germany.;Hoffman, JI (corresponding author), British Antarctic Survey, Madingley Rd, Cambridge CB3 OET, England.</t>
  </si>
  <si>
    <t>joseph.hoffman@uni-bielefeld.de</t>
  </si>
  <si>
    <t>; Hoffman, Joseph/K-7725-2012; Clark, Melody/D-7371-2014</t>
  </si>
  <si>
    <t>Heesch, Svenja/0000-0002-4531-0921; Hoffman, Joseph/0000-0001-5895-8949; Clark, Melody/0000-0002-3442-3824</t>
  </si>
  <si>
    <t>Deutsche Forschungsgemeinschaft (DFG) [SPP 1158, 424119118, 462615224, 501756173]; Bielefeld University</t>
  </si>
  <si>
    <t>Deutsche Forschungsgemeinschaft (DFG)(German Research Foundation (DFG)); Bielefeld University</t>
  </si>
  <si>
    <t>&amp; nbsp;This Special Issue is the product of a topic workshop that was organised as part of the Deutsche Forschungsgemeinschaft (DFG) priority program Antarctic Research with Comparative Investigations in Arctic Ice Areas SPP 1158. JIH was supported by the SPP 1158 (project numbers 424119118, 462615224 and 501756173). Support for the Article Processing Charge was granted by the DFG and the Open Access Publication Fund of Bielefeld University.</t>
  </si>
  <si>
    <t>2073-4425</t>
  </si>
  <si>
    <t>GENES-BASEL</t>
  </si>
  <si>
    <t>Genes</t>
  </si>
  <si>
    <t>10.3390/genes14071395</t>
  </si>
  <si>
    <t>Genetics &amp; Heredity</t>
  </si>
  <si>
    <t>N8MQ8</t>
  </si>
  <si>
    <t>WOS:001039495200001</t>
  </si>
  <si>
    <t>Huang, Y; Ma, RW; Li, J; Tu, SY</t>
  </si>
  <si>
    <t>Huang, Yue; Ma, Ruiwen; Li, Jie; Tu, Shuyu</t>
  </si>
  <si>
    <t>Sea Surface Temperature Changes Reflected by Diatoms in the P6-10 Core from 1893 to 2013 from Prydz Bay, Antarctica</t>
  </si>
  <si>
    <t>diatom; SST; semi-quantitative reconstruction; Prydz Bay</t>
  </si>
  <si>
    <t>SOUTH CHINA SEA; EAST ANTARCTICA; RECONSTRUCTION; SEDIMENTS; CLIMATE; REGION; MODEL; OCEAN; LAKE; PALEOENVIRONMENTS</t>
  </si>
  <si>
    <t>Identification and analysis was conducted on the diatoms from the 19 cm sediment of the P6-10 core, drilled from China's 29th Antarctic Expedition, to attempt to semi-quantitatively reconstruct the annual sea surface temperature (SST) of Prydz Bay from 1893 to 2013. There were 30 species within the 12 genera of diatoms found, and the main contributors were Fragilariopsis curta, F. cylindrus, F. sublinearis, F. ritscheri, and Thalassiosira antarctica. They were divided into three categories based on their ecological affinity. The percentages of four specific species, i.e., F. curta, F. cylindrus, F. ritscheri, and F. separanda, which might be low SST indicators, were added together to represent the SST of Prydz Bay. With the help of cluster analysis, diatom assemblages were divided into diatom zones. Therefore, SST changes were divided into five stages by both the percentage of those four diatom species and the diatom zones: the high-temperature stage from 1893 to 1903, the cooling stage from 1903 to 1936, the stable and warm stage from 1936 to 1983, the low-temperature stage from 1983 to 1996, and the temperature rising stage from 1996 to 2013. On the multidecadal scale, SST change was affected by adjustments to solar radiation. On the contrary, the ENSO events mainly affected SST on the interannual scale. In addition, regarding the unique geographical environment (such as regional atmospheric circulation and a wind field) in Prydz Bay, volcanic eruptions and the like also played important roles in some exceptional periods.</t>
  </si>
  <si>
    <t>[Huang, Yue; Ma, Ruiwen; Tu, Shuyu] Yunnan Univ, Sch Earth Sci, Kunming 650500, Peoples R China; [Li, Jie] Yunnan Res Acad Ecoenvironm Sci, Yunnan Key Lab Pollut Proc &amp; Management Plateau La, Kunming 650034, Peoples R China</t>
  </si>
  <si>
    <t>Yunnan University</t>
  </si>
  <si>
    <t>Huang, Y (corresponding author), Yunnan Univ, Sch Earth Sci, Kunming 650500, Peoples R China.</t>
  </si>
  <si>
    <t>yuehuang@ynu.edu.cn; maruiwen@itc.ynu.edu.cn; lijie@yraes.org.cn; shuyutu@163.com</t>
  </si>
  <si>
    <t>National Natural Science Foundation of China [41966008]</t>
  </si>
  <si>
    <t>This research was funded by the National Natural Science Foundation of China (No. 41966008).</t>
  </si>
  <si>
    <t>10.3390/jmse11071428</t>
  </si>
  <si>
    <t>N7AY7</t>
  </si>
  <si>
    <t>WOS:001038508100001</t>
  </si>
  <si>
    <t>Prates, G; Vieira, G</t>
  </si>
  <si>
    <t>Prates, Goncalo; Vieira, Goncalo</t>
  </si>
  <si>
    <t>Surface Displacement of Hurd Rock Glacier from 1956 to 2019 from Historical Aerial Frames and Satellite Imagery (Livingston Island, Antarctic Peninsula)</t>
  </si>
  <si>
    <t>historical photogrammetry; structure-from-motion; rock glaciers; South Shetland Islands; Antarctic Peninsula</t>
  </si>
  <si>
    <t>STRUCTURE-FROM-MOTION; SOUTH SHETLAND ISLANDS; DECEPTION ISLAND; ACTIVE-LAYER; LOW-COST; PERMAFROST; MODEL; VARIABILITY; EVOLUTION; LAKE</t>
  </si>
  <si>
    <t>In the second half of the 20th century, the western Antarctic Peninsula recorded the highest mean annual air temperature rise in the Antarctic. The South Shetland Islands are located about 100 km northwest of the Antarctic Peninsula. The mean annual air temperature at sea level in this Maritime Antarctic region is close to -2 &amp; DEG;C and, therefore, very sensitive to permafrost degradation following atmospheric warming. Among geomorphological indicators of permafrost are rock glaciers found below steep slopes as a consequence of permafrost creep, but with surficial movement also generated by solifluction and shallow landslides of rock debris and finer sediments. Rock glacier surface velocity is a new essential climate variable parameter by the Global Climate Observing System, and its historical analysis allows insight into past permafrost behavior. Recovery of 1950s aerial image stereo-pairs and structure-from-motion processing, together with the analysis of QuickBird 2007 and Pleiades 2019 high-resolution satellite imagery, allowed inferring displacements of the Hurd rock glacier using compression ridge-and-furrow morphology analysis over 60 years. Displacements measured on the rock glacier surface from 1956 until 2019 were from 7.5 m to 22.5 m and surface velocity of 12 cm/year to 36 cm/year, measured on orthographic images, with combined deviation root-mean-square of 2.5 m and 2.4 m in easting and northing. The inferred surface velocity also provides a baseline reference to assess today's displacements. The results show patterns of the Hurd rock glacier displacement velocity, which are analogous to those reported within the last decade, without being possible to assess any displacement acceleration.</t>
  </si>
  <si>
    <t>[Prates, Goncalo; Vieira, Goncalo] Univ Lisbon, Ctr Estudos Geog, Associate Lab TERRA, Inst Geog &amp; Ordenamento Terr, P-1600276 Lisbon, Portugal; [Prates, Goncalo] Univ Algarve, Inst Super Engn, P-8005139 Faro, Portugal; [Prates, Goncalo] Univ Cadiz, Lab Astron Geodesia &amp; Cartog, Cadiz 11510, Spain</t>
  </si>
  <si>
    <t>Universidade de Lisboa; Universidade do Algarve; Universidad de Cadiz; Consejo Superior de Investigaciones Cientificas (CSIC); CSIC-UCM - Instituto de Astronomia y Geodesia (IAG)</t>
  </si>
  <si>
    <t>Prates, G (corresponding author), Univ Lisbon, Ctr Estudos Geog, Associate Lab TERRA, Inst Geog &amp; Ordenamento Terr, P-1600276 Lisbon, Portugal.;Prates, G (corresponding author), Univ Algarve, Inst Super Engn, P-8005139 Faro, Portugal.;Prates, G (corresponding author), Univ Cadiz, Lab Astron Geodesia &amp; Cartog, Cadiz 11510, Spain.</t>
  </si>
  <si>
    <t>gprates@ualg.pt</t>
  </si>
  <si>
    <t>Prates, Gonçalo/K-4018-2014; Vieira, Goncalo/G-5958-2010</t>
  </si>
  <si>
    <t>Prates, Gonçalo/0000-0001-5797-9158; Vieira, Goncalo/0000-0001-7611-3464</t>
  </si>
  <si>
    <t>Portuguese Science and Technology Foundation through the Portuguese Polar Program; [THAWIMPACT/2022.06628.PTDC]</t>
  </si>
  <si>
    <t>Portuguese Science and Technology Foundation through the Portuguese Polar Program;</t>
  </si>
  <si>
    <t>This research was funded by the Portuguese Science and Technology Foundation through the Portuguese Polar Program under the PERMANTAR projects (PROPOLAR/FCT) and THAWIMPACT/2022.06628.PTDC.</t>
  </si>
  <si>
    <t>10.3390/rs15143685</t>
  </si>
  <si>
    <t>N7UH4</t>
  </si>
  <si>
    <t>WOS:001039013600001</t>
  </si>
  <si>
    <t>McKinney, T; Perlaky, N; Newchurch, M; Brown, B</t>
  </si>
  <si>
    <t>McKinney, Todd; Perlaky, Nick; Newchurch, Mike; Brown, Bill</t>
  </si>
  <si>
    <t>Insights on Polar Day Antarctica Radio Propagation Using Amateur Radio Beacons on Circumnavigating Balloons</t>
  </si>
  <si>
    <t>radio propagation; polar ionosphere; balloons; HF propagation</t>
  </si>
  <si>
    <t>IONOSPHERE</t>
  </si>
  <si>
    <t>We deployed six pico balloons with 20 m transmitters (14.09 MHz) from Neumayer Station III in the 2022 Antarctic summer. Our objective was to evaluate ionospheric propagation in lower latitudes. Leveraging the Weak Signal Propagation Reporter (WSPR) protocol, we transmitted and received telemetry data on a global scale. Each balloon remained airborne for over a month, with one completing eight circumnavigations of the southern hemisphere, transmitting WSPR beacon data for 98 days. Our analysis focused on signal propagation characteristics in the polar ionosphere and surrounding regions, considering factors such as location relative to the WSPR network and solar elevation angles. Alignment between solar elevation angles at transmitting and receiving stations indicated a relationship with signal reception; lower solar elevation angles proved crucial for long-range propagation. We discovered that, beyond a solar angle of 60 degrees above the horizon, no decodes were recorded beyond 7500 km. Most signal spots were observed within a 1000-5000 km range and solar elevation angles ranging from 1 to 80 degrees. Over Antarctica, spot occurrences peaked around 4 UTC, particularly during the early hours of the day. Our findings demonstrate the usefulness of pico balloons for propagation studies, providing insights into the WSPR network's coverage over Antarctica and surrounding lower latitudes.</t>
  </si>
  <si>
    <t>[McKinney, Todd; Perlaky, Nick; Newchurch, Mike] Univ Alabama Huntsville, Shelby Ctr Sci &amp; Technol, 301 Sparkman Dr NW, Huntsville, AL 35899 USA; [Brown, Bill] NASA Marshall Space Flight Ctr, Martin Rd SW, Huntsville, AL 35808 USA</t>
  </si>
  <si>
    <t>University of Alabama System; University of Alabama Huntsville; National Aeronautics &amp; Space Administration (NASA); NASA Marshall Space Flight Center</t>
  </si>
  <si>
    <t>McKinney, T; Newchurch, M (corresponding author), Univ Alabama Huntsville, Shelby Ctr Sci &amp; Technol, 301 Sparkman Dr NW, Huntsville, AL 35899 USA.</t>
  </si>
  <si>
    <t>tm0155@uah.edu; nick.perlaky@uah.edu; mike.newchurch@uah.edu; william.j.brown@nasa.gov</t>
  </si>
  <si>
    <t>McKinney, Todd/0009-0005-4549-9735; Newchurch, Michael/0000-0001-7810-6276</t>
  </si>
  <si>
    <t>University of Alabama in Huntsville's Collage of Science; Earth System Science Center; University of Alabama in Huntsville's Atmospheric and Earth Science Department; Alfred Wegener Institute [NM-S-AWI00-ASH]</t>
  </si>
  <si>
    <t>University of Alabama in Huntsville's Collage of Science; Earth System Science Center; University of Alabama in Huntsville's Atmospheric and Earth Science Department; Alfred Wegener Institute</t>
  </si>
  <si>
    <t>This research was funded by the University of Alabama in Huntsville's Collage of Science, the Earth System Science Center, and the University of Alabama in Huntsville's Atmospheric and Earth Science Department. Station time was awarded by the Alfred Wegener Institute under proposal number NM-S-AWI00-ASH.</t>
  </si>
  <si>
    <t>10.3390/atmos14071118</t>
  </si>
  <si>
    <t>N6DN2</t>
  </si>
  <si>
    <t>WOS:001037896100001</t>
  </si>
  <si>
    <t>Nualart, DP; Dann, F; Oyarzún-Salazar, R; Morera, FJ; Vargas-Chacoff, L</t>
  </si>
  <si>
    <t>Nualart, Daniela P. P.; Dann, Francisco; Oyarzun-Salazar, Ricardo; Morera, Francisco J. J.; Vargas-Chacoff, Luis</t>
  </si>
  <si>
    <t>Immune Transcriptional Response in Head Kidney Primary Cell Cultures Isolated from the Three Most Important Species in Chilean Salmonids Aquaculture</t>
  </si>
  <si>
    <t>immune response; head kidney cells; primary culture; LPS; POLY I; C; salmonids</t>
  </si>
  <si>
    <t>TOLL-LIKE RECEPTORS; RAINBOW-TROUT; PATHOGEN RECOGNITION; GENE-EXPRESSION; ELEGINOPS-MACLOVINUS; STOCKING DENSITY; ATLANTIC SALMON; LINE; PATTERNS; SYSTEM</t>
  </si>
  <si>
    <t>Simple Summary Protecting the welfare of animals and the 3Rs rule are very relevance, and for this reason cell culture is an important tool. In fish it has importance in several fields such as virology, toxicology, pathology and immunology. The objective was to carry out a primary culture of the head kidneys of Atlantic salmon (Salmo salar), Pacific salmon (Oncorhynchus kisutch) and rainbow trout (Oncorhynchus mykiss), and to characterize how they respond to bacterial and viral stimuli by analyzing molecules that participate in the innate and adaptive immune response. The primary cell cultures of the head kidney (HK) from the three salmonids studied were cultured and exposed to two substances that mimic molecular patterns of different pathogens, i.e., Lipopolysaccharide (LPS) and Polyinosinic: polycytidylic acid (POLY I:C). The HK primary cell cultures from the three species grown in vitro responded differently to POLY I:C and LPS. This is the first study to demonstrate and characterize the expression of immune genes in head kidney primary cell cultures isolated from three salmonid species. It also indicates their potential role in developing immune responses as defense response agents and targets of immunoregulatory factors. Fish cell culture is a common in vitro tool for studies in different fields such as virology, toxicology, pathology and immunology of fish. Fish cell cultures are a promising help to study how to diagnose and control relevant viral and intracellular bacterial infections in aquaculture. They can also be used for developing vaccines and immunostimulants, especially with the ethical demand aiming to reduce and replace the number of fish used in research. This study aimed to isolate head kidney primary cell cultures from three Chilean salmonids: Salmo salar, Oncorhynchus kisutch, and Oncorhynchus mykiss, and characterize the response to bacterial and viral stimuli by evaluating various markers of the innate and adaptive immune response. Specifically, the primary cell cultures of the head kidney from the three salmonids studied were cultured and exposed to two substances that mimic molecular patterns of different pathogens, i.e., Lipopolysaccharide (LPS) (bacterial) and Polyinosinic: polycytidylic acid (POLY I:C). Subsequently, we determined the mRNA expression profiles of the TLR-1, TLR-8, IgM, TLR-5, and MHC II genes. Head kidney primary cell cultures from the three species grown in vitro responded differently to POLY I:C and LPS. This is the first study to demonstrate and characterize the expression of immune genes in head kidney primary cell culture isolated from three salmonid species. It also indicates their potential role in developing immune responses as defense response agents and targets of immunoregulatory factors.</t>
  </si>
  <si>
    <t>[Nualart, Daniela P. P.; Dann, Francisco; Vargas-Chacoff, Luis] Univ Austral Chile, Inst Marine &amp; Limnol Sci, Fac Sci, Fish Physiol Lab, Valdivia 5090000, Chile; [Nualart, Daniela P. P.] Univ Austral Chile, PhD Program Aquaculture Sci, Puerto Montt 5480000, Chile; [Nualart, Daniela P. P.; Vargas-Chacoff, Luis] Univ Austral Chile, Millennium Inst Biodivers Antarctic &amp; Subantarct E, BASE, Valdivia 5090000, Chile; [Nualart, Daniela P. P.; Vargas-Chacoff, Luis] Univ Austral Chile, Ctr Fondap Invest Altas Latitudes IDEAL, Valdivia 5090000, Chile; [Oyarzun-Salazar, Ricardo] Univ San Sebastian, Fac Ciencias Nat, Lab Inst, Puerto Montt 5480000, Chile; [Morera, Francisco J. J.] Univ Austral Chile, Inst Pharmacol &amp; Morphophysiol, Fac Vet Sci, Appl Biochem Lab, Valdivia 5090000, Chile; [Morera, Francisco J. J.; Vargas-Chacoff, Luis] Univ Austral Chile, Integrat Biol Grp, Valdivia 5090000, Chile</t>
  </si>
  <si>
    <t>Universidad Austral de Chile; Universidad Austral de Chile; Universidad Austral de Chile; Universidad Austral de Chile; Universidad San Sebastian; Universidad Austral de Chile; Universidad Austral de Chile</t>
  </si>
  <si>
    <t>Nualart, DP; Vargas-Chacoff, L (corresponding author), Univ Austral Chile, Inst Marine &amp; Limnol Sci, Fac Sci, Fish Physiol Lab, Valdivia 5090000, Chile.;Nualart, DP (corresponding author), Univ Austral Chile, PhD Program Aquaculture Sci, Puerto Montt 5480000, Chile.;Nualart, DP; Vargas-Chacoff, L (corresponding author), Univ Austral Chile, Millennium Inst Biodivers Antarctic &amp; Subantarct E, BASE, Valdivia 5090000, Chile.;Nualart, DP; Vargas-Chacoff, L (corresponding author), Univ Austral Chile, Ctr Fondap Invest Altas Latitudes IDEAL, Valdivia 5090000, Chile.;Vargas-Chacoff, L (corresponding author), Univ Austral Chile, Integrat Biol Grp, Valdivia 5090000, Chile.</t>
  </si>
  <si>
    <t>daniela.nualart@gmail.com; franciscojavierdann@gmail.com; ricardo.oyarzun@uss.cl; jmorera@uach.cl; luis.vargas@uach.cl</t>
  </si>
  <si>
    <t>Oyarzun-Salazar, Ricardo/0000-0003-3177-399X; Vargas-Chacoff, Luis/0000-0002-0497-2582; Morera, Francisco J./0000-0003-4193-454X</t>
  </si>
  <si>
    <t>Fondecyt Regular [1160877]; Fondap-Ideal [15150003]; ANID-Millennium Science Initiative Program [ICN2021_002]</t>
  </si>
  <si>
    <t>Fondecyt Regular(Comision Nacional de Investigacion Cientifica y Tecnologica (CONICYT)CONICYT FONDECYT); Fondap-Ideal; ANID-Millennium Science Initiative Program</t>
  </si>
  <si>
    <t>This work was supported by Fondecyt Regular (1160877) and (1180957), Fondap-Ideal 15150003, ANID-Millennium Science Initiative Program-Center code ICN2021_002. D. Nualart awarded the scholarship ANID-Millennium Science Initiative Program-Center code ICN2021_002.</t>
  </si>
  <si>
    <t>10.3390/biology12070924</t>
  </si>
  <si>
    <t>N6FA3</t>
  </si>
  <si>
    <t>WOS:001037935200001</t>
  </si>
  <si>
    <t>Caruso, G; Maimone, G; Rappazzo, AC; Dell'Acqua, O; Laganà, P; Azzaro, M</t>
  </si>
  <si>
    <t>Caruso, Gabriella; Maimone, Giovanna; Rappazzo, Alessandro Ciro; Dell'Acqua, Ombretta; Lagana, Pasqualina; Azzaro, Maurizio</t>
  </si>
  <si>
    <t>Microbial Biofilm Colonizing Plastic Substrates in the Ross Sea (Antarctica): First Overview of Community-Level Physiological Profiles</t>
  </si>
  <si>
    <t>microbial biofilm community; carbon substrate utilization patterns; plastisphere; Antarctica</t>
  </si>
  <si>
    <t>METABOLIC DIVERSITY; BACTERIAL COMMUNITIES; FUNCTIONAL DIVERSITY; SEASONAL-CHANGES; BACTERIOPLANKTON; PATTERNS; ENVIRONMENTS; ECOLOGY; CARBON</t>
  </si>
  <si>
    <t>The microbial colonization of plastic substrates made of polyvinylchloride (PVC) and polyethylene (PE) was studied in Tethys and Road Bays (Ross Sea, Antarctica) in order to evaluate the metabolic profiles of the plastisphere community in comparison with those of the surrounding waters. PVC and PE panels, mounted on stainless steel structures, were deployed in the austral summer 2017 at 5 and 20 m and recovered one year later at four different stations (Amorphous Glacier-AG was potentially impacted by the ice-melting process, and its control site was within Tethys Bay-TB; Road Bay-RB, close to the wastewater plant of the Italian research station Mario Zucchelli and its control site Punta Stocchino-PTS). Additional panels were settled in Road Bay at 5 m and recovered after three months to follow time variability in the microbial colonization process. At the same times and depths as plastic substrates, water samples were also collected. Carbon substrates' utilization rates were determined on scraped microbial biofilm and water samples, with a fluorimetric assay based on 96-well Biolog Ecoplates. Complex carbon sources, carbohydrate and amines were the organic substrates that mostly fuelled the community metabolism in the RB area, while in the TB area, in addition to carbohydrates, phosphate carbon compounds and amino acids were also actively utilized. Within Road Bay, small differences in the physiological profiles were found, with higher metabolic rates in the biofilm community after 3 months' deployment (late austral summer period) compared to 12 months, suggesting that autumn to spring period conditions negatively affected foulers' metabolism. Moreover, different metabolic profiles between the plastisphere and the pelagic microbial community were observed; this last utilized a higher number of carbon sources, while plastic substrates were colonized by a more specialized community. Higher carbon substrate utilization rates were recorded at RB and AG stations, receiving organic supply from anthropic activity or ice melting sources, respectively, compared to their control sites. These results highlighted the functional plasticity of the microbial community, with the adaptive ability to utilize a diversified range of organic substrates.</t>
  </si>
  <si>
    <t>[Caruso, Gabriella; Maimone, Giovanna; Azzaro, Maurizio] CNR, Inst Polar Sci CNR ISP, Sect Messina, Spianata S Raineri 86, I-98122 Messina, Italy; [Maimone, Giovanna] CaFoscari Univ, Sci Campus,Via Torino 155, I-30172 Venice Mestre, Italy; [Dell'Acqua, Ombretta] CNR, Inst Polar Sci CNR ISP, Sect Venice, Via Torino 155, I-30172 Venice Mestre, Italy; [Lagana, Pasqualina] Univ Messina, BIOMORF, Via Consolare Valeria, I-98121 Messina, Italy</t>
  </si>
  <si>
    <t>Consiglio Nazionale delle Ricerche (CNR); Istituto di Scienze Polari (ISP-CNR); Consiglio Nazionale delle Ricerche (CNR); Istituto di Scienze Polari (ISP-CNR); University of Messina</t>
  </si>
  <si>
    <t>Caruso, G (corresponding author), CNR, Inst Polar Sci CNR ISP, Sect Messina, Spianata S Raineri 86, I-98122 Messina, Italy.</t>
  </si>
  <si>
    <t>gabriella.caruso@cnr.it; giovanna.maimone@cnr.it; alessandro.rappazzo@unive.it; ombretta.dellacqua@cnr.it; plagana@unime.it; maurizio.azzaro@cnr.it</t>
  </si>
  <si>
    <t>Caruso, Gabriella/F-5450-2013; azzaro, Maurizio/AAE-6784-2019</t>
  </si>
  <si>
    <t>Caruso, Gabriella/0000-0002-3819-5486; azzaro, Maurizio/0000-0001-7885-2340; Lagana, Pasqualina/0000-0002-6078-9520</t>
  </si>
  <si>
    <t>Programma Nazionale di Ricerche in Antartide (PNRA), Italian Ministry of University and Research Microbial colonization of Antarctic benthic environments: response of microbial abundances, diversity, activities and larval settlement to natural and anthrop [PNRA16_00105]</t>
  </si>
  <si>
    <t>Programma Nazionale di Ricerche in Antartide (PNRA), Italian Ministry of University and Research Microbial colonization of Antarctic benthic environments: response of microbial abundances, diversity, activities and larval settlement to natural and anthrop</t>
  </si>
  <si>
    <t>This research was funded by the Programma Nazionale di Ricerche in Antartide (PNRA), Italian Ministry of University and Research Microbial colonization of Antarctic benthic environments: response of microbial abundances, diversity, activities and larval settlement to natural and anthropogenic disturbances and search for secondary metabolites, acronym_ ANT_Biofilm) (grant number PNRA16_00105).</t>
  </si>
  <si>
    <t>10.3390/jmse11071317</t>
  </si>
  <si>
    <t>N4SG6</t>
  </si>
  <si>
    <t>WOS:001036923200001</t>
  </si>
  <si>
    <t>Panfilova, M; Karaev, V</t>
  </si>
  <si>
    <t>Panfilova, Maria; Karaev, Vladimir</t>
  </si>
  <si>
    <t>Sea Ice Detection by an Unsupervised Method Using Ku- and Ka-Band Radar Data at Low Incidence Angles: First Results</t>
  </si>
  <si>
    <t>dual frequency precipitation radar; global precipitation measurement satellite; near nadir normalized radar cross section; sea ice detection; clustering</t>
  </si>
  <si>
    <t>PASSIVE MICROWAVE; PARAMETERS; SCATTEROMETER</t>
  </si>
  <si>
    <t>This paper presents the first results of sea ice detection using the data of Ka- and Ku-band radars at low incidence angles. A classification method based on an unsupervised K-means approach is applied to the arrays of the data for the Arctic and Antarctic regions. Comparison with Advanced Microwave Scanning Radiometer 2 (AMSR-2) data was performed, and the dependence of classification performance was evaluated for incidence angles from 0 &amp; DEG; to 18.15 &amp; DEG;. This paper evaluates the classification accuracy of sea ice detection based on Ku-band, Ka-band, and their combination. Preliminary results indicate that the classification based solely on Ku-band data achieves the best performance.</t>
  </si>
  <si>
    <t>[Panfilova, Maria; Karaev, Vladimir] Russian Acad Sci, Inst Appl Phys, Nizhnii Novgorod 603950, Russia</t>
  </si>
  <si>
    <t>Russian Academy of Sciences; Institute of Applied Physics of the Russian Academy of Sciences</t>
  </si>
  <si>
    <t>Panfilova, M (corresponding author), Russian Acad Sci, Inst Appl Phys, Nizhnii Novgorod 603950, Russia.</t>
  </si>
  <si>
    <t>mariap@ipfran.ru; volody@ipfran.ru</t>
  </si>
  <si>
    <t>Karaev, Vladimir/0000-0002-4054-4905</t>
  </si>
  <si>
    <t>10.3390/rs15143530</t>
  </si>
  <si>
    <t>N4DX2</t>
  </si>
  <si>
    <t>WOS:001036547800001</t>
  </si>
  <si>
    <t>Murphy, KR; Sandhu, J; Rae, IJ; Daggitt, T; Glauert, S; Horne, RB; Watt, CEJ; Bentley, S; Kellerman, A; Ozeke, L; Halford, AJ; Tian, S; Breneman, A; Olifer, L; Mann, IR; Angelopoulos, V; Wygant, J</t>
  </si>
  <si>
    <t>Murphy, Kyle R. R.; Sandhu, Jasmine; Rae, I. Jonathan; Daggitt, Thomas; Glauert, Sarah; Horne, Richard B. B.; Watt, Clare E. J.; Bentley, Sarah; Kellerman, Adam; Ozeke, Louis; Halford, Alexa J. J.; Tian, Sheng; Breneman, Aaron; Olifer, Leonid; Mann, Ian R. R.; Angelopoulos, Vassilis; Wygant, John</t>
  </si>
  <si>
    <t>A New Four-Component L*-Dependent Model for Radial Diffusion Based on Solar Wind and Magnetospheric Drivers of ULF Waves</t>
  </si>
  <si>
    <t>LOW FREQUENCY WAVES; BELT ELECTRONS; ACCELERATION; SCATTERING; LOSSES</t>
  </si>
  <si>
    <t>Waves which couple to energetic electrons are particularly important in space weather, as they drive rapid changes in the topology and intensity of Earth's outer radiation belt during geomagnetic storms. This includes Ultra Low Frequency (ULF) waves that interact with electrons via radial diffusion which can lead to electron dropouts via outward transport and rapid electron acceleration via inward transport. In radiation belt simulations, the strength of this interaction is specified by ULF wave radial diffusion coefficients. In this paper we detail the development of new models of electric and magnetic radial diffusion coefficients derived from in-situ observations of the azimuthal electric field and compressional magnetic field. The new models use L* as it accounts for adiabatic changes due to the dynamic magnetic field coupled with an optimized set of four components of solar wind and geomagnetic activity, B-z, V, P-dyn, and Sym - H, as independent variables (inputs). These independent variables are known drivers of ULF waves and offer the ability to calculate diffusion coefficients at a higher cadence then existing models based on Kp. We investigate the performance of the new models by characterizing the model residuals as a function of each independent variable and by comparing to existing radial diffusion models during a quiet geomagnetic period and through a geomagnetic storm. We find that the models developed here perform well under varying levels of activity and have a larger slope or steeper gradient as a function of L* as compared to existing models (higher diffusion at higher L* values). Plain Language Summary The outer radiation belt is a region of space comprising highly energetic electrons. During periods of extreme space weather, the number and energy of these electrons can rapidly vary. During these periods as the electron energies and numbers become enhanced, they can pose a threat to satellite and space infrastructure. While we have an excellent understanding of the physical processes which drive radiation belt electron dynamics, we still have a limited ability to model and forecast radiation belt dynamics; this is a result of the complexity of Earth's radiation belt system. One of the key processes controlling radiation belt dynamics is Ultra Low Frequency (ULF) wave radial diffusion. In this work we detail the development a new model quantifying the strength of ULF wave radial diffusion in the outer radiation belt utilizing space base observations of the electric and magnetic fields in Earth's magnetosphere. Accurately quantifying ULF wave radial diffusion is fundamental to understanding radiation belt dynamics and any improvement or refinements in radial diffusion models can help to provide a better understanding of the complex radiation belt system and importantly improve hindcasts, nowcasts, and forecasts.</t>
  </si>
  <si>
    <t>[Murphy, Kyle R. R.; Sandhu, Jasmine; Rae, I. Jonathan; Watt, Clare E. J.; Bentley, Sarah; Mann, Ian R. R.] Northumbria Univ, Dept Maths Phys &amp; Elect Engn, Newcastle Upon Tyne, England; [Murphy, Kyle R. R.] Lakehead Univ, Dept Phys, Thunder Bay, ON, Canada; [Daggitt, Thomas; Glauert, Sarah; Horne, Richard B. B.] British Antarctic Survey, Cambridge, England; [Daggitt, Thomas] Univ Cambridge, Dept Appl Math &amp; Theoret Phys, Cambridge, England; [Kellerman, Adam; Angelopoulos, Vassilis] Univ Calif Los Angeles, Dept Earth Planetary &amp; Space Sci, Los Angeles, CA USA; [Ozeke, Louis; Olifer, Leonid; Mann, Ian R. R.] Univ Alberta, Dept Phys, Edmonton, AB, Canada; [Halford, Alexa J. J.; Breneman, Aaron] NASA, Goddard Spaceflight Ctr, Greenbelt, MD USA; [Tian, Sheng] Univ Calif Los Angeles, Dept Atmospher &amp; Ocean Sci, Los Angeles, CA USA; [Tian, Sheng; Wygant, John] Univ Minnesota, Sch Phys &amp; Astron, Minneapolis, MN USA</t>
  </si>
  <si>
    <t>Northumbria University; Lakehead University; UK Research &amp; Innovation (UKRI); Natural Environment Research Council (NERC); NERC British Antarctic Survey; University of Cambridge; University of California System; University of California Los Angeles; University of Alberta; National Aeronautics &amp; Space Administration (NASA); NASA Goddard Space Flight Center; University of California System; University of California Los Angeles; University of Minnesota System; University of Minnesota Twin Cities</t>
  </si>
  <si>
    <t>Murphy, KR (corresponding author), Northumbria Univ, Dept Maths Phys &amp; Elect Engn, Newcastle Upon Tyne, England.;Murphy, KR (corresponding author), Lakehead Univ, Dept Phys, Thunder Bay, ON, Canada.</t>
  </si>
  <si>
    <t>kylemurphy.spacephys@gmail.com</t>
  </si>
  <si>
    <t>Halford, Alexa/AAH-2098-2019; Sandhu, Jasmine/AAU-5657-2020; Watt, Clare/C-5218-2008; Kellerman, Adam/B-6525-2013</t>
  </si>
  <si>
    <t>Halford, Alexa/0000-0002-5383-4602; Watt, Clare/0000-0003-3193-8993; Kaur Sandhu, Jasmine/0000-0001-6089-426X; Daggitt, Tom/0000-0002-3021-8890; Murphy, Kyle/0000-0002-3063-6451; Rae, Iain Jonathan/0000-0002-2637-4786; Bentley, Sarah N/0000-0002-0095-1979; Kellerman, Adam/0000-0002-2315-936X; Horne, Richard/0000-0002-0412-6407; Olifer, Leonid/0000-0002-6479-2778</t>
  </si>
  <si>
    <t>UKRI Grants [ST/V006320/1, NE/P017185/2, NE/V002554/2]; Air Force Office of Scientific Research [FA9550-19-1-7039]; NERC Grant [NE/V00249X/1]; NERC National Capability Grants [NE/R016038/1]; NERC National Public Good activity Grant [NE/R016445/1]; Space Precipitation Impacts group, a NASA Goddard Internal Science Funding Model grant; Canadian NSERC; UK Royal Society Wolfson Visiting Fellowship; Canadian Space Agency</t>
  </si>
  <si>
    <t>UKRI Grants; Air Force Office of Scientific Research(United States Department of DefenseAir Force Office of Scientific Research (AFOSR)); NERC Grant(UK Research &amp; Innovation (UKRI)Natural Environment Research Council (NERC)); NERC National Capability Grants; NERC National Public Good activity Grant; Space Precipitation Impacts group, a NASA Goddard Internal Science Funding Model grant; Canadian NSERC(Natural Sciences and Engineering Research Council of Canada (NSERC)); UK Royal Society Wolfson Visiting Fellowship; Canadian Space Agency(Canadian Space Agency)</t>
  </si>
  <si>
    <t>This work is partly funded by UKRI Grants ST/V006320/1 (STFC) and NE/P017185/2 and NE/V002554/2 (NERC); for the purpose of open access, the author has applied a Creative Commons Attribution (CC BY) license [where permitted by UKRI, Open Government Licence or Creative Commons Attribution No-derivatives (CC BY-ND) license may be stated instead] to any Author Accepted Manuscript version arising. TD is supported by the Air Force Office of Scientific Research under award number FA9550-19-1-7039. SG and RBH were supported by NERC Grant NE/V00249X/1 (Sat-Risk), NERC National Capability Grants NE/R016038/1 and by NERC National Public Good activity Grant NE/R016445/1. AJH and AB's contribution was funded by the Space Precipitation Impacts group, a NASA Goddard Internal Science Funding Model grant. IRM is supported by a Discovery Grant from Canadian NSERC, and by a UK Royal Society Wolfson Visiting Fellowship. LO is supported by the Canadian Space Agency.</t>
  </si>
  <si>
    <t>e2023SW003440</t>
  </si>
  <si>
    <t>10.1029/2023SW003440</t>
  </si>
  <si>
    <t>M9QY4</t>
  </si>
  <si>
    <t>WOS:001033499300001</t>
  </si>
  <si>
    <t>Turchetti, B; Bevivino, A; Casella, P; Coleine, C; Felis, GE; Girometta, CE; Molino, A; Perugini, I; Pollio, A; Prigione, V; Selbmann, L; Varese, GC; Buzzini, P</t>
  </si>
  <si>
    <t>Turchetti, Benedetta; Bevivino, Annamaria; Casella, Patrizia; Coleine, Claudia; Felis, Giovanna E.; Girometta, Carolina Elena; Molino, Antonio; Perugini, Iolanda; Pollio, Antonino; Prigione, Valeria; Selbmann, Laura; Varese, Giovanna Cristina; Buzzini, Pietro</t>
  </si>
  <si>
    <t>Selected Case Studies on Fastidious Eukaryotic Microorganisms: Issues and Investigation Strategies</t>
  </si>
  <si>
    <t>slow-growing fungi; Haematococcus; Cyanidium; Metschnikowia; Pyricularia; Halophytophtora</t>
  </si>
  <si>
    <t>CYANIDIUM-CALDARIUM; RED ALGA; CULTURE; FUNGI; CYANIDIOSCHYZON; VIABILITY; EVOLUTION; BACTERIA; GROWTH; ACID</t>
  </si>
  <si>
    <t>The concept of fastidious microorganisms currently found in scientific literature is mainly related to the difficulty of isolating/culturing/preserving bacteria. Eukaryotes are investigated much less in this respect, although they represent a fundamental part of the microbial world. Furthermore, not only isolation, but also identification and culturing (in the perspective of long-term preservation) should be considered key aspects often impacting on the study of fastidious microorganisms, especially in terms of preservation in culture collections and biotechnological exploitation. The present review aimed to investigate the current state of the art on fastidious eukaryotes, with special emphasis on the efforts to improve their isolation, identification, culturing and long-term preservation in culture collections practices. A few case studies focused on some fastidious eukaryotic microorganisms (including possible customized solutions to overcome specific issues) are also presented: isolation and preservation of slow-growing fungi, culturing of Haematococcus lacustris, isolation of unialgal strains of Cyanidiophytina (Rhodophyta), identification of Metschnikowia pulcherrima clade yeasts, isolation and preservation of Pyricularia species, preservation of Halophytophtora spp.</t>
  </si>
  <si>
    <t>[Turchetti, Benedetta; Buzzini, Pietro] Univ Perugia, Dept Agr Food &amp; Environm Sci &amp; Ind Yeasts Collect, I-06121 Perugia, PG, Italy; [Bevivino, Annamaria] ENEA Italian Natl Agcy New Technol Energy &amp; Sustai, Dept Sustainabil, I-00123 Santa Maria Di Galeria, RM, Italy; [Casella, Patrizia; Molino, Antonio] ENEA Italian Natl Agcy New Technol Energy &amp; Sustai, Dept Sustainabil, , NA, I-80055 Portici, Italy; [Coleine, Claudia; Selbmann, Laura] Univ Tuscia, Dept Ecol &amp; Biol Sci, I-01100 Viterbo, VT, Italy; [Felis, Giovanna E.] Univ Verona, Dept Biotechnol &amp; VUCC DBT Verona Univ Culture Col, I-37129 Verona, VR, Italy; [Girometta, Carolina Elena] Univ Pavia, Dept Earth &amp; Environm Sci, I-27100 Pavia, PV, Italy; [Perugini, Iolanda; Prigione, Valeria; Varese, Giovanna Cristina] Univ Torino, Mycotheca Univ Taurinensis, Dept Life Sci &amp; Syst Biol, I-10124 Turin, TO, Italy; [Pollio, Antonino] Univ Naples Federico II, Dept Biol, I-80138 Naples, Italy; [Selbmann, Laura] Italian Natl Antarctic Museum MNA, Mycol Sect, I-16121 Genoa, GE, Italy</t>
  </si>
  <si>
    <t>University of Perugia; Tuscia University; University of Verona; University of Pavia; University of Turin; University of Naples Federico II</t>
  </si>
  <si>
    <t>Turchetti, B (corresponding author), Univ Perugia, Dept Agr Food &amp; Environm Sci &amp; Ind Yeasts Collect, I-06121 Perugia, PG, Italy.</t>
  </si>
  <si>
    <t>benedetta.turchetti@unipg.it; annamaria.bevivino@enea.it; patrizia.casella@enea.it; coleine@unitus.it; giovanna.felis@univr.it; carolinaelena.girometta@unipv.it; antonio.molino@enea.it; jolanda.perugini@unito.it; anpollio@unina.it; valeria.prigione@unito.it; selbmann@unitus.it; cristina.varese@unito.it; pietro.buzzini@unipg.it</t>
  </si>
  <si>
    <t>Girometta, Carolina Elena/AAV-1059-2020; Coleine, Claudia/AAE-1889-2020; Bevivino, Annamaria/IQW-7490-2023</t>
  </si>
  <si>
    <t>Girometta, Carolina Elena/0000-0002-2583-4664; Coleine, Claudia/0000-0002-9289-6179; molino, antonio/0000-0002-2694-5999; turchetti, benedetta/0000-0002-7370-3028; Varese, Giovanna Cristina/0000-0002-1455-6208; Pollio, Antonino/0000-0003-3018-7921; Bevivino, Annamaria/0000-0003-4277-7048; PRIGIONE, Valeria Paola/0000-0002-9312-1420; Buzzini, Pietro/0000-0001-6793-0606</t>
  </si>
  <si>
    <t>European Commission-NextGenerationEU, Project [IR0000005]</t>
  </si>
  <si>
    <t>European Commission-NextGenerationEU, Project</t>
  </si>
  <si>
    <t>The authors thank the European Commission-NextGenerationEU, Project Strengthening the MIRRI Italian Research Infrastructure for Sustainable Bioscience and Bioeconomy, code n. IR0000005 for the support. The authors are also grateful to Anna Maria Picco, University of Pavia, and to Marinella Rodolfi, University of Pavia, for technical support. The authors thank Teresa Emma Cutrona for English revision.</t>
  </si>
  <si>
    <t>10.3390/d15070862</t>
  </si>
  <si>
    <t>N6NY9</t>
  </si>
  <si>
    <t>WOS:001038168000001</t>
  </si>
  <si>
    <t>Zamree, ND; Puasa, NA; Lim, ZS; Wong, CY; Shaharuddin, NA; Zakaria, NN; Merican, F; Convey, P; Ahmad, S; Shaari, H; Azmi, AA; Ahmad, SA; Zulkharnain, A</t>
  </si>
  <si>
    <t>Zamree, Nur Diyanah; Puasa, Nurul Aini; Lim, Zheng Syuen; Wong, Chiew-Yen; Shaharuddin, Noor Azmi; Zakaria, Nur Nadhirah; Merican, Faradina; Convey, Peter; Ahmad, Syahida; Shaari, Hasrizal; Azmi, Alyza Azzura; Ahmad, Siti Aqlima; Zulkharnain, Azham</t>
  </si>
  <si>
    <t>The Utilisation of Antarctic Microalgae Isolated from Paradise Bay (Antarctic Peninsula) in the Bioremediation of Diesel</t>
  </si>
  <si>
    <t>bioremediation; diesel; microalgae; Antarctic</t>
  </si>
  <si>
    <t>CHLORELLA-VULGARIS; FRESH-WATER; CHLAMYDOMONAS-REINHARDTII; LIPID-ACCUMULATION; DIFFERENT NITROGEN; CARBON-SOURCES; GROWTH; STRESS; BIOMASS; PRODUCTIVITY</t>
  </si>
  <si>
    <t>Research has confirmed that the utilisation of Antarctic microorganisms, such as bacteria, yeasts and fungi, in the bioremediation of diesel may provide practical alternative approaches. However, to date there has been very little attention towards Antarctic microalgae as potential hydrocarbon degraders. Therefore, this study focused on the utilisation of an Antarctic microalga in the bioremediation of diesel. The studied microalgal strain was originally obtained from a freshwater ecosystem in Paradise Bay, western Antarctic Peninsula. When analysed in systems with and without aeration, this microalgal strain achieved a higher growth rate under aeration. To maintain the growth of this microalga optimally, a conventional one-factor-at a-time (OFAT) analysis was also conducted. Based on the optimized parameters, algal growth and diesel degradation performance was highest at pH 7.5 with 0.5 mg/L NaCl concentration and 0.5 g/L of NaNO3 as a nitrogen source. This currently unidentified microalga flourished in the presence of diesel, with maximum algal cell numbers on day 7 of incubation in the presence of 1% v/v diesel. Chlorophyll a, b and carotenoid contents of the culture were greatest on day 9 of incubation. The diesel degradation achieved was 64.5% of the original concentration after 9 days. Gas chromatography analysis showed the complete mineralisation of C-7-C-13 hydrocarbon chains. Fourier transform infrared spectroscopy analysis confirmed that strain WCY_AQ5_3 fully degraded the hydrocarbon with bioabsorption of the products. Morphological and molecular analyses suggested that this spherical, single-celled green microalga was a member of the genus Micractinium. The data obtained confirm that this microalga is a suitable candidate for further research into the degradation of diesel in Antarctica.</t>
  </si>
  <si>
    <t>[Zamree, Nur Diyanah; Puasa, Nurul Aini; Lim, Zheng Syuen; Shaharuddin, Noor Azmi; Zakaria, Nur Nadhirah; Ahmad, Syahida; Ahmad, Siti Aqlima] Univ Putra Malaysia, Fac Biotechnol &amp; Biomol Sci, Dept Biochem, Serdang 43400, Selangor, Malaysia; [Wong, Chiew-Yen] Int Med Univ, Sch Hlth Sci, Kuala Lumpur 57000, Malaysia; [Merican, Faradina] Univ Sains Malaysia, Sch Biol Sci, Minden 11800, Pulau Pinang, Malaysia; [Convey, Peter] British Antarctic Survey, High Cross,Madingley Rd, Cambridge CB3 0ET, England; [Convey, Peter] Univ Johannesburg, Dept Zool, POB 524, ZA-2006 Auckland Pk, South Africa; [Convey, Peter] Millennium Inst Biodivers Antarctic &amp; Subantarcti, Las Palmeras 3425, Santiago 7750000, Chile; [Shaari, Hasrizal] Univ Malaysia Terengganu, Sch Marine &amp; Environm Sci, Kuala Nerus 21030, Terengganu, Malaysia; [Azmi, Alyza Azzura] Univ Malaysia Terengganu, Fac Sci &amp; Marine Environm, Kuala Nerus 21030, Terengganu, Malaysia; [Ahmad, Siti Aqlima] Univ Putra Malaysia, Inst Trop Forestry &amp; Forest Prod INTROP, Lab Bioresource Management, Serdang 43400, Selangor, Malaysia; [Ahmad, Siti Aqlima] Univ Putra Malaysia, Inst Adv Technol, Mat Synth &amp; Characterizat Lab, Serdang 43400, Selangor, Malaysia; [Zulkharnain, Azham] Shibaura Inst Technol, Coll Syst Engn &amp; Sci, Dept Biosci &amp; Engn, 307 Fukasaku,Minumaku, Saitama 3378570, Japan</t>
  </si>
  <si>
    <t>Universiti Putra Malaysia; International Medical University Malaysia; Universiti Sains Malaysia; UK Research &amp; Innovation (UKRI); Natural Environment Research Council (NERC); NERC British Antarctic Survey; University of Johannesburg; Universiti Malaysia Terengganu; Universiti Malaysia Terengganu; Universiti Putra Malaysia; Universiti Putra Malaysia; Shibaura Institute of Technology</t>
  </si>
  <si>
    <t>Ahmad, SA (corresponding author), Univ Putra Malaysia, Fac Biotechnol &amp; Biomol Sci, Dept Biochem, Serdang 43400, Selangor, Malaysia.;Ahmad, SA (corresponding author), Univ Putra Malaysia, Inst Trop Forestry &amp; Forest Prod INTROP, Lab Bioresource Management, Serdang 43400, Selangor, Malaysia.;Ahmad, SA (corresponding author), Univ Putra Malaysia, Inst Adv Technol, Mat Synth &amp; Characterizat Lab, Serdang 43400, Selangor, Malaysia.;Zulkharnain, A (corresponding author), Shibaura Inst Technol, Coll Syst Engn &amp; Sci, Dept Biosci &amp; Engn, 307 Fukasaku,Minumaku, Saitama 3378570, Japan.</t>
  </si>
  <si>
    <t>diyanahzamree@gmail.com; nurulainipuasa@gmail.com; syuenylim@gmail.com; wongchiewyen@imu.edu.my; noorazmi@upm.edu.my; nadhirahairakaz@gmail.com; faradina@usm.my; pcon@bas.ac.uk; syahida@upm.edu.my; riz@umt.edu.my; alyza.azzura@umt.edu.my; aqlima@upm.edu.my; azham@shibaura-it.ac.jp</t>
  </si>
  <si>
    <t>Convey, Peter/AAV-5728-2020; shaari, hasrizal/X-3241-2018; Yen, Wong Chiew/AFY-1719-2022</t>
  </si>
  <si>
    <t>Convey, Peter/0000-0001-8497-9903; shaari, hasrizal/0000-0002-7738-3885; Ahmad, Siti Aqlima/0000-0002-7625-3704; Lim, Zheng Syuen/0000-0002-8650-8408; Zamree, Nur Diyanah/0009-0008-5469-557X; Zulkharnain, Azham/0000-0001-9173-8171; Wong, Chiew-Yen/0000-0003-0534-6206</t>
  </si>
  <si>
    <t>Yayasan Penyelidikan Antartika Sultan Mizan (YPASM) Research Grant 2020 [IMU R 271/2021, UPM 6300247]; Shibaura Institute of Technology (SIT) Research Exchange Program; NERC</t>
  </si>
  <si>
    <t>Yayasan Penyelidikan Antartika Sultan Mizan (YPASM) Research Grant 2020; Shibaura Institute of Technology (SIT) Research Exchange Program; NERC(UK Research &amp; Innovation (UKRI)Natural Environment Research Council (NERC))</t>
  </si>
  <si>
    <t>This research was funded by Yayasan Penyelidikan Antartika Sultan Mizan (YPASM) Research Grant 2020, grant number IMU R 271/2021 and UPM 6300247. Lim is supported by Shibaura Institute of Technology (SIT) Research Exchange Program. Convey is supported by NERC core funding to the BAS Biodiversity, Evolution and Adaptation' team.</t>
  </si>
  <si>
    <t>10.3390/plants12132536</t>
  </si>
  <si>
    <t>M5ZP6</t>
  </si>
  <si>
    <t>WOS:001031000700001</t>
  </si>
  <si>
    <t>López, D; Larama, G; Sáez, PL; Bravo, LA</t>
  </si>
  <si>
    <t>Lopez, Dariel; Larama, Giovanni; Saez, Patricia L.; Bravo, Leon A.</t>
  </si>
  <si>
    <t>Transcriptome Analysis of Diurnal and Nocturnal-Warmed Plants, the Molecular Mechanism Underlying Cold Deacclimation Response in Deschampsia antarctica</t>
  </si>
  <si>
    <t>Antarctic plant; asymmetric warming; CBF; climate change; cold deacclimation; gene expression; RNA-seq</t>
  </si>
  <si>
    <t>FREEZING TOLERANCE; SUCROSE SYNTHASE; VASCULAR PLANTS; FROST TOLERANCE; PLASMA-MEMBRANE; GENE-EXPRESSION; AMINO-ACID; ACCLIMATION; PROTEIN; STRESS</t>
  </si>
  <si>
    <t>Warming in the Antarctic Peninsula is one of the fastest on earth, and is predicted to become more asymmetric in the near future. Warming has already favored the growth and reproduction of Antarctic plant species, leading to a decrease in their freezing tolerance (deacclimation). Evidence regarding the effects of diurnal and nocturnal warming on freezing tolerance-related gene expression in D. antarctica is negligible. We hypothesized that freezing tolerance-related gene (such as CBF-regulon) expression is reduced mainly by nocturnal warming rather than diurnal temperature changes in D. antarctica. The present work aimed to determine the effects of diurnal and nocturnal warming on cold deacclimation and its associated gene expression in D. antarctica, under laboratory conditions. Fully cold-acclimated plants (8 degrees C/0 degrees C), with 16h/8h thermoperiod and photoperiod duration, were assigned to four treatments for 14 days: one control (8 degrees C/0 degrees C) and three with different warming conditions (diurnal (14 degrees C/0 degrees C), nocturnal (8 degrees C/6 degrees C), and diurnal-nocturnal (14 degrees C/6 degrees C). RNA-seq was performed and differential gene expression was analyzed. Nocturnal warming significantly down-regulated the CBF transcription factors expression and associated cold stress response genes and up-regulated photosynthetic and growth promotion genes. Consequently, nocturnal warming has a greater effect than diurnal warming on the cold deacclimation process in D. antarctica. The eco-physiological implications are discussed.</t>
  </si>
  <si>
    <t>[Lopez, Dariel; Saez, Patricia L.; Bravo, Leon A.] Univ La Frontera, Fac Ciencias Agr &amp; Medioambiente, Dept Ciencias Agron &amp; Recursos Nat, Temuco 4811230, Chile; [Lopez, Dariel; Saez, Patricia L.; Bravo, Leon A.] Univ La Frontera, Ctr Plant Soil Interact &amp; Nat Resources Biotechnol, Sci &amp; Technol Bioresource Nucleus, Temuco 4811230, Chile; [Larama, Giovanni] Univ La Frontera, Biocontrol Res Lab &amp; Sci &amp; Technol Bioresource Nuc, Temuco 4811230, Chile</t>
  </si>
  <si>
    <t>Universidad de La Frontera; Universidad de La Frontera; Universidad de La Frontera</t>
  </si>
  <si>
    <t>Bravo, LA (corresponding author), Univ La Frontera, Fac Ciencias Agr &amp; Medioambiente, Dept Ciencias Agron &amp; Recursos Nat, Temuco 4811230, Chile.;Bravo, LA (corresponding author), Univ La Frontera, Ctr Plant Soil Interact &amp; Nat Resources Biotechnol, Sci &amp; Technol Bioresource Nucleus, Temuco 4811230, Chile.</t>
  </si>
  <si>
    <t>d.lopez07@ufromail.cl; giovanni.larama@ufrontera.cl; patrisaezd@gmail.com; leon.bravo@ufrontera.cl</t>
  </si>
  <si>
    <t>Bravo, León/AAO-8437-2020; Larama, Giovanni/O-2745-2019</t>
  </si>
  <si>
    <t>Bravo, León/0000-0003-4705-4842; Larama, Giovanni/0000-0002-9658-7752; Lopez, Dariel/0000-0001-7615-9331; Saez, Patricia L./0000-0002-8594-7329</t>
  </si>
  <si>
    <t>ANID through Fondecyt [1151173]; Scholarship Program/Beca Doctorado Nacional/2017 [21170470]; NEXER-UFRO [NXR17-0002]; INACH RT [18-18]</t>
  </si>
  <si>
    <t>ANID through Fondecyt; Scholarship Program/Beca Doctorado Nacional/2017; NEXER-UFRO; INACH RT</t>
  </si>
  <si>
    <t>This research was funded by ANID through Fondecyt 1151173 and Scholarship Program/Beca Doctorado Nacional/2017-21170470, NEXER-UFRO NXR17-0002, and INACH RT 18-18.</t>
  </si>
  <si>
    <t>10.3390/ijms241311211</t>
  </si>
  <si>
    <t>M5VK6</t>
  </si>
  <si>
    <t>WOS:001030891300001</t>
  </si>
  <si>
    <t>Laniecki, R; Magowski, WL</t>
  </si>
  <si>
    <t>Laniecki, Ronald; Magowski, Wojciech L. L.</t>
  </si>
  <si>
    <t>New Definition of Neoprotereunetes Fain et Camerik, Its Distribution and Description of the New Genus in Eupodidae (Acariformes: Prostigmata: Eupodoidea)</t>
  </si>
  <si>
    <t>ANIMALS</t>
  </si>
  <si>
    <t>Acari; Protereunetes; taxonomy; biogeography; polar regions</t>
  </si>
  <si>
    <t>ACARI; MITES; ISLAND; ANTARCTICA; FAUNA</t>
  </si>
  <si>
    <t>Simple Summary The mite genus Neoprotereunetes, long neglected in the literature, is revised according to modern taxonomic standards. Six species from both Arctic and Antarctic locations, previously placed in the invalid genera Protereunetes or Eupodes, are transferred to Neoprotereunetes. The new genus Antarcteupodes is created to accommodate one Antarctic species A. maudae comb. nov, originally described in Protereunetes. An identification key to Neoprotereunetes is provided. The genus Neoprotereunetes Fain et Camerik, 1994 is revised and its definition is extended in order to incorporate some species of the invalid genus Protereunetes Berlese, 1923. The former type species Neoprotereunetes-Ereunetes lapidarius Oudemans, 1906 is redescribed and transferred to Filieupodes Jesionowska, 2010 (Cocceupodidae); Proterunetes boerneri is redescribed and designated the new type species. Two species groups are proposed to embrace Arctic and Antarctic species, respectively. Protereunetes paulinae Gless, 1972 is redescribed, whereas Protereunetes maudae Strandtmann, 1967 is redescribed and designated the type species of the new genus Antarcteupodes gen. nov. A key to the species of Neopretereunetes is provided.</t>
  </si>
  <si>
    <t>[Laniecki, Ronald; Magowski, Wojciech L. L.] Adam Mickiewicz Univ, Dept Anim Taxon &amp; Ecol, Uniwersytetu Poznanskiego 6, PL-61714 Poznan, Poland</t>
  </si>
  <si>
    <t>Adam Mickiewicz University</t>
  </si>
  <si>
    <t>Magowski, WL (corresponding author), Adam Mickiewicz Univ, Dept Anim Taxon &amp; Ecol, Uniwersytetu Poznanskiego 6, PL-61714 Poznan, Poland.</t>
  </si>
  <si>
    <t>dronald.laniecki@amu.edu.pl; magowski@amu.edu.pl</t>
  </si>
  <si>
    <t>Magowski, Wojciech/0000-0003-2521-9458; Laniecki, Ronald/0000-0002-1926-7851</t>
  </si>
  <si>
    <t>Dean of Faculty, Doctoral School of Environmental Sciences and Rector of AMU</t>
  </si>
  <si>
    <t>We wish to express our thanks to staff of the Bishop Museum in Honolulu (Hawaii)for loan of the type material of N. minutus,N. paulinaeandAntarcteupodes maudaeand to staff of the Naturalis Biodiversity Center in Leiden (the Netherlands) for loan of the type material of Neoprotereuneteslapidarius. We are also grateful to Dariusz J. Gwiazdowicz from Poznan University of Life Sciences for providing the samples from King George Island. The samples from Spitsbergen were obtained during the summer school for students of Faculty of Biology at Adam Mickiewicz University, financed by the Dean of Faculty, Doctoral School of Environmental Sciences and Rector of AMU.</t>
  </si>
  <si>
    <t>2076-2615</t>
  </si>
  <si>
    <t>ANIMALS-BASEL</t>
  </si>
  <si>
    <t>Animals</t>
  </si>
  <si>
    <t>10.3390/ani13132213</t>
  </si>
  <si>
    <t>Agriculture, Dairy &amp; Animal Science; Veterinary Sciences; Zoology</t>
  </si>
  <si>
    <t>Agriculture; Veterinary Sciences; Zoology</t>
  </si>
  <si>
    <t>M5ZW9</t>
  </si>
  <si>
    <t>WOS:001031008000001</t>
  </si>
  <si>
    <t>Zhou, JJ; Liu, J; Xia, QK; Su, C; Kuritani, T; Hanski, E</t>
  </si>
  <si>
    <t>Zhou, Jingjun; Liu, Jia; Xia, Qunke; Su, Cheng; Kuritani, Takeshi; Hanski, Eero</t>
  </si>
  <si>
    <t>A Machine Learning Based-Approach to Predict the Water Content of Mid-Ocean Ridge Basalts</t>
  </si>
  <si>
    <t>GEOCHEMISTRY GEOPHYSICS GEOSYSTEMS</t>
  </si>
  <si>
    <t>machine learning; MORB; water</t>
  </si>
  <si>
    <t>CARBON-DIOXIDE SOLUBILITIES; GARRETT TRANSFORM-FAULT; VOLATILE CONTENT; OXYGEN FUGACITY; UPPER-MANTLE; SILICATE-GLASSES; MELT INCLUSIONS; MORB GLASSES; BACK-ARC; H2O</t>
  </si>
  <si>
    <t>Water is critical in the evolution of the mantle due to its strong influence on the physicochemical properties of mantle rocks. Mid-ocean ridge basalts (MORBs) are commonly used to study the compositional characteristics of the convecting upper mantle. However, there remains abundant samples in the global MORB data sets without direct measurements of water contents. The commonly observed good correlation between H2O and other incompatible trace components, such as Ce, has been applied to quantify water contents of MORBs. However, this approach assumes constant H2O/Ce in the target samples, which is not always true as the H2O/Ce ratios of MORBs could be rather heterogeneous even in some short ridge segments. Utilizing the present compositional data of global MORB glasses with measured water contents (n = 1,467), we construct a Random Forest Regression model based on machine learning, which can predict water concentrations of samples based on selected major and trace element data, without assuming a ratio between H2O and other trace elements. This model allows us to precisely recover water contents for MORBs with comparable accuracy with traditional analytical methods. The predicted results of MORB glasses from this model (n = 1,931) expand the water content database of global MORBs and indicate a broad existence of high-H2O MORBs. This new approach allows us to investigate the water content of MORBs from some ridges lacking previous water content measurements (e.g., the Chile Ridge and the Pacific-Antarctic Ridge) and infer changes in the water content of MORB sources through applying the model to transform fault samples.</t>
  </si>
  <si>
    <t>[Zhou, Jingjun; Liu, Jia; Xia, Qunke; Su, Cheng] Zhejiang Univ, Sch Earth Sci, Key Lab Geosci Big Data &amp; Deep Resource Zhejiang P, Hangzhou, Peoples R China; [Kuritani, Takeshi] Hokkaido Univ, Grad Sch Sci, Sapporo, Japan; [Hanski, Eero] Univ Oulu, Oulu Min Sch, Oulu, Finland</t>
  </si>
  <si>
    <t>Zhejiang University; Hokkaido University; University of Oulu</t>
  </si>
  <si>
    <t>Liu, J (corresponding author), Zhejiang Univ, Sch Earth Sci, Key Lab Geosci Big Data &amp; Deep Resource Zhejiang P, Hangzhou, Peoples R China.</t>
  </si>
  <si>
    <t>liujia85@zju.edu.cn</t>
  </si>
  <si>
    <t>Liu, Jia/0000-0003-4949-6679; Su, Cheng/0000-0002-3540-0309</t>
  </si>
  <si>
    <t>National Natural Science Foundation of China [42022019]; Fundamental Research Funds for the Central Universities [K20210168]</t>
  </si>
  <si>
    <t>National Natural Science Foundation of China(National Natural Science Foundation of China (NSFC)); Fundamental Research Funds for the Central Universities(Fundamental Research Funds for the Central Universities)</t>
  </si>
  <si>
    <t>Acknowledgments This work was supported by the National Natural Science Foundation of China (42022019) and Fundamental Research Funds for the Central Universities (K20210168). We thank J ZhangZhou, Weihua Huang, Ben Qin, Zhikang Luan, Haibo Liu, Wenyi Zhang, and Yili Guan for fruitful discussions. We appreciate the thorough comments and suggestions from Corin Jorgenson and the anonymous reviewer, and the handling by the editor Paul D. Asimow.</t>
  </si>
  <si>
    <t>1525-2027</t>
  </si>
  <si>
    <t>GEOCHEM GEOPHY GEOSY</t>
  </si>
  <si>
    <t>Geochem. Geophys. Geosyst.</t>
  </si>
  <si>
    <t>e2023GC010984</t>
  </si>
  <si>
    <t>10.1029/2023GC010984</t>
  </si>
  <si>
    <t>N0LZ5</t>
  </si>
  <si>
    <t>WOS:001034047900001</t>
  </si>
  <si>
    <t>Morozov, E</t>
  </si>
  <si>
    <t>Morozov, Eugene</t>
  </si>
  <si>
    <t>Research in the Atlantic Sector of the Southern Ocean and Propagation of Antarctic Bottom Water in the Atlantic</t>
  </si>
  <si>
    <t>[Morozov, Eugene] Russian Acad Sci, Shirshov Inst Oceanol, Moscow 117997, Russia</t>
  </si>
  <si>
    <t>Russian Academy of Sciences; Shirshov Institute of Oceanology</t>
  </si>
  <si>
    <t>Morozov, E (corresponding author), Russian Acad Sci, Shirshov Inst Oceanol, Moscow 117997, Russia.</t>
  </si>
  <si>
    <t>Morozov, Eugene/0000-0002-0251-3454</t>
  </si>
  <si>
    <t>This research was supported by the Russian Science Foundation grant 21-77-20004.</t>
  </si>
  <si>
    <t>10.3390/w15132348</t>
  </si>
  <si>
    <t>M3YS6</t>
  </si>
  <si>
    <t>WOS:001029587400001</t>
  </si>
  <si>
    <t>Schneider, JM; Burkhardt, C; Kleine, T</t>
  </si>
  <si>
    <t>Schneider, Jonas M.; Burkhardt, Christoph; Kleine, Thorsten</t>
  </si>
  <si>
    <t>Distribution of s-, r-, and p-process Nuclides in the Early Solar System Inferred from Sr Isotope Anomalies in Meteorites</t>
  </si>
  <si>
    <t>ASTROPHYSICAL JOURNAL LETTERS</t>
  </si>
  <si>
    <t>MOLYBDENUM ISOTOPES; VOLATILE DEPLETION; ORIGIN; CHONDRITES; EVOLUTION; HETEROGENEITY; VARIABILITY; STARS; CR; CHRONOLOGY</t>
  </si>
  <si>
    <t>Nucleosynthetic isotope anomalies in meteorites allow distinguishing between the noncarbonaceous (NC) and carbonaceous (CC) meteorite reservoirs and show that correlated isotope anomalies exist in both reservoirs. It is debated, however, whether these anomalies reflect thermal processing of presolar dust in the disk or are primordial heterogeneities inherited from the solar system's parental molecular cloud. Here, using new high-precision Sr-84 isotope data, we show that NC meteorites, Mars, and the Earth and Moon are characterized by the same Sr-84 isotopic composition. This Sr-84 homogeneity of the inner solar system contrasts with the well-resolved and correlated isotope anomalies among NC meteorites observed for other elements, and most likely reflects correlated s- and (r, p)-process heterogeneities leading to Sr-84 excesses and deficits of similar magnitude, which cancel each other out. For the same reason there is no clearly resolved Sr-84 difference between NC and CC meteorites, because in some carbonaceous chondrites the characteristic Sr-84 excess of the CC reservoir is counterbalanced by an Sr-84 deficit resulting from s-process variations. Nevertheless, most carbonaceous chondrites exhibit Sr-84 excesses, which reflect admixture of refractory inclusions and more pronounced s-process heterogeneities in these samples. Together, the correlated variation of s- and (r, p)-process nuclides revealed by the Sr-84 data of this study refute an origin of these isotope anomalies solely by processing of presolar dust grains, but points to primordial mixing of isotopically distinct dust reservoirs as the dominant process producing the isotopic heterogeneity of the solar system.</t>
  </si>
  <si>
    <t>[Schneider, Jonas M.; Burkhardt, Christoph; Kleine, Thorsten] Max Planck Inst Solar Syst Res, Justus von Liebig Weg 3, D-37077 Gottingen, Germany; [Schneider, Jonas M.; Burkhardt, Christoph; Kleine, Thorsten] Univ Munster, Inst Planetol, Wilhelm Klemm Str 10, D-48149 Munster, Germany</t>
  </si>
  <si>
    <t>University of Munster</t>
  </si>
  <si>
    <t>Schneider, JM (corresponding author), Max Planck Inst Solar Syst Res, Justus von Liebig Weg 3, D-37077 Gottingen, Germany.;Schneider, JM (corresponding author), Univ Munster, Inst Planetol, Wilhelm Klemm Str 10, D-48149 Munster, Germany.</t>
  </si>
  <si>
    <t>schneiderj@mps.mpg.de</t>
  </si>
  <si>
    <t>Schneider, Jonas Michel/0000-0002-8278-6400; Burkhardt, Christoph/0000-0002-6952-5783</t>
  </si>
  <si>
    <t>NSF; NASA; Deutsche Forschungsgemeinschaft (DFG, German Research Foundation) [263649064-TRR170]; European Research Council Advanced Grant Holy Earth [101019380]</t>
  </si>
  <si>
    <t>NSF(National Science Foundation (NSF)); NASA(National Aeronautics &amp; Space Administration (NASA)); Deutsche Forschungsgemeinschaft (DFG, German Research Foundation)(German Research Foundation (DFG)); European Research Council Advanced Grant Holy Earth(European Research Council (ERC))</t>
  </si>
  <si>
    <t>We gratefully acknowledge NASA, the Museum National d'histoire Naturelle de Paris, the National History Museum London, and the Senckenbergmuseum Frankfurt for providing samples.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the anonymous referee for a constructive review, which helped to clarify important points and led to improvement of the manuscript. This work was funded by the Deutsche Forschungsgemeinschaft (DFG, German Research Foundation) (Project-ID 263649064-TRR170) and the European Research Council Advanced Grant Holy Earth (grant No. 101019380). This is TRR 170 pub. No. 194.</t>
  </si>
  <si>
    <t>2041-8205</t>
  </si>
  <si>
    <t>2041-8213</t>
  </si>
  <si>
    <t>ASTROPHYS J LETT</t>
  </si>
  <si>
    <t>Astrophys. J. Lett.</t>
  </si>
  <si>
    <t>L25</t>
  </si>
  <si>
    <t>10.3847/2041-8213/ace187</t>
  </si>
  <si>
    <t>N2KJ1</t>
  </si>
  <si>
    <t>WOS:001035360300001</t>
  </si>
  <si>
    <t>Boland, EJD; Dittus, AJ; Jones, DC; Josey, SA; Sinha, B</t>
  </si>
  <si>
    <t>Boland, Emma J. D.; Dittus, Andrea J.; Jones, Daniel C.; Josey, Simon A.; Sinha, Bablu</t>
  </si>
  <si>
    <t>Ocean Heat Content Responses to Changing Anthropogenic Aerosol Forcing Strength: Regional and Multi-Decadal Variability</t>
  </si>
  <si>
    <t>historical aerosol forcing; ocean heat content; large ensemble; climate model simulations</t>
  </si>
  <si>
    <t>SURFACE-TEMPERATURE; SOUTHERN-OCEAN; CLIMATE SYSTEM; WARMING SLOWDOWN; NORTH-ATLANTIC; SEA-LEVEL; MODEL; CIRCULATION; MILLENNIUM; PACIFIC</t>
  </si>
  <si>
    <t>The causes of decadal variations in global warming are poorly understood, however it is widely understood that variations in ocean heat content (OHC) are linked with variations in surface warming. To investigate the forced response of OHC to anthropogenic aerosols (AA), we use an ensemble of historical simulations, which were carried out using a range of anthropogenic aerosol forcing magnitudes in a CMIP6-era global circulation model. We find that the centennial scale linear trends in historical OHC are significantly sensitive to AA forcing magnitude (-3.0 +/- 0.1 x 10(5) (J m(-3) century(-1))/(W m(-2)), R-2 = 0.99), but interannual to multi-decadal variability in global OHC appear largely independent of AA forcing magnitude. Comparison with observations find consistencies in different depth ranges and at different time scales with all but the strongest aerosol forcing magnitude, at least partly due to limited observational accuracy. We find that OHC is sensitive to aerosol forcing magnitude across much of the tropics and sub-tropics, and stronger negative forcing induces more ocean cooling. The polar regions and North Atlantic show the strongest heat content trends, and also show the strongest dependence on aerosol forcing magnitude. However, the OHC response to increasing aerosol forcing magnitude in the North Atlantic and Southern Ocean is either dominated by internal variability, or strongly state dependent, showing different behavior in different time periods. Our results suggest the response to aerosols in these regions is a complex combination of influences from ocean transport, atmospheric forcings, and sea ice.</t>
  </si>
  <si>
    <t>[Boland, Emma J. D.; Jones, Daniel C.] British Antarctic Survey, Cambridge, England; [Dittus, Andrea J.] Univ Reading, Natl Ctr Atmospher Sci, Reading, England; [Josey, Simon A.; Sinha, Bablu] Natl Oceanog Ctr, Southampton, England</t>
  </si>
  <si>
    <t>UK Research &amp; Innovation (UKRI); Natural Environment Research Council (NERC); NERC British Antarctic Survey; UK Research &amp; Innovation (UKRI); Natural Environment Research Council (NERC); NERC National Centre for Atmospheric Science; University of Reading; NERC National Oceanography Centre</t>
  </si>
  <si>
    <t>Boland, EJD (corresponding author), British Antarctic Survey, Cambridge, England.</t>
  </si>
  <si>
    <t>emmomp@bas.ac.uk</t>
  </si>
  <si>
    <t>Boland, Emma/AFV-9181-2022; Dittus, Andrea J./AAQ-3141-2020</t>
  </si>
  <si>
    <t>Boland, Emma/0000-0003-2430-7763; Dittus, Andrea J./0000-0001-9598-6869; Jones, Dani/0000-0002-8701-4506; Josey, Simon/0000-0002-1683-8831</t>
  </si>
  <si>
    <t>UK Research and Innovation Grant [MR/T020822/1]; UK Natural Environment Research Council ACSIS program [NE/N018028/1, NE/N018044/1]; Natural Environment Research Council [NE/N006186/1, NE/N006054/1]; National Centre for Atmospheric Science; [NE/N018591/1]</t>
  </si>
  <si>
    <t>UK Research and Innovation Grant; UK Natural Environment Research Council ACSIS program; Natural Environment Research Council(UK Research &amp; Innovation (UKRI)Natural Environment Research Council (NERC)); National Centre for Atmospheric Science;</t>
  </si>
  <si>
    <t>&amp; nbsp;DJ was supported by UK Research and Innovation Grant (MR/T020822/1). DJ, SJ, and BS were funded by the UK Natural Environment Research Council ACSIS program (NE/N018028/1 and NE/N018044/1). EB, AD, and the SMURPHS ensemble were funded by the Natural Environment Research Council (Grants NE/N006186/1 and NE/N006054/1), and the ensemble was also supported by the National Centre for Atmospheric Science. AD was also supported by Grant NE/N018591/1.</t>
  </si>
  <si>
    <t>e2022JC018725</t>
  </si>
  <si>
    <t>10.1029/2022JC018725</t>
  </si>
  <si>
    <t>L6FE4</t>
  </si>
  <si>
    <t>WOS:001024193800001</t>
  </si>
  <si>
    <t>Guzzi, A; Alvaro, MC; Cecchetto, M; Schiaparelli, S</t>
  </si>
  <si>
    <t>Guzzi, Alice; Alvaro, Maria Chiara; Cecchetto, Matteo; Schiaparelli, Stefano</t>
  </si>
  <si>
    <t>Echinoids and Crinoids from Terra Nova Bay (Ross Sea) Based on a Reverse Taxonomy Approach</t>
  </si>
  <si>
    <t>Southern Ocean; COI; morphology; DNA barcoding; Echinoidea; Crinoidea; Antarctica</t>
  </si>
  <si>
    <t>SPECIES DELIMITATION METHOD; DISTRIBUTIONAL RECORDS; SOUTHERN-OCEAN; BRITTLE STARS; ECHINODERMATA; BIODIVERSITY; DIVERSITY; ODONTASTERIDAE; IDENTIFICATION; ASTEROIDEA</t>
  </si>
  <si>
    <t>The identification of species present in an ecosystem and the assessment of a faunistic inventory is the first step in any ecological survey and conservation effort. Thanks to technological progress, DNA barcoding has sped up species identification and is a great support to morphological taxonomy. In this work, we used a Reverse Taxonomy approach, where molecular (DNA barcoding) analyses were followed by morphological (skeletal features) ones to determine the specific status of 70 echinoid and 22 crinoid specimens, collected during eight different expeditions in the Ross and Weddell Seas. Of a total of 13 species of sea urchins, 6 were from the Terra Nova Bay area (TNB, Ross Sea) and 4 crinoids were identified. Previous scientific literature reported only four species of sea urchins from TNB to which we added the first records of Abatus cordatus (Verrill, 1876), Abatus curvidens Mortensen, 1936 and Abatus ingens Koehler, 1926. Moreover, we found a previous misidentification of Abatus koehleri (Thiery, 1909), erroneously reported as A. elongatus in a scientific publication for the area. All the crinoid records are new for the area as there was no previous faunistic inventory available for TNB.</t>
  </si>
  <si>
    <t>[Guzzi, Alice] Univ Genoa, Dept Earth Environm &amp; Life Sci DISTAV, Corso Europa 26, I-16132 Genoa, Italy; [Guzzi, Alice; Alvaro, Maria Chiara; Cecchetto, Matteo; Schiaparelli, Stefano] Univ Genoa, Sect Genoa, Italian Natl Antarctic Museum MNA, Viale Benedetto XV 5, I-16132 Genoa, Italy</t>
  </si>
  <si>
    <t>University of Genoa; University of Genoa</t>
  </si>
  <si>
    <t>Guzzi, A (corresponding author), Univ Genoa, Dept Earth Environm &amp; Life Sci DISTAV, Corso Europa 26, I-16132 Genoa, Italy.;Guzzi, A (corresponding author), Univ Genoa, Sect Genoa, Italian Natl Antarctic Museum MNA, Viale Benedetto XV 5, I-16132 Genoa, Italy.</t>
  </si>
  <si>
    <t>aliceguzzi@libero.it; chiara.alvaro@yahoo.it; matteocecchetto@gmail.com; stefano.schiaparelli@unige.it</t>
  </si>
  <si>
    <t>Cecchetto, Matteo/KGL-8310-2024</t>
  </si>
  <si>
    <t>Cecchetto, Matteo/0000-0002-4505-4104; Guzzi, Alice/0000-0001-8066-9158; Schiaparelli, Stefano/0000-0002-0137-3605</t>
  </si>
  <si>
    <t>[Annex 91-05/C]</t>
  </si>
  <si>
    <t>This research was funded by project BAMBi (Barcoding of Antarctic Marine Diversity; PNRA 2010/A1.10; PI Stefano Schiaparelli) and TNB-CODE (Terra Nova Bay barCODing and mEtabarcoding of Antarctic organisms from marine and limno-terrestrial environments; PNRA 16_00120; PI Stefano Schiaparelli). The Italian National Antarctic Museum (MNA), Genoa section, played an essential cooperation role with the projects funded for biological specimen repository and outreach activity. The authors are grateful to the Italian National Antarctic Museum (MNA) for the financial support.</t>
  </si>
  <si>
    <t>10.3390/d15070875</t>
  </si>
  <si>
    <t>N2AS6</t>
  </si>
  <si>
    <t>WOS:001035108700001</t>
  </si>
  <si>
    <t>Gray, WR; de Lavergne, C; Wills, RJC; Menviel, L; Spence, P; Holzer, M; Kageyama, M; Michel, E</t>
  </si>
  <si>
    <t>Gray, William R.; de Lavergne, Casimir; Jnglin Wills, Robert C.; Menviel, Laurie; Spence, Paul; Holzer, Mark; Kageyama, Masa; Michel, Elisabeth</t>
  </si>
  <si>
    <t>Poleward Shift in the Southern Hemisphere Westerly Winds Synchronous With the Deglacial Rise in CO2</t>
  </si>
  <si>
    <t>LAST GLACIAL MAXIMUM; SEA-SURFACE TEMPERATURE; MERIDIONAL OVERTURNING CIRCULATION; ATMOSPHERIC CO2; INDIAN-OCEAN; SOUTHWEST PACIFIC; SCALE CHANGES; CARBON-CYCLE; NEW-ZEALAND; ICE</t>
  </si>
  <si>
    <t>The Southern Hemisphere westerly winds influence deep ocean circulation and carbon storage. While the westerlies are hypothesized to play a key role in regulating atmospheric CO2 over glacial-interglacial cycles, past changes in their position and strength remain poorly constrained. Here, we use a compilation of planktic foraminiferal delta O-18 from across the Southern Ocean and emergent relationships within an ensemble of climate models to reconstruct changes in the Southern Hemisphere surface westerlies over the last deglaciation. We infer a 4.8 degrees (2.9-7.1 degrees, 95% confidence interval) equatorward shift and about a 25% weakening of the westerlies during the Last Glacial Maximum (20 ka) relative to the mid-Holocene (6.5 ka). Climate models from the Palaeoclimate Modeling Intercomparison Project substantially underestimate this inferred equatorward wind shift. According to our reconstruction, the poleward shift in the westerlies over deglaciation closely mirrors the rise in atmospheric CO2 (R-2 = 0.98). Experiments with a 0.25 degrees resolution ocean-sea-ice-carbon model suggest that shifting the westerlies equatorward reduces the overturning rate of the ocean below 2 km depth, leading to a suppression of CO2 outgassing from the polar Southern Ocean. Our results support a role for the westerly winds in driving the deglacial CO2 rise, and suggest outgassing of natural CO2 from the Southern Ocean is likely to increase as the westerlies shift poleward due to anthropogenic warming.</t>
  </si>
  <si>
    <t>[Gray, William R.; Kageyama, Masa; Michel, Elisabeth] Univ Paris Saclay, Lab Sci Climat &amp; Environm LSCE IPSL, Gif Sur Yvette, France; [de Lavergne, Casimir] Sorbonne Univ, LOCEAN Lab, CNRS, IRD,MNHN, Paris, France; [Jnglin Wills, Robert C.] Swiss Fed Inst Technol, Inst Atmospher &amp; Climate Sci, Zurich, Switzerland; [Jnglin Wills, Robert C.] Univ Washington, Dept Atmospher Sci, Seattle, WA USA; [Menviel, Laurie] Univ New South Wales, Climate Change Res Ctr, Sydney, NSW, Australia; [Menviel, Laurie; Spence, Paul] Univ Tasmania, Australian Ctr Excellence Antarctic Sci, Hobart, Tas, Australia; [Spence, Paul] Univ Tasmania, Inst Marine &amp; Antarctic Studies, Hobart, Tas, Australia; [Spence, Paul] Univ Tasmania, Australian Antarctic Partnership Program, Hobart, Tas, Australia; [Holzer, Mark] Univ New South Wales, Sch Math &amp; Stat, Sydney, NSW, Australia</t>
  </si>
  <si>
    <t>CEA; Centre National de la Recherche Scientifique (CNRS); Universite Paris Saclay; Universite Paris Cite; Museum National d'Histoire Naturelle (MNHN); Centre National de la Recherche Scientifique (CNRS); Institut de Recherche pour le Developpement (IRD); Sorbonne Universite; Swiss Federal Institutes of Technology Domain; ETH Zurich; University of Washington; University of Washington Seattle; University of New South Wales Sydney; University of Tasmania; University of Tasmania; University of Tasmania; University of New South Wales Sydney</t>
  </si>
  <si>
    <t>Gray, WR (corresponding author), Univ Paris Saclay, Lab Sci Climat &amp; Environm LSCE IPSL, Gif Sur Yvette, France.</t>
  </si>
  <si>
    <t>william.gray@lsce.ipsl.fr</t>
  </si>
  <si>
    <t>Spence, Paul/IZE-7366-2023; Holzer, Mark/E-8735-2011; Menviel, Laurie/D-6902-2013</t>
  </si>
  <si>
    <t>Spence, Paul/0000-0001-5156-2204; Gray, William/0000-0001-5608-7836; Holzer, Mark/0000-0002-9568-1763; Menviel, Laurie/0000-0002-5068-1591</t>
  </si>
  <si>
    <t>French-Swiss project [VR-349-2012-6278]; CNRS-INSU project INDIEN-SUD; U.S. National Science Foundation [AGS-1929775]; Australian Research Council Grant [FT180100606, DP210101650]; Australian National Computing Infrastructure</t>
  </si>
  <si>
    <t>French-Swiss project; CNRS-INSU project INDIEN-SUD; U.S. National Science Foundation(National Science Foundation (NSF)); Australian Research Council Grant(Australian Research Council); Australian National Computing Infrastructure</t>
  </si>
  <si>
    <t>Some of the collaborations in this study were initiated through the PAGES QUIGS workshop 2020. EM received financial support from French-Swiss project VR-349-2012-6278 and CNRS-INSU project INDIEN-SUD. RCJW acknowledges funding from the U.S. National Science Foundation (Grant AGS-1929775). LM acknowledges funding from Australian Research Council Grant FT180100606. PS was supported by the Australian Research Council Grant FT190100413 and the Australian National Computing Infrastructure. MH acknowledges funding from Australian Research Council Grant DP210101650. We acknowledge the World Climate Research Programme, which, through its Working Group on Coupled Modelling, coordinated and promoted CMIP6, as well as the Working Group on Climate Models (WGCM) and Past Global Changes (PAGES) for their support of the Paleoclimate Modelling Intercomparison Project. We thank the climate modelling groups for producing and making available their model output, the Earth System Grid Federation (ESGF) for archiving the data and providing access, and the multiple funding agencies who support CMIP6 and ESGF. We thank the seven anonymous reviewers who provided helpful comments on previous versions of this manuscript, and the Editors for their input and guidance.</t>
  </si>
  <si>
    <t>e2023PA004666</t>
  </si>
  <si>
    <t>10.1029/2023PA004666</t>
  </si>
  <si>
    <t>L1PQ9</t>
  </si>
  <si>
    <t>Green Published, Green Submitted, hybrid</t>
  </si>
  <si>
    <t>WOS:001021050700001</t>
  </si>
  <si>
    <t>Goenka, R; Anoop, S; Ramana, MV</t>
  </si>
  <si>
    <t>Goenka, Rounaq; Anoop, Sampelli; Ramana, Muvva Venkata</t>
  </si>
  <si>
    <t>Characteristics of Precipitation Over the Southern Ocean Using Micro Rain Radar and its Comparison with Space-Based Measurements</t>
  </si>
  <si>
    <t>JOURNAL OF THE INDIAN SOCIETY OF REMOTE SENSING</t>
  </si>
  <si>
    <t>Precipitation; Micro Rain Radar (MRR); Microwave remote sensing; Antarctica</t>
  </si>
  <si>
    <t>ICE; RETRIEVAL; PROFILES</t>
  </si>
  <si>
    <t>Precipitation is the main input for the ice sheet mass balance, which is poorly estimated over the Antarctic region. We carried out measurements of vertical profiles of precipitation over Antarctica (for the first time by an Indian team), by deploying a Micro Rain Radar (MRR) instrument onboard the South African vessel SA Aghulas during the 10th Southern Ocean Expedition of India (2017-18) to understand characteristics of precipitation in this region and compare with satellite retrievals. These expeditions provided unprecedented observations of vertical profiles of precipitation over the Southern Ocean region from 20 degrees S to 66 degrees S. The precipitation rate (R) measurements indicate that the majority of the precipitation events fall under the ranges of 0 &lt; R &lt; 5 mm/hr (about 32 events) and 5 &lt; R &lt; 90 mm/hr (about 44 events). We observed the presence of virga in vertical profiles of precipitation, which is very important from a climatology point of view. The vertical profiles of precipitation parameters indicate the presence of signatures of melting layers in the height range of 3.5-4.5 km above the mean sea level (msl) in the tropical region and 1.0 to 3.0 km msl in the polar region, as opposed to the fixed value of 4.86 km used. The comparison between surface MRR measurements 0-200 m and satellite precipitation rate illustrate that both datasets agree within 0.39 mm/hr with RMSE of 1.69 mm/hr and correlation of 0.86 for nearest satellite pixels surface, whereas comparison for MRR average of 0-600 m and satellite rain rate show that the datasets agree within 0.06 mm with RMSE of 1.55 mm/hr and correlation of 0.91.</t>
  </si>
  <si>
    <t>[Goenka, Rounaq; Anoop, Sampelli; Ramana, Muvva Venkata] Natl Remote Sensing Ctr, Land &amp; Atmospher Phys Div, Climate Studies Grp, Earth &amp; Climate Sci Area, Hyderabad 500037, India</t>
  </si>
  <si>
    <t>Department of Space (DoS), Government of India; Indian Space Research Organisation (ISRO); National Remote Sensing Centre (NRSC)</t>
  </si>
  <si>
    <t>Goenka, R (corresponding author), Natl Remote Sensing Ctr, Land &amp; Atmospher Phys Div, Climate Studies Grp, Earth &amp; Climate Sci Area, Hyderabad 500037, India.</t>
  </si>
  <si>
    <t>rounaq_g@nrsc.gov.in</t>
  </si>
  <si>
    <t>Goenka, Rounaq/0000-0001-5903-8730</t>
  </si>
  <si>
    <t>0255-660X</t>
  </si>
  <si>
    <t>0974-3006</t>
  </si>
  <si>
    <t>J INDIAN SOC REMOTE</t>
  </si>
  <si>
    <t>J. Indian Soc. Remote Sens.</t>
  </si>
  <si>
    <t>10.1007/s12524-023-01727-8</t>
  </si>
  <si>
    <t>Environmental Sciences; Remote Sensing</t>
  </si>
  <si>
    <t>HY2M9</t>
  </si>
  <si>
    <t>WOS:001020327500001</t>
  </si>
  <si>
    <t>Kublay, IZ; Koçoglu, ES; Oflu, S; Arvas, B; Yolaçan, Ç; Bakirdere, S</t>
  </si>
  <si>
    <t>Kublay, Irem Zehra; Kocoglu, Elif Seda; Oflu, Sude; Arvas, Busra; Yolacan, Cigdem; Bakirdere, Sezgin</t>
  </si>
  <si>
    <t>Trace nickel determination in seawater matrix using combination of dispersive liquid-liquid microextraction and triethylamine-assisted Mg(OH)2 method</t>
  </si>
  <si>
    <t>ENVIRONMENTAL MONITORING AND ASSESSMENT</t>
  </si>
  <si>
    <t>DLLME; FAAS; Nickel; Mg(OH)(2); TEA; Seawater</t>
  </si>
  <si>
    <t>PLASMA-MASS SPECTROMETRY; ATOMIC-ABSORPTION-SPECTROMETRY; SOLID-PHASE EXTRACTION; IONIC LIQUIDS; PRECONCENTRATION; ELEMENTS; WATER; COPRECIPITATION; INJECTION; CHELATE</t>
  </si>
  <si>
    <t>In order to eliminate the effects of seawater matrix on the precise/accurate determination of elements, new and efficient analytical procedure requires. In this study, co-precipitation method based on the triethylamine (TEA)-assisted Mg(OH)(2) was performed to eliminate side-effects of seawater medium on the determination with flame atomic absorption spectrometry (FAAS) prior to the preconcentration of nickel by an optimized dispersive liquid-liquid microextraction (DLLME) method. Under the optimum conditions of the presented method, the limit of detection and quantification (LOD, LOQ) values obtained for nickel were found as 16.1 and 53.8 &amp; mu;g kg(-1), respectively. Seawater samples collected from West Antarctic region were used for real sample applications to check the accuracy and applicability of developed method, and satisfying recovery results (86-97%) were obtained. In addition to this, the digital image-based colorimetric detection system and the UV-Vis system were applied to confirm the applicability of the developed DLLME-FAAS method in other analytical systems.</t>
  </si>
  <si>
    <t>[Kublay, Irem Zehra; Oflu, Sude; Arvas, Busra; Yolacan, Cigdem; Bakirdere, Sezgin] Yildiz Tech Univ, Fac Art &amp; Sci, Chem Dept, TR-34220 Istanbul, Turkiye; [Kocoglu, Elif Seda] Yildiz Tech Univ, Cent Res Lab, TR-34220 Istanbul, Turkiye; [Bakirdere, Sezgin] Turkish Acad Sci TUBA, Vedat Dalokay St 112, TR-06670 Ankara, Turkiye</t>
  </si>
  <si>
    <t>Yildiz Technical University; Yildiz Technical University; Turkish Academy of Sciences</t>
  </si>
  <si>
    <t>Bakirdere, S (corresponding author), Yildiz Tech Univ, Fac Art &amp; Sci, Chem Dept, TR-34220 Istanbul, Turkiye.</t>
  </si>
  <si>
    <t>bsezgin23@yahoo.com</t>
  </si>
  <si>
    <t>BAKIRDERE, Sezgin/ABU-6359-2022</t>
  </si>
  <si>
    <t>BAKIRDERE, Sezgin/0000-0001-9746-3682; Kocoglu, Elif Seda/0000-0001-6175-2335</t>
  </si>
  <si>
    <t>The Scientific and Technological Research Council of Turkey (TUBITAK) [119Z846]</t>
  </si>
  <si>
    <t>The Scientific and Technological Research Council of Turkey (TUBITAK)(Turkiye Bilimsel ve Teknolojik Arastirma Kurumu (TUBITAK))</t>
  </si>
  <si>
    <t>This work with a grant number of 119Z846 was supported by The Scientific and Technological Research Council of Turkey (TUBITAK).</t>
  </si>
  <si>
    <t>0167-6369</t>
  </si>
  <si>
    <t>1573-2959</t>
  </si>
  <si>
    <t>ENVIRON MONIT ASSESS</t>
  </si>
  <si>
    <t>Environ. Monit. Assess.</t>
  </si>
  <si>
    <t>10.1007/s10661-023-11435-y</t>
  </si>
  <si>
    <t>K2VF0</t>
  </si>
  <si>
    <t>WOS:001015060800003</t>
  </si>
  <si>
    <t>Fu, L; Guo, JX; Li, L; Lu, K; Chen, XF</t>
  </si>
  <si>
    <t>Fu, Lei; Guo, Jingxue; Li, Lin; Lu, Kai; Chen, Xiaofei</t>
  </si>
  <si>
    <t>A Local Seismic Project near the Dalk Glacier Area, Larsemann Hills, East Antarctica: Toward Subice Imaging and Icequake Monitoring</t>
  </si>
  <si>
    <t>SEISMOLOGICAL RESEARCH LETTERS</t>
  </si>
  <si>
    <t>BESSEL TRANSFORM METHOD; DISPERSION-CURVES; WEST ANTARCTICA; RAYLEIGH-WAVES; ICE STREAM; SURFACE; ZONE; THICKNESS; TOOL; BED</t>
  </si>
  <si>
    <t>During the 2019-2020 field season of the 36th Chinese National Antarctic Research Expedition, two seismic arrays were deployed in the Dalk Glacier area of Larsemann Hills, East Antarctica. The arrays consisted of 100 short-period nodal stations and were intended to investigate the physical properties and seismic events in the region, with the goal of enhancing our understanding of the glacier's structure and dynamics. With these data, we use horizontal-to-vertical spectral ratio (HVSR) analysis to estimate the ice thickness. Noise cross-correlation functions and multimode dispersion curves of Rayleigh waves were extracted from the vertical-component ambient noise data to illu- minate near-surface glacial structures. Teleseismic events with Mw &gt; 5.5 and two typical kinds of icequakes were observed via visual inspection. These initial results improve the understanding of the physical properties of the ice sheet as well as the glacial seismicity in Dalk Glacier.</t>
  </si>
  <si>
    <t>[Fu, Lei] China Univ Geosci, Sch Geophys &amp; Geomat, Hubei Subsurface Multiscale Imaging Key Lab, Wuhan, Peoples R China; [Guo, Jingxue; Lu, Kai] Polar Res Inst China, Key Lab Polar Sci, MNR, Shanghai, Peoples R China; [Chen, Xiaofei] Southern Univ Sci &amp; Technol, Dept Earth &amp; Space Sci, Shenzhen, Peoples R China</t>
  </si>
  <si>
    <t>China University of Geosciences; Polar Research Institute of China; Southern University of Science &amp; Technology</t>
  </si>
  <si>
    <t>Fu, L (corresponding author), China Univ Geosci, Sch Geophys &amp; Geomat, Hubei Subsurface Multiscale Imaging Key Lab, Wuhan, Peoples R China.</t>
  </si>
  <si>
    <t>fulei@cug.edu.cn</t>
  </si>
  <si>
    <t>Chen, Xiaofei/AAB-4648-2019; Fu, Lei/JVE-2289-2024</t>
  </si>
  <si>
    <t>Chen, Xiaofei/0000-0003-3305-8498; Fu, Lei/0000-0001-9709-520X</t>
  </si>
  <si>
    <t>CUG Scholar Scientific Research Funds at the China University of Geosciences (Wuhan) [2022132]; National Natural Science Foundation of China [41974044, 41941004]</t>
  </si>
  <si>
    <t>CUG Scholar Scientific Research Funds at the China University of Geosciences (Wuhan); National Natural Science Foundation of China(National Natural Science Foundation of China (NSFC))</t>
  </si>
  <si>
    <t>The authors thank the Polar Research Institute of China for logistical support during the data collection. This work was supported by the CUG Scholar Scientific Research Funds at the China University of Geosciences (Wuhan) (Project Number 2022132) and the National Natural Science Foundation of China (Grant Numbers 41974044 and 41941004).</t>
  </si>
  <si>
    <t>SEISMOLOGICAL SOC AMER</t>
  </si>
  <si>
    <t>ALBANY</t>
  </si>
  <si>
    <t>400 EVELYN AVE, SUITE 201, ALBANY, CA 94706-1375 USA</t>
  </si>
  <si>
    <t>0895-0695</t>
  </si>
  <si>
    <t>1938-2057</t>
  </si>
  <si>
    <t>SEISMOL RES LETT</t>
  </si>
  <si>
    <t>Seismol. Res. Lett.</t>
  </si>
  <si>
    <t>10.1785/0220220372</t>
  </si>
  <si>
    <t>L9LV1</t>
  </si>
  <si>
    <t>WOS:001026417000005</t>
  </si>
  <si>
    <t>Beadling, RL</t>
  </si>
  <si>
    <t>Beadling, Rebecca L.</t>
  </si>
  <si>
    <t>Global Consequences of Regional Connectivity Along the Antarctic Margin</t>
  </si>
  <si>
    <t>oceans; Antarctic margins</t>
  </si>
  <si>
    <t>WEDDELL SEA POLYNYA; SOUTHERN-OCEAN; SLOPE FRONT; SHELF</t>
  </si>
  <si>
    <t>Observations and modeling studies indicate that ocean and cryosphere dynamics at the Antarctic margin are rapidly evolving and will continue to do so in the face of unabated climate warming. Despite occupying a minute fraction of the world ocean's volume, local dynamics in this region may play an outsized role in the evolving global climate system. Water masses transported along and across the continental shelf influence Antarctic Ice Sheet (AIS) stability, Dense Shelf Water (DSW) production, oceanic heat and carbon uptake, nutrient distributions, and ecosystems. Changes in these processes may feedback onto the global climate system with significant remote consequences, including accelerated global sea level rise. Recently, Dawson et al. (2023, ) combined results from a high-resolution ocean-sea ice model with offline Lagrangian particle tracking to constrain pathways and timescales of connectivity along the Antarctic margin. Their findings revealed widespread circumpolar connectivity, with waters able to circumnavigate Antarctica within two decades and reach neighboring shelf regions within 1-5 years. The results provide important context of timescales that anomalies from AIS mass loss or Circumpolar Deep Water intrusions may propagate downstream and feedback onto AIS stability or DSW formation. The authors highlight the importance of along-slope and along-shelf currents in setting connectivity timescales and pathways. Combined with other recent studies suggesting significant changes in Antarctic regional ocean circulation in response to warming, the findings of Dawson et al. (2023, ) suggest the Antarctic margin is likely to significantly evolve over the 21st century in ways we are just starting to unravel.</t>
  </si>
  <si>
    <t>[Beadling, Rebecca L.] Temple Univ, Dept Earth &amp; Environm Sci, Philadelphia, PA 19122 USA</t>
  </si>
  <si>
    <t>Pennsylvania Commonwealth System of Higher Education (PCSHE); Temple University</t>
  </si>
  <si>
    <t>Beadling, RL (corresponding author), Temple Univ, Dept Earth &amp; Environm Sci, Philadelphia, PA 19122 USA.</t>
  </si>
  <si>
    <t>rebecca.beadling@temple.edu</t>
  </si>
  <si>
    <t>e2023JC019908</t>
  </si>
  <si>
    <t>10.1029/2023JC019908</t>
  </si>
  <si>
    <t>L6ED8</t>
  </si>
  <si>
    <t>WOS:001024167200001</t>
  </si>
  <si>
    <t>Sigmund, A; Chaar, R; Ebner, PP; Lehning, M</t>
  </si>
  <si>
    <t>Sigmund, Armin; Chaar, Riqo; Ebner, Pirmin Philipp; Lehning, Michael</t>
  </si>
  <si>
    <t>A Case Study on Drivers of the Isotopic Composition of Water Vapor at the Coast of East Antarctica</t>
  </si>
  <si>
    <t>stable water isotopes; water vapor; Antarctica; isotopic distillation; snow sublimation; ocean evaporation</t>
  </si>
  <si>
    <t>SURFACE SNOW; STABLE-ISOTOPES; OXYGEN-ISOTOPE; BOUNDARY-LAYER; GORDON MODEL; ICE; PRECIPITATION; DEUTERIUM; O-18; VARIABILITY</t>
  </si>
  <si>
    <t>Stable water isotopes (SWIs) contain valuable information on the past climate and phase changes in the hydrologic cycle. Recently, vapor measurements in the polar regions have provided new insights into the effects of snow-related and atmospheric processes on SWIs. The purpose of this study is to elucidate the drivers of the particularly depleted vapor isotopic composition measured on a ship close to the East Antarctic coast during the Antarctic Circumnavigation Expedition in 2017. Reanalysis data and backward trajectories are used to model the isotopic composition of air parcels arriving in the atmospheric boundary layer (ABL) above the ship. A simple model is developed to account for moisture exchanges with the snow surface. The model generally reproduces the observed trend with strongly depleted vapor d(18)O values in the middle of the 6-day study period. This depletion is caused by direct air mass advection from the ice sheet where the vapor is more depleted in heavy SWIs due to distillation during cloud formation. The time spent by the air masses in the marine ABL shortly before arrival at the ship is crucial as ocean evaporation typically leads to an abrupt change in the isotopic signature. Snow sublimation is another important driver when the isotopic composition of the sublimation flux differs substantially from that of the advected air mass, for example, marine air arriving at the coast or free-tropospheric air descending from high altitudes. Despite strong simplifications, our model is a useful and computationally efficient method for understanding SWI dynamics at polar sites.Plain Language Summary Stable water isotopes are useful to reconstruct historical temperature conditions from ice cores. This method is possible because phase changes of water alter the isotopic composition. For example, if an air mass cools down, forms clouds, and produces rain or snowfall, the water vapor preferentially loses heavy water molecules. This study aims to explain a remarkable vapor isotopic signal measured on a ship close to the East Antarctic coast during 6 days in 2017. We model the isotopic composition of air parcels along their pathways to the ship and develop a novel approach to represent moisture exchange with the snow surface. The modeled vapor isotopic composition at the ship reaches a distinct minimum, similar to the measurements, when the air parcels move directly from the ice sheet to the ship. As expected, the vapor isotopic composition is lower over the ice sheet than over the ocean, largely due to cloud formation. However, moisture uptake from the snow surface and from the ocean shortly before arrival at the ship can strongly and abruptly influence the isotopic signature of the air masses. Although our model is not perfect, it helps to improve the interpretation of isotope measurements at polar sites.</t>
  </si>
  <si>
    <t>[Sigmund, Armin; Chaar, Riqo; Lehning, Michael] Ecole Polytech Fed Lausanne, Sch Architecture Civil &amp; Environm Engn, CRYOS, Lausanne, Switzerland; [Ebner, Pirmin Philipp; Lehning, Michael] WSL Inst Snow &amp; Avalanche Res SLF, Davos, Switzerland; [Ebner, Pirmin Philipp] Univ Bergen, Geophys Inst, Bergen, Norway; [Ebner, Pirmin Philipp] Univ Bergen, Bjerknes Ctr Climate Res, Bergen, Norway</t>
  </si>
  <si>
    <t>Swiss Federal Institutes of Technology Domain; Ecole Polytechnique Federale de Lausanne; Swiss Federal Institutes of Technology Domain; Swiss Federal Institute for Forest, Snow &amp; Landscape Research; University of Bergen; Bjerknes Centre for Climate Research; University of Bergen</t>
  </si>
  <si>
    <t>Sigmund, A (corresponding author), Ecole Polytech Fed Lausanne, Sch Architecture Civil &amp; Environm Engn, CRYOS, Lausanne, Switzerland.</t>
  </si>
  <si>
    <t>armin.sigmund@epfl.ch</t>
  </si>
  <si>
    <t>Sigmund, Armin/0000-0003-3587-1132</t>
  </si>
  <si>
    <t>ACE Foundation; Ferring Pharmaceuticals; RFBR [18-55-16001]; Swiss Data Science Center [17-02]; RCN project FARLAB; Swiss-European Mobility Programme; Swiss National Science Foundation [200020-179130]; Ecole Polytechnique Federale de Lausanne</t>
  </si>
  <si>
    <t>ACE Foundation; Ferring Pharmaceuticals(Ferring Pharmaceuticals); RFBR(Russian Foundation for Basic Research (RFBR)); Swiss Data Science Center; RCN project FARLAB; Swiss-European Mobility Programme; Swiss National Science Foundation(Swiss National Science Foundation (SNSF)); Ecole Polytechnique Federale de Lausanne</t>
  </si>
  <si>
    <t>We thank Iris Thurnherr and Franziska Aemisegger for providing inspiration for this study as well as feedback. We thank Sonja Wahl for valuable comments on the manuscript. The team of the ACE campaign is acknowledged for providing the measurement data. We thank two anonymous reviewers for constructive comments. Funding for the ACE campaign was provided by the ACE Foundation, Ferring Pharmaceuticals, RFBR (Grant 18-55-16001), Swiss Data Science Center (Grant 17-02) and the RCN project FARLAB. Funding for this study was provided by the Swiss-European Mobility Programme and the Swiss National Science Foundation (Grant 200020-179130). Open access funding provided by Ecole Polytechnique Federale de Lausanne.</t>
  </si>
  <si>
    <t>e2023JF007062</t>
  </si>
  <si>
    <t>10.1029/2023JF007062</t>
  </si>
  <si>
    <t>L8DU7</t>
  </si>
  <si>
    <t>WOS:001025519300001</t>
  </si>
  <si>
    <t>Benoit, JB; Finch, G; Ankrum, AL; Niemantsverdriet, J; Paul, B; Kelley, M; Gantz, JD; Matter, SF; Lee, RE Jr; Denlinger, DL</t>
  </si>
  <si>
    <t>Benoit, Joshua B.; Finch, Geoffrey; Ankrum, Andrea L.; Niemantsverdriet, Jennifer; Paul, Bidisha; Kelley, Melissa; Gantz, J. D.; Matter, Stephen F.; Lee Jr, Richard E.; Denlinger, David L.</t>
  </si>
  <si>
    <t>Reduced male fertility of an Antarctic mite following extreme heat stress could prompt localized population declines</t>
  </si>
  <si>
    <t>Antarctic mite; Alaskozetes antarcticus; Reproduction; Climate change; Heat stress</t>
  </si>
  <si>
    <t>MALE-STERILITY; ALASKOZETES-ANTARCTICUS; ORIBATID MITE; TEMPERATURE; IDENTIFICATION; EXPRESSION; SURVIVAL; SHIFTS</t>
  </si>
  <si>
    <t>Climate change is leading to substantial global thermal changes, which are particularly pronounced in polar regions. Therefore, it is important to examine the impact of heat stress on the reproduction of polar terrestrial arthropods, specifically, how brief extreme events may alter survival. We observed that sublethal heat stress reduces male fecundity in an Antarctic mite, yielding females that produced fewer viable eggs. Females and males collected from microhabitats with high temperatures showed a similar reduction in fertility. This impact is temporary, as indicated by recovery of male fecundity following return to cooler, stable conditions. The diminished fecundity is likely due to a drastic reduction in the expression of male-associated factors that occur in tandem with a substantial increase in the expression of heat shock proteins. Cross-mating between mites from different sites confirmed that heat-exposed populations have impaired male fertility. However, the negative impacts are transient as the effect on fertility declines with recovery time under less stressful conditions. Modeling indicated that heat stress is likely to reduce population growth and that short bouts of non-lethal heat stress could have substantial reproductive effects on local populations of Antarctic arthropods.</t>
  </si>
  <si>
    <t>[Benoit, Joshua B.; Finch, Geoffrey; Ankrum, Andrea L.; Niemantsverdriet, Jennifer; Paul, Bidisha; Kelley, Melissa; Matter, Stephen F.] Univ Cincinnati, Dept Biol Sci, Cincinnati, OH 45221 USA; [Ankrum, Andrea L.] Univ Cincinnati, Dept Environm Hlth, Cincinnati, OH USA; [Gantz, J. D.; Lee Jr, Richard E.] Miami Univ, Dept Biol, Oxford, OH USA; [Gantz, J. D.] Hendrix Coll, Dept Biol &amp; Hlth Sci, Conway, AR USA; [Denlinger, David L.] Ohio State Univ, Dept Entomol, Columbus, OH USA; [Denlinger, David L.] Ohio State Univ, Dept Evolut Ecol &amp; Organismal Biol, Columbus, OH USA</t>
  </si>
  <si>
    <t>University System of Ohio; University of Cincinnati; University System of Ohio; University of Cincinnati; University System of Ohio; Miami University; University System of Ohio; Ohio State University; University System of Ohio; Ohio State University</t>
  </si>
  <si>
    <t>Benoit, JB (corresponding author), Univ Cincinnati, Dept Biol Sci, Cincinnati, OH 45221 USA.</t>
  </si>
  <si>
    <t>joshua.benoit@uc.edu</t>
  </si>
  <si>
    <t>Ankrum, Andrea/KBC-9684-2024</t>
  </si>
  <si>
    <t>Benoit, Joshua/0000-0002-4018-3513</t>
  </si>
  <si>
    <t>National Science Foundation [OPP-1341385]; US Department of Agriculture [2018-67013, OPP-1341393]</t>
  </si>
  <si>
    <t>National Science Foundation(National Science Foundation (NSF)); US Department of Agriculture(United States Department of Agriculture (USDA))</t>
  </si>
  <si>
    <t>This work was supported by the National Science Foundation Grant DEB-1654417 (partially) and US Department of Agriculture 2018-67013 (partially) to J. B. B. for shared equipment use, National Science Foundation grant OPP-1341393 to D. L. D., and National Science Foundation grant OPP-1341385 to R. E. L. We thank the staff at Palmer Station, Antarctica, for assistance in logistics and experiments and for making the field season a pleasant and productive experience.</t>
  </si>
  <si>
    <t>10.1007/s12192-023-01359-4</t>
  </si>
  <si>
    <t>WOS:001020107000001</t>
  </si>
  <si>
    <t>Zhu, F; Chen, X; Ma, LY; Liu, WK; Zhang, XH</t>
  </si>
  <si>
    <t>Zhu, Feng; Chen, Xi; Ma, Liye; Liu, Wanke; Zhang, Xiaohong</t>
  </si>
  <si>
    <t>S2L-RTK: temporal ionospheric modeling for RTK baselines varying from short to long</t>
  </si>
  <si>
    <t>GPS SOLUTIONS</t>
  </si>
  <si>
    <t>Real-time kinematic; Ambiguity fixing; Ionospheric modeling and prediction; Short-to-long baseline</t>
  </si>
  <si>
    <t>Real-time kinematic (RTK) has been widely used in mobile mapping. In a large-scale mobile mapping scene with long baseline, such as airborne gravimetry, the correlation of parameters between the base and rover stations is greatly weakened, especially since the ionospheric and the ambiguities parameters are difficult to be separated quickly. In this contribution, combined with the motion characteristics of the moving platform, a real-time differential positioning method constrained by ionospheric modeling in short-to-long baseline scenes (S2L-RTK) is proposed. First, in the short baseline case, the ionosphere was strongly constrained to obtain the fixed ambiguity solution, and then the ionospheric delay was extracted and modeled in real time. When the carrier is in the long baseline case, the ionospheric parameters are constrained by the ionospheric prediction, and then the fixed solution is obtained quickly. This repeated process of ionospheric modeling prediction and ambiguity fixing realizes a large-scale dynamic high-precision positioning with only a single base station setup, which can significantly reduce operating costs. Three different processing models are evaluated: the ionospheric-free model, the ionospheric-weighted model, and the new proposed S2L-RTK model. With airborne and vehicle experiments data processed, it is proved that the ambiguity fixing rate of S2L-RTK model can reach nearly 100% in open-sky scenes and 90% in complex urban scenes, and it can obtain centimeter-level positioning accuracy in both scenes, which is significantly better than the ionospheric-free and ionospheric-weighted models.</t>
  </si>
  <si>
    <t>[Zhu, Feng; Chen, Xi; Liu, Wanke; Zhang, Xiaohong] Wuhan Univ, Sch Geodesy &amp; Geomat, Hubei Luojia Lab, 129 Luoyu Rd, Wuhan 430079, Hubei, Peoples R China; [Zhu, Feng] Wuhan Univ, Key Lab Geospace Environm &amp; Geodesy, Minist Educ, 129 Luoyu Rd, Wuhan 430079, Hubei, Peoples R China; [Zhang, Xiaohong] Wuhan Univ, Chinese Antarctic Ctr Surveying &amp; Mapping, 129 Luoyu Rd, Wuhan 430079, Hubei, Peoples R China; [Ma, Liye] Wuhan Univ, GNSS Res Ctr, 129 Luoyu Rd, Wuhan 430079, Hubei, Peoples R China</t>
  </si>
  <si>
    <t>Wuhan University; Wuhan University; Wuhan University; Wuhan University</t>
  </si>
  <si>
    <t>Zhu, F (corresponding author), Wuhan Univ, Sch Geodesy &amp; Geomat, Hubei Luojia Lab, 129 Luoyu Rd, Wuhan 430079, Hubei, Peoples R China.;Zhu, F (corresponding author), Wuhan Univ, Key Lab Geospace Environm &amp; Geodesy, Minist Educ, 129 Luoyu Rd, Wuhan 430079, Hubei, Peoples R China.</t>
  </si>
  <si>
    <t>fzhu@whu.edu.cn</t>
  </si>
  <si>
    <t>Zhang, Xiaohong/A-3060-2015</t>
  </si>
  <si>
    <t>National Key Research and Development Program of China [2022YFB3903802]; National Natural Science Foundation of China [42104021]; Science and Technology Major Project of Hubei Province [2021AAA010]; Special Fund of Hubei Luojia Laboratory [2201000038]</t>
  </si>
  <si>
    <t>National Key Research and Development Program of China; National Natural Science Foundation of China(National Natural Science Foundation of China (NSFC)); Science and Technology Major Project of Hubei Province; Special Fund of Hubei Luojia Laboratory</t>
  </si>
  <si>
    <t>AcknowledgementsThis study is supported by the National Key Research and Development Program of China (Grant No. 2022YFB3903802), the National Natural Science Foundation of China (Grant No. 42104021), the Science and Technology Major Project of Hubei Province (Grant No. 2021AAA010), and the Special Fund of Hubei Luojia Laboratory (Grant No. 2201000038).</t>
  </si>
  <si>
    <t>1080-5370</t>
  </si>
  <si>
    <t>1521-1886</t>
  </si>
  <si>
    <t>GPS SOLUT</t>
  </si>
  <si>
    <t>GPS Solut.</t>
  </si>
  <si>
    <t>10.1007/s10291-023-01505-6</t>
  </si>
  <si>
    <t>L1VR4</t>
  </si>
  <si>
    <t>WOS:001021207600001</t>
  </si>
  <si>
    <t>Lucas, EM; Nyblade, AA; Aster, RC; Wiens, DA; Wilson, TJ; Winberry, JP; Huerta, AD</t>
  </si>
  <si>
    <t>Lucas, Erica M.; Nyblade, Andrew A.; Aster, Richard C.; Wiens, Douglas A.; Wilson, Terry J.; Winberry, J. Paul; Huerta, Audrey D.</t>
  </si>
  <si>
    <t>Tidally Modulated Glacial Seismicity at the Foundation Ice Stream, West Antarctica</t>
  </si>
  <si>
    <t>EARTHQUAKES; MOTION; SHELF; PATTERN; EVENTS; FLOW; WAVE</t>
  </si>
  <si>
    <t>We investigate the occurrence of repeating glacial seismicity near the grounding line of the Foundation Ice Stream and further upstream using continuous broadband seismic data collected by Polar Earth Observing Network (POLENET/A-NET) stations from 2014 through 2019. Through manual identification and cross-correlation analysis, 2,237 discrete icequakes (1.5=M-L = 2.6) are detected in two spatial clusters, one located at the grounding line of the Foundation Ice Stream (2,219 event detections) and a second located further upstream proximal to a subglacial ridge (18 event detections). Seismicity is predominantly concentrated in the Schmidt Hills, located adjacent to the grounding line of the Foundation Ice Stream, and shows clear ocean tide modulation. Seismic events primarily occur during spring tides, and, on a shorter timescale, concurrent with the rising tide preceding daily maximum high tide. The seismicity can be attributed to stick-slip motion and fracturing that preferentially occur during rising tides. Seismicity located further upstream in the southern portion of the Foundation Ice Stream most likely reflects basal stick-slip processes associated with the subglacial topographic high.</t>
  </si>
  <si>
    <t>[Lucas, Erica M.; Nyblade, Andrew A.] Penn State Univ, Dept Geosci, University Pk, PA 16802 USA; [Aster, Richard C.] Colorado State Univ, Dept Geosci, Warner Coll Nat Resources, Ft Collins, CO USA; [Wiens, Douglas A.] Washington Univ St Louis, Dept Earth &amp; Planetary Sci, St Louis, MO USA; [Wilson, Terry J.] Ohio State Univ, Sch Earth Sci, Columbus, OH USA; [Winberry, J. Paul; Huerta, Audrey D.] Cent Washington Univ, Dept Geol Sci, Ellensburg, WA USA</t>
  </si>
  <si>
    <t>Pennsylvania Commonwealth System of Higher Education (PCSHE); Pennsylvania State University; Pennsylvania State University - University Park; Colorado State University; Washington University (WUSTL); University System of Ohio; Ohio State University; Central Washington University</t>
  </si>
  <si>
    <t>Lucas, EM (corresponding author), Penn State Univ, Dept Geosci, University Pk, PA 16802 USA.</t>
  </si>
  <si>
    <t>ericamlucas@gmail.com</t>
  </si>
  <si>
    <t>Winberry, Paul/E-5557-2011</t>
  </si>
  <si>
    <t>Lucas, Erica/0000-0001-6372-3570</t>
  </si>
  <si>
    <t>National Science Foundation (NSF) [1142126, 1142518, 1141916, 1148982, 1246416, 1246151, 1249631, 1249602, 1249513, 1246666, 1246712, 1246776, 1247518]</t>
  </si>
  <si>
    <t>National Science Foundation (NSF)(National Science Foundation (NSF))</t>
  </si>
  <si>
    <t>This work was supported by the National Science Foundation (NSF) (Grants 1142126, 1142518, 1141916, 1148982, 1246416, 1246151, 1249631, 1249602, 1249513, 1246666, 1246712, 1246776, and 1247518). POLENET/ANET seismic instrumentation was provided and supported by the Incorporated Research Institutions for Seismology (IRIS) through the Portable Array Seismic Studies of the Continental Lithosphere (PASSCAL) Instrument Center at New Mexico Tech. Several figures were produced using the Generic Mapping Tools (Wessel et &amp; nbsp;al.,&amp; nbsp;2019) and Antarctic Mapping Tools for Matlab (Greene et &amp; nbsp;al.,&amp; nbsp;2017). We thank three anonymous reviewers for their constructive and helpful critiques on this manuscript.</t>
  </si>
  <si>
    <t>e2023JF007172</t>
  </si>
  <si>
    <t>10.1029/2023JF007172</t>
  </si>
  <si>
    <t>L3LC6</t>
  </si>
  <si>
    <t>WOS:001022298200001</t>
  </si>
  <si>
    <t>Miscicka, A; Lu, K; Abaeva, IS; Pestova, TV; Hellen, CUT</t>
  </si>
  <si>
    <t>Miscicka, Anna; Lu, Kristen; Abaeva, Irina S.; Pestova, Tatyana V.; Hellen, Christopher U. T.</t>
  </si>
  <si>
    <t>Initiation of translation on nedicistrovirus and related intergenic region IRESs by their factor-independent binding to the P site of 80S ribosomes</t>
  </si>
  <si>
    <t>RNA</t>
  </si>
  <si>
    <t>dicistrovirus; nedicistrovirus; Antarctic picorna-like virus 1; IRES; ribosome; translation initiation</t>
  </si>
  <si>
    <t>INTERNAL RIBOSOME; ENTRY SITE; TRANSFER-RNA; STRUCTURAL BASIS; VIRUS; PROTEIN; TRANSLOCATION; ELONGATION; REINITIATION; TERMINATION</t>
  </si>
  <si>
    <t>Initiation of translation on many viral mRNAs occurs by noncanonical mechanisms that involve 5' end-independent binding of ribosomes to an internal ribosome entry site (IRES). The similar to 190-nt-long intergenic region (IGR) IRES of dicistroviruses such as cricket paralysis virus (CrPV) initiates translation without Met-tRNAiMet or initiation factors. Advances in metagenomics have revealed numerous dicistrovirus-like genomes with shorter, structurally distinct IGRs, such as nedicistrovirus (NediV) and Antarctic picorna-like virus 1 (APLV1). Like canonical IGR IRESs, the similar to 165-nt-long NediV-like IGRs comprise three domains, but they lack key canonical motifs, including L1.1a/L1.1b loops (which bind to the L1 stalk of the ribosomal 60S subunit) and the apex of stem-loop V (SLV) (which binds to the head of the 40S subunit). Domain 2 consists of a compact, highly conserved pseudoknot (PKIII) that contains a UACUA loop motif and a protruding CrPV-like stem-loop SLIV. In vitro reconstitution experiments showed that NediV-like IRESs initiate translation from a non-AUG codon and form elongation-competent 80S ribosomal complexes in the absence of initiation factors and Met-tRNAiMet. Unlike canonical IGR IRESs, NediVlike IRESs bind directly to the peptidyl (P) site of ribosomes leaving the aminoacyl (A) site accessible for decoding. The related structures of NediV-like IRESs and their common mechanism of action indicate that they exemplify a distinct class of IGR IRES.</t>
  </si>
  <si>
    <t>[Miscicka, Anna; Lu, Kristen; Abaeva, Irina S.; Pestova, Tatyana V.; Hellen, Christopher U. T.] SUNY Downstate Hlth Sci Univ, Dept Cell Biol, Brooklyn, NY 11203 USA</t>
  </si>
  <si>
    <t>Hellen, CUT (corresponding author), SUNY Downstate Hlth Sci Univ, Dept Cell Biol, Brooklyn, NY 11203 USA.</t>
  </si>
  <si>
    <t>christopher.hellen@downstate.edu</t>
  </si>
  <si>
    <t>Hellen, Christopher/0000-0002-3982-2090; Pestova, Tatyana/0000-0003-3543-256X</t>
  </si>
  <si>
    <t>National Institutes of Health [R01 AI123406, R01 GM097014, R35 GM122602]</t>
  </si>
  <si>
    <t>National Institutes of Health(United States Department of Health &amp; Human ServicesNational Institutes of Health (NIH) - USA)</t>
  </si>
  <si>
    <t>ACKNOWLEDGMENTS This research was funded by the National Institutes of Health (R01 AI123406 and R01 GM097014 to C.U.T.H. R35 GM122602 to T.V.P.). We thank V. Ramakrishnan for the gift of RelE.</t>
  </si>
  <si>
    <t>COLD SPRING HARBOR LAB PRESS, PUBLICATIONS DEPT</t>
  </si>
  <si>
    <t>COLD SPRING HARBOR</t>
  </si>
  <si>
    <t>1 BUNGTOWN RD, COLD SPRING HARBOR, NY 11724 USA</t>
  </si>
  <si>
    <t>1355-8382</t>
  </si>
  <si>
    <t>1469-9001</t>
  </si>
  <si>
    <t>10.1261/rna.079599.123</t>
  </si>
  <si>
    <t>J4GP6</t>
  </si>
  <si>
    <t>WOS:001009216100008</t>
  </si>
  <si>
    <t>Zhu, Z; Liu, JP; Song, MR; Hu, YY</t>
  </si>
  <si>
    <t>Zhu, Zhu; Liu, Jiping; Song, Mirong; Hu, Yongyun</t>
  </si>
  <si>
    <t>Changes in Extreme Temperature and Precipitation over the Southern Extratropical Continents in Response to Antarctic Sea Ice Loss</t>
  </si>
  <si>
    <t>Sea ice; Southern Hemisphere; Precipitation; Temperature; Climate models</t>
  </si>
  <si>
    <t>ATMOSPHERIC RESPONSE; CLIMATE; OSCILLATION; INDEXES; TRENDS; IMPACT; EXTENT</t>
  </si>
  <si>
    <t>Current climate models project that Antarctic sea ice will decrease by the end of the twenty-first century. Previous studies have suggested that Antarctic sea ice changes have impacts on atmospheric circulation and the mean state of the Southern Hemisphere. However, little is known about whether Antarctic sea ice loss may have a tangible impact on climate extremes over the southern continents and whether ocean-atmosphere coupling plays an important role in changes of climate extremes over the southern continents. In this study, we conduct a set of fully coupled and atmosphere-only model experiments forced by present and future Antarctic sea ice cover. It is found that the projected Antarctic sea ice loss by the end of the twenty-first century leads to an increase in the frequency and duration of warm extremes (especially warm nights) over the southern continents and a decrease in cold extremes over most regions. The frequency and duration of wet extremes are projected to increase over South America and Antarctica, whereas changes in dry days and the longest dry spell vary with regions. Further Antarctic sea ice loss under a quadrupling of CO2 leads to similar but larger changes. Comparison between the coupled and atmosphere-only model experiments suggests that ocean dynamics and their interac-tions with the atmosphere induced by Antarctic sea ice loss play a key role in driving the identified changes in temperature and precipitation extremes over southern continents. By comparing with global warming experiments, we find that Antarctic sea ice loss may affect temperature and precipitation extremes for some regions under greenhouse warming, especially Antarctica.</t>
  </si>
  <si>
    <t>[Zhu, Zhu; Song, Mirong] Chinese Acad Sci, Inst Atmospher Phys, State Key Lab Numer Modeling Atmospher Sci &amp; Geoph, Beijing, Peoples R China; [Zhu, Zhu] Univ Chinese Acad Sci, Beijing, Peoples R China; [Liu, Jiping] SUNY Albany, Dept Atmospher &amp; Environm Sci, Albany, NY 12222 USA; [Song, Mirong] Southern Marine Sci &amp; Engn Guangdong Lab Zhuhai, Zhuhai, Peoples R China; [Hu, Yongyun] Peking Univ, Sch Phys, Dept Atmospher &amp; Ocean Sci, Beijing, Peoples R China</t>
  </si>
  <si>
    <t>Chinese Academy of Sciences; Institute of Atmospheric Physics, CAS; Chinese Academy of Sciences; University of Chinese Academy of Sciences, CAS; State University of New York (SUNY) System; State University of New York (SUNY) Albany; Southern Marine Science &amp; Engineering Guangdong Laboratory; Southern Marine Science &amp; Engineering Guangdong Laboratory (Zhuhai); Peking University</t>
  </si>
  <si>
    <t>Liu, JP (corresponding author), SUNY Albany, Dept Atmospher &amp; Environm Sci, Albany, NY 12222 USA.</t>
  </si>
  <si>
    <t>jliu26@albany.edu</t>
  </si>
  <si>
    <t>Hu, Yongyun/B-6786-2016</t>
  </si>
  <si>
    <t>Hu, Yongyun/0000-0002-4003-4630</t>
  </si>
  <si>
    <t>National Natural Science Foundation of China [41830536, 41941009]; National Key Ramp;D Program of China [2018YFA0605901]</t>
  </si>
  <si>
    <t>National Natural Science Foundation of China(National Natural Science Foundation of China (NSFC)); National Key Ramp;D Program of China</t>
  </si>
  <si>
    <t>Acknowledgments. This research is supported by the National Natural Science Foundation of China (41830536 and 41941009) and the National Key R &amp; D Program of China (2018YFA0605901) . We thank the National Center for Atmo- spheric Research (NCAR) for making data of the CESM Large Ensemble Community Project publicly available. We also thank the three anonymous reviewers for their construc- tive comments.</t>
  </si>
  <si>
    <t>10.1175/JCLI-D-22-0577.1</t>
  </si>
  <si>
    <t>K4YV5</t>
  </si>
  <si>
    <t>WOS:001016521100001</t>
  </si>
  <si>
    <t>Zhu, F; Chen, X; Liu, WK; Wang, YZ; Zhang, XH</t>
  </si>
  <si>
    <t>Zhu, Feng; Chen, Xi; Liu, Wanke; Wang, Yingzhe; Zhang, Xiaohong</t>
  </si>
  <si>
    <t>Connecting integer ambiguities to avoid reinitialization and keep VRS seamless switching for virtual grid-based NRTK</t>
  </si>
  <si>
    <t>Virtual grid-based NRTK; CORS; VRS seamless switching; Integer ambiguity connection; Precise and continuous positioning</t>
  </si>
  <si>
    <t>CYCLE SLIP DETECTION; GPS</t>
  </si>
  <si>
    <t>Virtual grid technology-based network real-time kinematic (NRTK) is the key to wide-area high-accuracy positioning and navigation. In long-distance kinematic positioning applications, the virtual reference station (VRS) closest to the rover is selected, which brings about frequent switching in VRSs. Due to inconsistent ambiguities between the previous and the current VRSs, the between-station differenced carrier phase ambiguities of the rover, and the current VRS are regarded as cycle slips, leading to the reinitialization of ambiguities and therefore result in damaging positioning accuracy and continuity of the rover. An integer ambiguity connection method (IAC) is proposed to avoid reinitialization in VRS switching, which is able to maintain high-accuracy, continuous, and high-availability positioning performance. In this method, the between-station differenced ambiguities of the original and the new VRSs are fixed with asynchronous RTK and then transmitted to the rover; in this way, the rover can directly build the between-station differenced ambiguities with the new VRS to realize seamless switching. The performance evaluation is first conducted for the IAC method with simulation experiments using virtual grid-based NRTK (VGB-NRTK) service. Then, two sets of multiple-switching ship-borne experiments were carried out, and the data were processed with IAC method by post-processed kinematic. The results show that when VRS switches, integer ambiguities are reinitialized and fixed again after several epochs with the traditional strategy, while they can be kept continuously with the IAC method.</t>
  </si>
  <si>
    <t>[Zhu, Feng; Chen, Xi; Liu, Wanke; Wang, Yingzhe; Zhang, Xiaohong] Wuhan Univ, Sch Geodesy &amp; Geomat, Hubei Luojia Lab, 129 Luoyu Rd, Wuhan 430079, Hubei, Peoples R China; [Zhu, Feng] Wuhan Univ, Minist Educ, Key Lab Geospace Environm &amp; Geodesy, 129 Luoyu Rd, Wuhan 430079, Hubei, Peoples R China; [Zhang, Xiaohong] Wuhan Univ, Chinese Antarctic Ctr Surveying &amp; Mapping, 129 Luoyu Rd, Wuhan 430079, Hubei, Peoples R China</t>
  </si>
  <si>
    <t>Wuhan University; Wuhan University; Wuhan University</t>
  </si>
  <si>
    <t>Liu, WK (corresponding author), Wuhan Univ, Sch Geodesy &amp; Geomat, Hubei Luojia Lab, 129 Luoyu Rd, Wuhan 430079, Hubei, Peoples R China.</t>
  </si>
  <si>
    <t>wkliu@sgg.whu.edu.cn</t>
  </si>
  <si>
    <t>National Key Research and Development Program of China [2020YFB0505803]; National Natural Science Foundation of China [42104021]; Science and Technology Major Project of Hubei Province [2021AAA010]; Special Fund of Hubei Luojia Laboratory [220100005]; Wuhan Science and Technology Project [2020010601012185]; Key Laboratory of Geospace Environment and Geodesy, Ministry of Education, Wuhan University [20-02-01]</t>
  </si>
  <si>
    <t>National Key Research and Development Program of China; National Natural Science Foundation of China(National Natural Science Foundation of China (NSFC)); Science and Technology Major Project of Hubei Province; Special Fund of Hubei Luojia Laboratory; Wuhan Science and Technology Project; Key Laboratory of Geospace Environment and Geodesy, Ministry of Education, Wuhan University</t>
  </si>
  <si>
    <t>The research was supported by the National Key Research and Development Program of China (Grant No. 2020YFB0505803), the National Natural Science Foundation of China (Grant No. 42104021), the Science and Technology Major Project of Hubei Province (Grant No. 2021AAA010), the Special Fund of Hubei Luojia Laboratory (Grant No. 220100005), the Wuhan Science and Technology Project (Grant No. 2020010601012185), and the Key Laboratory of Geospace Environment and Geodesy, Ministry of Education, Wuhan University (Grant No. 20-02-01).</t>
  </si>
  <si>
    <t>10.1007/s10291-023-01471-z</t>
  </si>
  <si>
    <t>I0GF0</t>
  </si>
  <si>
    <t>WOS:000999637900001</t>
  </si>
  <si>
    <t>Chu, JF; Marynets, K; Wang, ZH</t>
  </si>
  <si>
    <t>Chu, Jifeng; Marynets, Kateryna; Wang, Zihao</t>
  </si>
  <si>
    <t>EXISTENCE AND APPROXIMATE SOLUTIONS OF A NONLINEAR MODEL FOR THE ANTARCTIC CIRCUMPOLAR CURRENT</t>
  </si>
  <si>
    <t>DIFFERENTIAL AND INTEGRAL EQUATIONS</t>
  </si>
  <si>
    <t>BOUNDARY-VALUE PROBLEM; PURELY AZIMUTHAL FLOW; DIFFERENTIAL-EQUATION; PERIODIC-SOLUTIONS; STEADY</t>
  </si>
  <si>
    <t>We consider a nonlinear Neumann boundary value problem which is derived for the Antarctic Circumpolar Current. By the theory of topological degree, we prove the existence results for the problem with semilinear oceanic vorticity term. We also construct the approximate solutions for such a nonlinear model.</t>
  </si>
  <si>
    <t>[Chu, Jifeng; Wang, Zihao] Shanghai Normal Univ, Dept Math, Shanghai 200234, Peoples R China; [Marynets, Kateryna] Delft Univ Technol, Delft Inst Appl Math, Fac Elect Engn Math &amp; Comp Sci, Mekelweg 4, NL-2628 CD Delft, Netherlands</t>
  </si>
  <si>
    <t>Shanghai Normal University; Delft University of Technology</t>
  </si>
  <si>
    <t>Chu, JF (corresponding author), Shanghai Normal Univ, Dept Math, Shanghai 200234, Peoples R China.</t>
  </si>
  <si>
    <t>Marynets, Kateryna/0000-0002-0043-6336</t>
  </si>
  <si>
    <t>National Natural Science Foundation of China [12071296]; Science and Technology Innovation Plan of Shanghai [20JC1414200]</t>
  </si>
  <si>
    <t>National Natural Science Foundation of China(National Natural Science Foundation of China (NSFC)); Science and Technology Innovation Plan of Shanghai</t>
  </si>
  <si>
    <t>Jifeng Chu was supported by the National Natural Science Foundation of China (Grant No. 12071296) and by Science and Technology Innovation Plan of Shanghai (Grant No. 20JC1414200) .</t>
  </si>
  <si>
    <t>KHAYYAM PUBL CO INC</t>
  </si>
  <si>
    <t>ATHENS</t>
  </si>
  <si>
    <t>PO BOX 429, ATHENS, OH 45701 USA</t>
  </si>
  <si>
    <t>0893-4983</t>
  </si>
  <si>
    <t>DIFFER INTEGRAL EQU</t>
  </si>
  <si>
    <t>Differ. Integral Equ.</t>
  </si>
  <si>
    <t>JUL-AUG</t>
  </si>
  <si>
    <t>7-8</t>
  </si>
  <si>
    <t>10.57262/die036-0708-537</t>
  </si>
  <si>
    <t>Mathematics, Applied; Mathematics</t>
  </si>
  <si>
    <t>D9BQ7</t>
  </si>
  <si>
    <t>WOS:000971611700001</t>
  </si>
  <si>
    <t>Tian, L; Zhao, RX; Xu, XY; Zhou, ZW; Xu, XF; Luo, DM; Zhou, ZQ; Liu, Y; Kushmaro, A; Marks, RS; Dinnyés, A; Sun, Q</t>
  </si>
  <si>
    <t>Tian, Lei; Zhao, Ruixiang; Xu, Xinyi; Zhou, Zhiwei; Xu, Xiaofang; Luo, Dongmei; Zhou, Zhiqiang; Liu, Yu; Kushmaro, Ariel; Marks, Robert S.; Dinnyes, Andras; Sun, Qun</t>
  </si>
  <si>
    <t>Modulatory effects of Lactiplantibacillus plantarum on chronic metabolic diseases</t>
  </si>
  <si>
    <t>Lactiplantibacillus plantarum; Diabetes; Obesity; Non-alcoholic fatty liver disease; Kidney stone disease; Cardiovascular diseases</t>
  </si>
  <si>
    <t>FATTY LIVER-DISEASE; ENZYME INHIBITORY PEPTIDES; DIET-INDUCED OBESITY; LACTOBACILLUS-PLANTARUM; GUT MICROBIOTA; EPIDEMIOLOGY; HYPERTENSION; DYSLIPIDEMIA; CHOLESTEROL; MECHANISM</t>
  </si>
  <si>
    <t>The increased global incidence of chronic metabolic diseases, a vital threat to human health and a burden on our healthcare systems, includes a series of clinical metabolic syndromes such as obesity, diabetes, hypertension, and dyslipidemia. One of the well-known probiotic microorganisms, Lactiplantibacillus plantarum plays an important role in promoting human health, including inhibiting the occurrence and development of a variety of chronic metabolic diseases. The present study provides an overview of the preventive and therapeutic effects of L. plantarum on diabetes, obesity, non-alcoholic fatty liver disease, kidney stone disease, and cardiovascular diseases in animal models and human clinical trials. Ingesting L. plantarum demonstrated its ability to reduce inflammatory and oxidative stress levels by regulating the production of cytokines and short-chain fatty acids (SCFAs), the activity of antioxidant enzymes, and the balance of intestinal microbial communities to alleviate the symptoms of chronic metabolic diseases. Furthermore, updated applications and technologies of L. plantarum in food and biopharmaceutical industries are also discussed. Understanding the characteristics and functions of L. plantarum will guide the development of related probiotic products and explore the modulatory benefit of L. plantarum supplementations on the prevention and treatment of multiple chronic metabolic diseases.(c) 2023 Beijing Academy of Food Sciences. Publishing services by Elsevier B.V. on behalf of KeAi Communications Co., Ltd. This is an open access article under the CC BY-NC-ND license (http://creativecommons.org/licenses/by-nc-nd/4.0/).</t>
  </si>
  <si>
    <t>[Tian, Lei; Xu, Xinyi; Zhou, Zhiwei; Xu, Xiaofang; Luo, Dongmei; Dinnyes, Andras; Sun, Qun] Sichuan Univ, Coll Life Sci, Key Lab Bioresource &amp; Ecoenvironm, Minist Educ, Chengdu 610064, Peoples R China; [Zhao, Ruixiang] Univ Tasmania, Inst Marine &amp; Antarctic Studies, Newnham 7248, Australia; [Zhou, Zhiqiang; Sun, Qun] Sichuan Univ, Coll Biomass Sci &amp; Engn, Chengdu 610064, Peoples R China; [Liu, Yu] Sichuan Univ, West China Hosp, Inst Urol, Dept Urol,Lab Reconstruct Urol, Chengdu 610041, Peoples R China; [Kushmaro, Ariel; Marks, Robert S.] Ben Gurion Univ Negev, Fac Engn Sci, Avram &amp; Stella Goldstein Goren Dept Biotechnol En, IL-84105 Beer Sheva, Israel; [Dinnyes, Andras] BioTalentum Ltd, H-2100 Godollo, Hungary; [Dinnyes, Andras] Univ Szeged, Dept Cell Biol &amp; Mol Med, H-6270 Szeged, Hungary; [Dinnyes, Andras] Hungarian Univ Agr &amp; Life Sci, Inst Physiol &amp; Anim Nutr, Dept Physiol &amp; Anim Hlth, H-2100 Godollo, Hungary</t>
  </si>
  <si>
    <t>Sichuan University; University of Tasmania; Sichuan University; Sichuan University; Ben Gurion University; BioTalentum Ltd; Szeged University; Hungarian University of Agriculture &amp; Life Sciences</t>
  </si>
  <si>
    <t>Sun, Q (corresponding author), Sichuan Univ, Coll Life Sci, Chengdu 610064, Peoples R China.</t>
  </si>
  <si>
    <t>qunsun@scu.edu.cn</t>
  </si>
  <si>
    <t>Luo, Dongmei/GYR-3118-2022; Kushmaro, Ariel/AAJ-8565-2021; Zhou, Zhiqiang/HIR-4954-2022; zhou, zhou/HCH-1084-2022; Xu, Xinyi/GWQ-6768-2022; zhou, zhou/HPE-9525-2023</t>
  </si>
  <si>
    <t>Kushmaro, Ariel/0000-0002-1970-9656;</t>
  </si>
  <si>
    <t>National Key Research and Development Projects [2019YFE0103800]; Sichuan Science and Technology Program [2021ZHFP0045, 2021YFN0092]; International Research and Development Program of Sichuan [2019YFH0113, 2021YFH0060, 2021YFH0072]; Chinese Hungarian Bilateral Project [2018-2.1.14-TET-CN- 2018-00011, 8-4]; Food Fermentation Technology Research Team of Luzhou Vocational and Technical College [2021YJTD02]</t>
  </si>
  <si>
    <t>National Key Research and Development Projects; Sichuan Science and Technology Program; International Research and Development Program of Sichuan; Chinese Hungarian Bilateral Project; Food Fermentation Technology Research Team of Luzhou Vocational and Technical College</t>
  </si>
  <si>
    <t>This work was supported by the National Key Research and Development Projects (2019YFE0103800), Sichuan Science and Technology Program (2021ZHFP0045, 2021YFN0092), International Research and Development Program of Sichuan (2019YFH0113, 2021YFH0060, 2021YFH0072), Chinese Hungarian Bilateral Project ( 2018-2.1.14-TET-CN- 2018-00011, Chinese No. 8-4) and Food Fermentation Technology Research Team of Luzhou Vocational and Technical College (2021YJTD02).</t>
  </si>
  <si>
    <t>TSINGHUA UNIV PRESS</t>
  </si>
  <si>
    <t>B605D, XUE YAN BUILDING, BEIJING, 100084, PEOPLES R CHINA</t>
  </si>
  <si>
    <t>10.1016/j.fshw.2022.10.018</t>
  </si>
  <si>
    <t>6P0OJ</t>
  </si>
  <si>
    <t>WOS:000890635200001</t>
  </si>
  <si>
    <t>Shigeta, Y; Maeda, H</t>
  </si>
  <si>
    <t>Shigeta, Yasunari; Maeda, Haruyoshi</t>
  </si>
  <si>
    <t>Late Maastrichtian (latest Cretaceous) ammonoids from the Naiba area, southern Sakhalin, Russian Far East</t>
  </si>
  <si>
    <t>PALEONTOLOGICAL RESEARCH</t>
  </si>
  <si>
    <t>ammonoid; Cretaceous; Krasnoyarka Formation; Middle Maastrichtian Event; Naiba; Sakhalin</t>
  </si>
  <si>
    <t>U-PB AGE; ISOTOPIC COMPOSITION; HOKKAIDO; AMMONITES; MIDDLE; JAPAN; MAGNETOSTRATIGRAPHY; STRATIGRAPHY; MATSUMOTO</t>
  </si>
  <si>
    <t>Six early late Maastrichtian (Late Cretaceous) ammonoid taxa are reported from the Krasnoyarka Formation of the Yezo Group in the Naiba area, southern Sakhalin, Russian Far East. These taxa are grouped into immigrant species, i.e., those that migrated from other regions (Pachydiscus subcompressus, Anagaudryceras mikobokense, Gaudryceras seymouriense and Zelandites varuna) and indigenous species with a North Pacific distribution (Anagaudryceras matsumotoi). It is unclear to which group Tetragonites sp. belongs. Zelandites varuna and G. seymouriense occur in both the lower upper Maastrichtian as well as the upper lower Maastrichtian in southern Sakhalin, but they have never been found in the middle Maastrichtian. The appearance of these two species in the cold-water regions, i.e., North Pacific and Antarctic, as well as intermediate southern mid-latitudes regions suggests that cooling events occurred during the late early and early late Maastrichtian in the Northwest Pacific region. Their disappearance during the middle Maastrichtian may indicate that the Northwest Pacific region was affected by the greenhouse Middle Maastrichtian Event (MME). This hypothesis suggests that the influx (e.g. P. subcompressus and A. mikobokense) and reappearance (e.g. Z. varuna and G. seymouriense) of many immigrant species into the Northwest Pacific region during late Maastrichtian time may have been associated with the post-MME cooling.</t>
  </si>
  <si>
    <t>[Shigeta, Yasunari] Natl Museum Nat &amp; Sci, Dept Geol &amp; Paleontol, 4-1-1 Amakubo, Tsukuba, Ibaraki 3050005, Japan; [Maeda, Haruyoshi] Kyushu Univ, Kyushu Univ Museum, Higashi Ku, 6-10-1 Hakozaki, Fukuoka 8128581, Japan</t>
  </si>
  <si>
    <t>National Museum of Nature and Science; Kyushu University</t>
  </si>
  <si>
    <t>Shigeta, Y (corresponding author), Natl Museum Nat &amp; Sci, Dept Geol &amp; Paleontol, 4-1-1 Amakubo, Tsukuba, Ibaraki 3050005, Japan.</t>
  </si>
  <si>
    <t>shigeta@kahaku.go.jp</t>
  </si>
  <si>
    <t>National Museum of Nature and Science project, Chemical Stratigraphy and Dating as a Clue for Understanding the History of the Earth and Life</t>
  </si>
  <si>
    <t>We are very much grateful to K. F. Sergeyev, O. A. Melnikov, Y. B.Yan (Institute of Marine Geology and Geophysics, Yuzhno-Sakhalinsk), G. S. Steinberg, A. V. Solov'yov (Institute of Volcanology and Geodynamics, Yuzhno-Sakhalinsk), K. Kodama (Kochi University), T. Kase, K. Uemura (National Museum of Nature and Science, Tokyo), and T. Takeuchi (Anjo Gakuen High School) for their kind cooperation during the Japan-Russia joint research program in the 1990s. We also thank A. Misaki (Kitakyushu Museum of Natural History and Human History, Kitakyushu), C. Ifrim (Jura Museum, Eichstatt) and associate editor K. Tanabe (University Museum, University of Tokyo, Tokyo) for their valuable comments on the first draft. Thanks are extended to J. Jenks (West Jordan, Utah) for his helpful suggestions and improvement of the English text. This study was financially supported by the National Museum of Nature and Science project, Chemical Stratigraphy and Dating as a Clue for Understanding the History of the Earth and Life.</t>
  </si>
  <si>
    <t>PALAEONTOLOGICAL SOC JAPAN</t>
  </si>
  <si>
    <t>MT BLDG 4F, 7-2-2, HONGO, BUNKYO-KU, TOKYO, 113-0033, JAPAN</t>
  </si>
  <si>
    <t>1342-8144</t>
  </si>
  <si>
    <t>PALEONTOL RES</t>
  </si>
  <si>
    <t>Paleontol. Res.</t>
  </si>
  <si>
    <t>10.2517/PR210021</t>
  </si>
  <si>
    <t>Paleontology</t>
  </si>
  <si>
    <t>7R5VG</t>
  </si>
  <si>
    <t>WOS:000910140200003</t>
  </si>
  <si>
    <t>Soares, TA; Souza-Kasprzyk, J; Padilha, JDG; Convey, P; Costa, ES; Torres, JPM</t>
  </si>
  <si>
    <t>Soares, Tuany Alves; Souza-Kasprzyk, Juliana; Padilha, Janeide de Assis Guilherme; Convey, Peter; Costa, Erli Schneider; Torres, Joao Paulo Machado</t>
  </si>
  <si>
    <t>Ornithogenic mercury input to soils of Admiralty Bay, King George Island, Antarctica</t>
  </si>
  <si>
    <t>Antarctic soils; Trace element; Biomonitoring; Ecotoxicology; Marine environment</t>
  </si>
  <si>
    <t>HEAVY-METAL CONTAMINATION; FILDES PENINSULA; MIGRATION STRATEGIES; PYGOSCELID PENGUINS; ARDLEY ISLAND; POPULATION; SEDIMENTS; DEPOSITION; SPECIATION; EXCREMENT</t>
  </si>
  <si>
    <t>While long-range transport is believed to be the primary source of mercury (Hg) in Antarctica, it is known that seabirds transport organic matter, nutrients, and contaminants from the sea to land. However, these biologically mediated inputs have not been widely evaluated. Anthropogenic contamination and natural occurrence have increased Hg in the environment. Antarctic seabirds, such as penguins and shags, form dense colonies and may provide an important local source of Hg input. This study determined the concentrations of total mercury (THg) in ornithogenic soils associated with eight species of seabirds on King George Island (Antarctica Peninsula) and evaluated species-specific differences. Soils from colonies of Southern Giant Petrel (Macronectes giganteus; mean &amp; PLUSMN; SD, 213 &amp; PLUSMN; 132 ng g(-1)) and Imperial Shag (Leucocarbo atriceps; 144 &amp; PLUSMN; 54 ng g(-1)) had significantly higher THg concentrations than non-ornithogenically influenced (29 &amp; PLUSMN; 35 ng g(-1)) soil samples. Soils associated with Southern Giant Petrels also had significantly higher THg than those of Kelp Gull (Larus dominicanus; mean 17 &amp; PLUSMN; 15 ng g(-1)), which we speculate is a result of petrels occupying a higher trophic position in the marine food web, which leads to a greater accumulation of Hg in their organism, then being excreted through guano. Moreover, a moderate relationship observed between THg-Cd and THg-SOM suggests an influence of those species. Our data confirm that Antarctic seabird colonies are associated with higher soil THg concentrations and report the higher concentration for ornithogenically influenced soil (508 ng g(-1)) in a level similar to an anthropogenic site and highlight the need for a more thorough evaluation.</t>
  </si>
  <si>
    <t>[Soares, Tuany Alves; Souza-Kasprzyk, Juliana; Padilha, Janeide de Assis Guilherme; Torres, Joao Paulo Machado] Univ Fed Rio De Janeiro, Lab Radioisotopos Eduardo Penna Franca &amp; Micropolu, Inst Biofis Carlos Chagas Filho, CCS, Ave Carlos Chagas Filho 373,Bloco G,Sala G0-61, BR-21941902 Rio De Janeiro, Brazil; [Souza-Kasprzyk, Juliana] Adam Mickiewicz Univ, Fac Chem, Dept Analyt Chem, Ul Uniwersytetu Poznanskiego 8, PL-61614 Poznan, Poland; [Padilha, Janeide de Assis Guilherme] Univ Minho, Ctr Mol &amp; Environm Biol, P-4710057 Braga, Portugal; [Padilha, Janeide de Assis Guilherme] Univ Minho, Inst Biosustainabil, P-4710057 Braga, Portugal; [Convey, Peter] British Antarctic Survey, Madingley Rd, Cambridge CB3 0ET, England; [Convey, Peter] Univ Johannesburg, Dept Zool, POB 524, ZA-2006 Auckland Pk, South Africa; [Costa, Erli Schneider] Univ Estadual Rio Grande do Sul, Unidade Univ Hortensias, Rua Assis Brasil,842 Ctr, BR-95400000 Porto Alegre, RS, Brazil</t>
  </si>
  <si>
    <t>Universidade Federal do Rio de Janeiro; Adam Mickiewicz University; Universidade do Minho; Universidade do Minho; UK Research &amp; Innovation (UKRI); Natural Environment Research Council (NERC); NERC British Antarctic Survey; University of Johannesburg; Universidade Estadual do Rio Grande do Sul (UERGS)</t>
  </si>
  <si>
    <t>Soares, TA (corresponding author), Univ Fed Rio De Janeiro, Lab Radioisotopos Eduardo Penna Franca &amp; Micropolu, Inst Biofis Carlos Chagas Filho, CCS, Ave Carlos Chagas Filho 373,Bloco G,Sala G0-61, BR-21941902 Rio De Janeiro, Brazil.</t>
  </si>
  <si>
    <t>tuanysoares@hotmail.com</t>
  </si>
  <si>
    <t>torres, joao/AAI-8390-2021; COSTA, ERLI SCHNEIDER/AAP-2375-2020</t>
  </si>
  <si>
    <t>torres, joao/0000-0002-2510-1612; COSTA, ERLI SCHNEIDER/0000-0002-3739-1178; Alves Soares, Tuany/0009-0003-8999-6501</t>
  </si>
  <si>
    <t>Conselho Nacional de Desenvolvimento Cientifico e Tecnologico [CNPq/MCTIC: 557049/2009-1]; HighChem-interdisciplinary and international doctoral studies with elements of support for intersectoral cooperation [POWR.03.02.00-00-I020/17]; NERC</t>
  </si>
  <si>
    <t>Conselho Nacional de Desenvolvimento Cientifico e Tecnologico(Conselho Nacional de Desenvolvimento Cientifico e Tecnologico (CNPQ)); HighChem-interdisciplinary and international doctoral studies with elements of support for intersectoral cooperation; NERC(UK Research &amp; Innovation (UKRI)Natural Environment Research Council (NERC))</t>
  </si>
  <si>
    <t>This study was supported by the Conselho Nacional de Desenvolvimento Cientifico e Tecnologico (CNPq/MCTIC: 557049/2009-1). We thank the Brazilian Antarctic Program (PROANTAR) and the Secretaria da Comissao Interministerial para os Recursos do Mar (SECIRM/ Brazilian Navy) for logistical support. We also thank researchers from the Pinguins and Skuas Project who participated in the fieldwork. JSK is supported by HighChem-interdisciplinary and international doctoral studies with elements of support for intersectoral cooperation (POWR.03.02.00-00-I020/17) and PC by NERC core funding to the BAS Biodiversity, Evolution and Adaptation' Team.</t>
  </si>
  <si>
    <t>2023 JUN 30</t>
  </si>
  <si>
    <t>10.1007/s00300-023-03162-4</t>
  </si>
  <si>
    <t>JUN 2023</t>
  </si>
  <si>
    <t>P3OM2</t>
  </si>
  <si>
    <t>WOS:001049769700001</t>
  </si>
  <si>
    <t>Amsler, CD; Amsler, MO; Klein, AG; Galloway, AWE; Iken, K; McClintock, JB; Heiser, S; Lowe, AT; Schram, JB; Whippo, R</t>
  </si>
  <si>
    <t>Amsler, Charles D.; Amsler, Margaret O.; Klein, Andrew G.; Galloway, Aaron W. E.; Iken, Katrin; McClintock, James B.; Heiser, Sabrina; Lowe, Alex T.; Schram, Julie B.; Whippo, Ross</t>
  </si>
  <si>
    <t>Strong correlations of sea ice cover with macroalgal cover along the Antarctic Peninsula: Ramifications for present and future benthic communities</t>
  </si>
  <si>
    <t>ELEMENTA-SCIENCE OF THE ANTHROPOCENE</t>
  </si>
  <si>
    <t>Benthic ecology; Climate change; Depth distribution; Ice scour; Polar ecosystems; Sea ice</t>
  </si>
  <si>
    <t>KING-GEORGE ISLAND; DOMINANT SUBTIDAL MACROALGAE; SOUTH SHETLAND ISLANDS; BROWN ALGA; ADELAIDE ISLAND; LIFE-HISTORY; TROPHIC RELATIONSHIPS; MARINE ECOSYSTEM; VESTFOLD HILLS; NEARSHORE ZONE</t>
  </si>
  <si>
    <t>Macroalgal forests dominate shallow hard bottom areas along the northern portion of the Western Antarctic Peninsula (WAP). Macroalgal biomass and diversity are known to be dramatically lower in the southern WAP and at similar latitudes around Antarctica, but few reports detail the distributions of macroalgae or associated macroinvertebrates in the central WAP. We used satellite imagery to identify 14 sites differing in sea ice coverage but similar in terms of turbidity along the central WAP. Fleshy macroalgal cover was strongly, negatively correlated with ice concentration, but there was no significant correlation between macroinvertebrate cover and sea ice. Overall community (all organisms) diversity correlated negatively with sea ice concentration and positively with fleshy macroalgal cover, which ranged from around zero at high ice sites to 80% at the lowest ice sites. Nonparametric, multivariate analyses resulted in clustering of macroalgal assemblages across most of the northern sites of the study area, although they differed greatly with respect to macroalgal percent cover and diversity. Analyses of the overall communities resulted in three site clusters corresponding to high, medium, and low fleshy macroalgal cover. At most northern sites, macroalgal cover was similar across depths, but macroalgal and macroinvertebrate distributions suggested increasing effects of ice scour in shallower depths towards the south. Hindcast projections based on correlations of ice and macroalgal cover data suggest that macroalgal cover at many sites could have been varying substantially over the past 40 years. Similarly, based on predicted likely sea ice decreases by 2100, projected increases in macroalgal cover at sites that currently have high ice cover and low macroalgal cover are substantial, often with only a future 15% decrease in sea ice. Such changes would have important ramifications to future benthic communities and to understanding how Antarctic macroalgae may contribute to future blue carbon sequestration.</t>
  </si>
  <si>
    <t>[Amsler, Charles D.; Amsler, Margaret O.; McClintock, James B.; Heiser, Sabrina] Univ Alabama Birmingham, Dept Biol, Birmingham, AL 35294 USA; [Klein, Andrew G.] Texas A&amp;M Univ, Dept Geog, College Stn, TX USA; [Galloway, Aaron W. E.; Schram, Julie B.; Whippo, Ross] Univ Oregon, Oregon Inst Marine Biol, Dept Biol, Charleston, OR USA; [Iken, Katrin] Univ Alaska Fairbanks, Coll Fisheries &amp; Ocean Sci, Fairbanks, AK USA; [Heiser, Sabrina] Univ Texas Austin, Marine Sci Inst, Port Aransas, TX USA; [Lowe, Alex T.] Smithsonian Inst, Tennenbaum Marine Observ Network, Edgewater, MD USA; [Schram, Julie B.] Univ Alaska Southeast, Dept Nat Sci, Juneau, AK USA</t>
  </si>
  <si>
    <t>University of Alabama System; University of Alabama Birmingham; Texas A&amp;M University System; Texas A&amp;M University College Station; University of Oregon; University of Alaska System; University of Alaska Fairbanks; University of Texas System; University of Texas Austin; Smithsonian Institution; Smithsonian Environmental Research Center; University of Alaska System; University of Alaska Southeastern</t>
  </si>
  <si>
    <t>Amsler, CD (corresponding author), Univ Alabama Birmingham, Dept Biol, Birmingham, AL 35294 USA.</t>
  </si>
  <si>
    <t>amsler@uab.edu</t>
  </si>
  <si>
    <t>Whippo, Ross/G-3561-2017</t>
  </si>
  <si>
    <t>Whippo, Ross/0000-0001-5725-2215; Heiser, Sabrina/0000-0003-3307-3233</t>
  </si>
  <si>
    <t>National Science Foundation [ANT-1744550, ANT-1744584, ANT-1744570, ANT-1744602]; Antarctic Organisms and Ecosystems Program; University of Alabama at Birmingham</t>
  </si>
  <si>
    <t>National Science Foundation(National Science Foundation (NSF)); Antarctic Organisms and Ecosystems Program(National Science Foundation (NSF)NSF - Directorate for Geosciences (GEO)); University of Alabama at Birmingham</t>
  </si>
  <si>
    <t>The project was funded by National Science Foundation awards ANT-1744550 (CDA, JBM) , ANT-1744584 (AGK) , ANT-1744570 (AWEG) , and ANT-1744602 (KI) from the Antarctic Organisms and Ecosystems Program. JBM acknowledges the support of an Endowed University Professorship in Polar and Marine Biology provided by the University of Alabama at Birmingham.</t>
  </si>
  <si>
    <t>UNIV CALIFORNIA PRESS</t>
  </si>
  <si>
    <t>OAKLAND</t>
  </si>
  <si>
    <t>155 GRAND AVE, SUITE 400, OAKLAND, CA 94612-3758 USA</t>
  </si>
  <si>
    <t>2325-1026</t>
  </si>
  <si>
    <t>ELEMENTA-SCI ANTHROP</t>
  </si>
  <si>
    <t>Elementa-Sci. Anthrop.</t>
  </si>
  <si>
    <t>JUN 30</t>
  </si>
  <si>
    <t>10.1525/elementa.2023.00020</t>
  </si>
  <si>
    <t>P1XJ6</t>
  </si>
  <si>
    <t>WOS:001048638300001</t>
  </si>
  <si>
    <t>Ihtimanska, MK; Kovalenko, PA; Michailova, P; Parnikoza, IY</t>
  </si>
  <si>
    <t>Ihtimanska, Mila K.; Kovalenko, Pavlo A.; Michailova, Paraskeva, V; Parnikoza, Ivan Yu.</t>
  </si>
  <si>
    <t>Larval morphology of Belgica antarctica Jacobs, 1900 (Diptera, Chironomidae, Orthocladiinae) from central part of the maritime Antarctic and deformities found in the larvae</t>
  </si>
  <si>
    <t>Chironomid; Antarctica; larva; morphological signs; malformations</t>
  </si>
  <si>
    <t>RIPARIUS; SEDIMENTS; STRESS</t>
  </si>
  <si>
    <t>The larval morphology of the endemic species Belgica antarctica Jacobs, collected in January and February (2022) from six sites of Antarctica, was studied. The mouth apparatus and the parapods of one hundred seventy-six larvae were analyzed. No differences were found in the morphology of these structures between individuals of different sites. However, differences (with the exception of the length of 2nd antennal segment) were estimated in the sizes of the morphological features, as 2023 measurements were made of fifteen kinds of these structures and larval body. Deformities of mentum, mandible, antennal blade and antennal segments in percentage were established in larvae of almost all of the studied sites. The reasons for the differences and deformities are discussed.</t>
  </si>
  <si>
    <t>[Ihtimanska, Mila K.; Michailova, Paraskeva, V] Bulgarian Acad Sci, Inst Biodivers &amp; Ecosyst Res, 1 Tzar Osvoboditel B, Sofia 1000, Bulgaria; [Kovalenko, Pavlo A.] Natl Acad Sci Ukraine, Inst Evolutionary Ecol, Lebedeva Str 37, UA-03143 Kiev, Ukraine; [Kovalenko, Pavlo A.; Parnikoza, Ivan Yu.] Natl Antarctic Sci Ctr Ukraine, UA-01601 Kiev, Ukraine; [Parnikoza, Ivan Yu.] Natl Acad Sci Ukraine, Inst Mol Biol &amp; Genet, UA-03143 Kiev, Ukraine</t>
  </si>
  <si>
    <t>Bulgarian Academy of Sciences; National Academy of Sciences Ukraine; Ministry of Education &amp; Science of Ukraine; State Institution National Antarctic Scientific Center; National Academy of Sciences Ukraine; Institute of Molecular Biology &amp; Genetics of NASU</t>
  </si>
  <si>
    <t>Ihtimanska, MK (corresponding author), Bulgarian Acad Sci, Inst Biodivers &amp; Ecosyst Res, 1 Tzar Osvoboditel B, Sofia 1000, Bulgaria.</t>
  </si>
  <si>
    <t>pmichailova@yahoo.com; michailova@zoology.bas.bg; mila.ihtimanska@gmail.com</t>
  </si>
  <si>
    <t>Kovalenko, Pavlo Andriiovych/AAZ-5679-2021</t>
  </si>
  <si>
    <t>Kovalenko, Pavlo Andriiovych/0000-0002-9533-3080; Ivan, Parnikoza/0000-0002-0490-8134; Ihtimanska, Mila/0000-0002-1236-7876</t>
  </si>
  <si>
    <t>10.11646/zootaxa.5311.3.5</t>
  </si>
  <si>
    <t>M9PR0</t>
  </si>
  <si>
    <t>WOS:001033465400002</t>
  </si>
  <si>
    <t>Hutchinson, K; Deshayes, J; Ethé, C; Rousset, C; de Lavergne, C; Vancoppenolle, M; Jourdain, NC; Mathiot, P</t>
  </si>
  <si>
    <t>Hutchinson, Katherine; Deshayes, Julie; Ethe, Christian; Rousset, Clement; de Lavergne, Casimir; Vancoppenolle, Martin; Jourdain, Nicolas C.; Mathiot, Pierre</t>
  </si>
  <si>
    <t>Improving Antarctic Bottom Water precursors in NEMO for climate applications</t>
  </si>
  <si>
    <t>EARTH SYSTEM MODEL; BASAL MELT RATES; ROSS ICE SHELF; SOUTHERN-OCEAN; THICKNESS DISTRIBUTION; DENSE WATER; CIRCULATION; DEEP; VERSION; IMPACT</t>
  </si>
  <si>
    <t>The world's largest ice shelves are found in the Antarctic Weddell Sea and Ross Sea where complex interactions between the atmosphere, sea ice, ice shelves and ocean transform shelf waters into High Salinity Shelf Water (HSSW) and Ice Shelf Water (ISW), the parent waters of Antarctic Bottom Water (AABW). This process feeds the lower limb of the global overturning circulation as AABW, the world's densest and deepest water mass, spreads outwards from Antarctica. None of the coupled climate models contributing to CMIP6 directly simulated ocean-ice shelf interactions, thereby omitting a potentially critical piece of the climate puzzle. As a first step towards better representing these processes in a global ocean model, we run a 1 degrees resolution Nucleus for European Modelling of the Ocean (NEMO; eORCA1) forced configuration to explicitly simulate circulation beneath the Filchner-Ronne Ice Shelf (FRIS), Larsen C Ice Shelf (LCIS) and Ross Ice Shelf (RIS). These locations are thought to supply the majority of the source waters for AABW, and so melt in all other cavities is provisionally prescribed. Results show that the grid resolution of 1 degrees is sufficient to produce melt rate patterns and total melt fluxes of FRIS (117 +/- 21 Gt yr(-1)), LCIS (36 +/- 7 Gt y(-1)) and RIS (112 +/- 22 Gt y(-1)) that agree well with both high-resolution models and satellite measurements. Most notably, allowing sub-ice shelf circulation reduces salinity biases (0.1 psu), produces the previously unresolved water mass ISW and reorganizes the shelf circulation to bring the regional model hydrography closer to observations. A change in AABW within the Weddell Sea and the Ross Sea towards colder, fresher values is identified, but the magnitude is limited by the absence of a realistic overflow. This study presents a NEMO configuration that can be used for climate applications with improved realism of the Antarctic continental shelf circulation and a better representation of the precursors of AABW.</t>
  </si>
  <si>
    <t>[Hutchinson, Katherine; Deshayes, Julie; Ethe, Christian; Rousset, Clement; de Lavergne, Casimir; Vancoppenolle, Martin] Sorbonne Univ, CNRS, LOCEAN Lab, MNHN,IRD, Paris, France; [Jourdain, Nicolas C.; Mathiot, Pierre] Univ Grenoble Alpes, CNRS, IRD, G INP,IGE, Grenoble, France</t>
  </si>
  <si>
    <t>Museum National d'Histoire Naturelle (MNHN); Sorbonne Universite; Institut de Recherche pour le Developpement (IRD); Centre National de la Recherche Scientifique (CNRS); Communaute Universite Grenoble Alpes; Universite Grenoble Alpes (UGA); Centre National de la Recherche Scientifique (CNRS); Institut de Recherche pour le Developpement (IRD)</t>
  </si>
  <si>
    <t>Hutchinson, K (corresponding author), Sorbonne Univ, CNRS, LOCEAN Lab, MNHN,IRD, Paris, France.</t>
  </si>
  <si>
    <t>kath.hutchinson@gmail.com</t>
  </si>
  <si>
    <t>Vancoppenolle, Martin/AAA-7711-2022; Jourdain, Nicolas/B-6899-2015</t>
  </si>
  <si>
    <t>Vancoppenolle, Martin/0000-0002-7573-8582; Hutchinson, Katherine/0000-0002-3472-8273; Jourdain, Nicolas/0000-0002-1372-2235</t>
  </si>
  <si>
    <t>H2020 European Research Council [898058, 101003536, 820575]; Grand Equipement National De Calcul Intensif [A0100107451]; Marie Curie Actions (MSCA) [898058] Funding Source: Marie Curie Actions (MSCA)</t>
  </si>
  <si>
    <t>H2020 European Research Council(Horizon 2020European Research Council (ERC)); Grand Equipement National De Calcul Intensif; Marie Curie Actions (MSCA)(Marie Curie Actions)</t>
  </si>
  <si>
    <t>This research has been supported by the H2020 European Research Council (grant nos. 898058, 101003536, and 820575) and the Grand Equipement National De Calcul Intensif (grant no. A0100107451).</t>
  </si>
  <si>
    <t>10.5194/gmd-16-3629-2023</t>
  </si>
  <si>
    <t>L2MO9</t>
  </si>
  <si>
    <t>WOS:001021653900001</t>
  </si>
  <si>
    <t>Camoying, MG; Trimborn, S</t>
  </si>
  <si>
    <t>Camoying, Marianne G.; Trimborn, Scarlett</t>
  </si>
  <si>
    <t>Physiological response of an Antarctic cryptophyte to increasing temperature, CO2, and irradiance</t>
  </si>
  <si>
    <t>SOUTHERN-OCEAN PHYTOPLANKTON; PHOTOSYSTEM-II; ULTRAVIOLET-RADIATION; CARBONIC-ACID; GROWTH; ACIDIFICATION; LIGHT; DISSOCIATION; COMMUNITY; DIATOMS</t>
  </si>
  <si>
    <t>The Southern Ocean, a globally important CO2 sink, is one of the most susceptible regions in the world to climate change. Phytoplankton of the coastal shelf waters around the Western Antarctic Peninsula have been experiencing rapid warming over the past decades and current ongoing climatic changes will expose them to ocean acidification and high light intensities due to increasing stratification. We conducted a multiple-stressor experiment to evaluate the response of the still poorly studied key Antarctic cryptophyte species Geminigera cryophila to warming in combination with ocean acidification and high irradiance. Based on the thermal growth response of G. cryophila, we grew the cryptophyte at suboptimal (2 &amp; DEG;C) and optimal (4 &amp; DEG;C) temperatures in combination with two light intensities (medium light: 100 &amp; mu;mol photons m(-2) s(-1) and high light [HL]: 500 &amp; mu;mol photons m(-2) s(-1)) under ambient (400 &amp; mu;atm pCO(2)) and high pCO(2) (1000 &amp; mu;atm pCO(2)) conditions. Our results reveal that G. cryophila was not susceptible to high pCO(2), but was strongly affected by HL at 2 &amp; DEG;C, as both growth and carbon fixation were significantly reduced. In comparison, warming up to 4 &amp; DEG;C stimulated the growth of the cryptophyte and even alleviated the previously observed negative effects of HL at 2 &amp; DEG;C. When grown, however, at temperatures above 4 &amp; DEG;C, the cryptophyte already reached its maximal thermal limit at 8 &amp; DEG;C, pointing out its vulnerability toward even higher temperatures. Hence, our results clearly indicate that warming and high light and not pCO(2) control the growth of G. cryophila.</t>
  </si>
  <si>
    <t>[Camoying, Marianne G.; Trimborn, Scarlett] Helmholtz Ctr Polar &amp; Marine Res, Alfred Wegener Inst, Ecol Chem, Bremerhaven, Germany</t>
  </si>
  <si>
    <t>Helmholtz Association; Alfred Wegener Institute, Helmholtz Centre for Polar &amp; Marine Research</t>
  </si>
  <si>
    <t>Camoying, MG (corresponding author), Helmholtz Ctr Polar &amp; Marine Res, Alfred Wegener Inst, Ecol Chem, Bremerhaven, Germany.</t>
  </si>
  <si>
    <t>marianne.camoying@awi.de</t>
  </si>
  <si>
    <t>Camoying, Marianne/0000-0002-4180-7850; Trimborn, Scarlett/0000-0003-1434-9927</t>
  </si>
  <si>
    <t>Katholischer Akademischer Auslanderdienst (KAAD); Projekt DEAL</t>
  </si>
  <si>
    <t>We thank B. Meier-Schlosser and Kai Bischof for pigment analysis, S. Murawski for POC analysis, and A. Cayetano for his help in the data analysis using Python. We are grateful to A. Kraberg for her technical assistance in scanning electron microscopy observations, and S. Rokitta for the insightful discussions on the thermal functional response of phytoplankton. We also thank the members of the EcoTrace Group and the Marine Biogeosciences Section (especially L. Rehder) at the AWI for the diverse logistical support. M. Camoying was supported by the Katholischer Akademischer Auslanderdienst (KAAD) through a PhD fellowship. Open Access funding enabled and organized by Projekt DEAL.</t>
  </si>
  <si>
    <t>10.1002/lno.12392</t>
  </si>
  <si>
    <t>L0AG2</t>
  </si>
  <si>
    <t>WOS:001019962000001</t>
  </si>
  <si>
    <t>Obase, T; Abe-Ouchi, A; Saito, F; Tsutaki, S; Fujita, S; Kawamura, K; Motoyama, H</t>
  </si>
  <si>
    <t>Obase, Takashi; Abe-Ouchi, Ayako; Saito, Fuyuki; Tsutaki, Shun; Fujita, Shuji; Kawamura, Kenji; Motoyama, Hideaki</t>
  </si>
  <si>
    <t>A one-dimensional temperature and age modeling study for selecting the drill site of the oldest ice core near Dome Fuji, Antarctica</t>
  </si>
  <si>
    <t>SURFACE MASS-BALANCE; DRONNING MAUD LAND; EAST ANTARCTICA; BRIEF COMMUNICATION; GLACIAL CYCLES; HEAT-FLOW; 1.5 MYR; SHEET; RADAR; VARIABILITY</t>
  </si>
  <si>
    <t>The recovery of a new Antarctic ice core spanning the past similar to 1.5 million years will advance our understanding of climate system dynamics during the Quaternary. Recently, glaciological field surveys have been conducted to select the most suitable core location near Dome Fuji (DF), Antarctica. Specifically, ground-based radar-echo soundings have been used to acquire highly detailed images of bedrock topography and internal ice layers. In this study, we use a one-dimensional (1-D) ice-flow model to compute the temporal evolutions of age and temperature, in which the ice flow is linked with not only transient climate forcing associated with past glacial-interglacial cycles but also transient basal melting diagnosed along the evolving temperature profile. We investigated the influence of ice thickness, accumulation rate, and geothermal heat flux on the age and temperature profiles. The model was constrained by the observed temperature and age profiles reconstructed from the DF ice-core analysis. The results of sensitivity experiments indicate that ice thickness is the most crucial parameter influencing the computed age of the ice because it is critical to the history of basal temperature and basal melting, which can eliminate old ice. The 1-D model was applied to a 54 km long transect in the vicinity of DF and compared with radargram data. We found that the basal age of the ice is mostly controlled by the local ice thickness, demonstrating the importance of high-spatial-resolution surveys of bedrock topography for selecting ice-core drilling sites.</t>
  </si>
  <si>
    <t>[Obase, Takashi; Abe-Ouchi, Ayako] Univ Tokyo, Atmosphere &amp; Ocean Res Inst, Kashiwa, Japan; [Abe-Ouchi, Ayako; Tsutaki, Shun; Fujita, Shuji; Kawamura, Kenji; Motoyama, Hideaki] Natl Inst Polar Res, Res Org Informat &amp; Syst, Tachikawa, Japan; [Saito, Fuyuki; Kawamura, Kenji] Japan Agcy Marine Earth Sci &amp; Technol JAMSTEC, Yokosuka, Japan; [Tsutaki, Shun; Fujita, Shuji; Kawamura, Kenji; Motoyama, Hideaki] Grad Univ Adv Studies SOKENDAI, Dept Polar Sci, Tachikawa, Japan</t>
  </si>
  <si>
    <t>University of Tokyo; Research Organization of Information &amp; Systems (ROIS); National Institute of Polar Research (NIPR) - Japan; Japan Agency for Marine-Earth Science &amp; Technology (JAMSTEC); Graduate University for Advanced Studies - Japan</t>
  </si>
  <si>
    <t>Obase, T (corresponding author), Univ Tokyo, Atmosphere &amp; Ocean Res Inst, Kashiwa, Japan.</t>
  </si>
  <si>
    <t>obase@aori.u-tokyo.ac.jp</t>
  </si>
  <si>
    <t>Tsutaki, Shun/AAQ-4678-2021; Kawamura, Kenji/C-7660-2011; Motoyama, Hideaki/E-6103-2013; Abe-Ouchi, Ayako/M-6359-2013; Fujita, Shuji/A-7884-2016</t>
  </si>
  <si>
    <t>Tsutaki, Shun/0000-0002-5716-225X; Kawamura, Kenji/0000-0003-1163-700X; Motoyama, Hideaki/0000-0003-2533-320X; Abe-Ouchi, Ayako/0000-0003-1745-5952; Obase, Takashi/0000-0002-3024-9785; Fujita, Shuji/0000-0003-0127-0777; SAITO, Fuyuki/0000-0001-5935-9614</t>
  </si>
  <si>
    <t>JSPS Kakenhi [JP17H06104, JP17H06323, JP18H05294]; [JP17K05664]</t>
  </si>
  <si>
    <t>JSPS Kakenhi(Ministry of Education, Culture, Sports, Science and Technology, Japan (MEXT)Japan Society for the Promotion of ScienceGrants-in-Aid for Scientific Research (KAKENHI));</t>
  </si>
  <si>
    <t>We would like to thank Frederic &amp; nbsp;Parrenin and the two anonymous referees for their valuable comments which have substantially improved our paper. We thank Kenichi &amp; nbsp;Matsuoka, Brice Van &amp; nbsp;Liefferinge, and Ralf &amp; nbsp;Greve for their fruitful discussions. This research was supported by JSPS Kakenhi JP17H06104, JP17H06323, and JP18H05294. Takashi &amp; nbsp;Obase, Ayako &amp; nbsp;Abe-Ouchi, and Fuyuki &amp; nbsp;Saito were supported by JPJSBP120213203. Fuyuki &amp; nbsp;Saito was also supported by JSPS Kakenhi JP17K05664. The 3-D ice-sheet model simulations were performed on the Earth Simulator 4 at the Japan Agency for Marine-Earth Science and Technology (JAMSTEC). We thank David &amp; nbsp;Wacey, PhD, from Edanz (https://jp.edanz.com/ac, last access: 27 &amp; nbsp;March 2023) for editing a draft of this paper.</t>
  </si>
  <si>
    <t>JUN 29</t>
  </si>
  <si>
    <t>10.5194/tc-17-2543-2023</t>
  </si>
  <si>
    <t>L2AX3</t>
  </si>
  <si>
    <t>WOS:001021344800001</t>
  </si>
  <si>
    <t>Shen, QS; Wang, ZM; Kong, J; Yao, YB; Wang, ZK; Zhou, C</t>
  </si>
  <si>
    <t>Shen, Qingshan; Wang, Zemin; Kong, Jian; Yao, Yibin; Wang, Zhuangkai; Zhou, Chen</t>
  </si>
  <si>
    <t>Ionospheric response to an Antarctic cyclone in the Transantarctic Mountains</t>
  </si>
  <si>
    <t>ADVANCES IN SPACE RESEARCH</t>
  </si>
  <si>
    <t>GNSS; Ionospheric disturbance; Antarctic Cyclones; Gravity waves; Ray tracing model</t>
  </si>
  <si>
    <t>GRAVITY-WAVES; ROSS SEA; MESOSCALE CYCLOGENESIS; ANOMALIES</t>
  </si>
  <si>
    <t>The polar region is essential for many satellites and international routes. Therefore, the study of the polar ionospheric disturbance has become a hot topic in the fields of space weather, navigation, and communication, as it has scientific value and application prospects. The global navigation satellite system (GNSS) has high precision and high temporal resolution. In this study, we used de-trend GNSS TEC sequences to detect the disturbance of the ionosphere caused by gravity waves excited by a cyclone around the Transantarctic Mountains. The average horizontal velocity was roughly calculated as 180 m/s and the velocity of the diagonal propagation way was 145 m/s. The two types of velocities were used in the two-dimensional grid search for the origin area around the mountains. The gravity waves trigger area was eventually identified in the area that had large elevation fluctuations. Using the ray tracing model simulation, we obtained the trajectory of gravity waves propagating from the ground to the bottom of the ionosphere as well as observational evidence and specific propagation characteristic parameters of the process. This is an early research on the ionosphere response to the lower atmosphere in the Antarctic region. &amp; COPY; 2023 COSPAR. Published by Elsevier B.V. All rights reserved.</t>
  </si>
  <si>
    <t>[Shen, Qingshan; Wang, Zemin; Kong, Jian] Wuhan Univ, Chinese Antarctic Ctr Surveying &amp; Mapping, Wuhan 430079, Peoples R China; [Kong, Jian] Wuhan Univ, Luojia Lab, Wuhan 430079, Peoples R China; [Yao, Yibin] Wuhan Univ, Sch Geodesy &amp; Geomat, Wuhan 430079, Peoples R China; [Yao, Yibin] Wuhan Univ, Key Lab Geospace Environm &amp; Geodesy, Minist Educ, Wuhan 430079, Peoples R China; [Wang, Zhuangkai; Zhou, Chen] Wuhan Univ, Elect Informat Sch, Wuhan 430079, Peoples R China</t>
  </si>
  <si>
    <t>Wuhan University; Wuhan University; Wuhan University; Wuhan University; Wuhan University</t>
  </si>
  <si>
    <t>Kong, J (corresponding author), Wuhan Univ, Chinese Antarctic Ctr Surveying &amp; Mapping, Wuhan 430079, Peoples R China.;Kong, J (corresponding author), Wuhan Univ, Luojia Lab, Wuhan 430079, Peoples R China.</t>
  </si>
  <si>
    <t>sqswasoccupied@whu.edu.cn; zmwang@whu.edu.cn; jkong@whu.edu.cn; ybyao@whu.edu.cn; wangzhuangkai@whu.edu.cn; chenzhou@whu.edu.cn</t>
  </si>
  <si>
    <t>zhou, chen/KBC-4023-2024; zhou, chen/KHW-8121-2024; Wang, Xin/KGK-9099-2024; yan, xu/KCY-8174-2024; ZHANG, JING/KHY-1073-2024; Li, Bo/KHX-7246-2024; chen, chen/KHW-7024-2024; Shen, Yan/KEJ-4617-2024; yang, xiao/KHT-9445-2024; Liu, yuqing/KEI-3260-2024; Wang, Yu/KGL-3101-2024; Liu, Yining/KHC-6217-2024; Qi, Ling/KHE-3068-2024; zhang, yingying/KGM-8162-2024; zhang, lu/KGL-6144-2024; Yao, Yibin/AAM-9653-2020; Liu, Chang/KGL-6678-2024; Wang, Fei/KEH-6292-2024; Wang, Yifan/KDO-8319-2024; li, li/KHE-5750-2024</t>
  </si>
  <si>
    <t>Wang, Xin/0009-0004-7428-3071; Liu, Yining/0000-0002-2218-2349; zhang, yingying/0000-0001-7479-3398; Yao, Yibin/0000-0002-7723-4601;</t>
  </si>
  <si>
    <t>National Natural Science Foundation of China (China) [42274031, 41941010, 41874033]; Open Fund of Hubei Luojia Laboratory (China) [2201000046]; General fund project of Hubei Province (China) [2020CFB603]</t>
  </si>
  <si>
    <t>National Natural Science Foundation of China (China)(National Natural Science Foundation of China (NSFC)); Open Fund of Hubei Luojia Laboratory (China); General fund project of Hubei Province (China)</t>
  </si>
  <si>
    <t>Thanks for the following data provider: GODDARD SPACE FLIGHT CENTER (https://omniweb.gsfc.nasa.g ov/form/dx1.html) , POLENET (https://polenet.org/) . This work was supported in part by the National Natural Science Foundation of China (China) under Grant 42274031, Grant 41941010, Grant 41874033, the Open Fund of Hubei Luojia Laboratory (China) under Grant 2201000046, and the General fund project of Hubei Province (China) under Grant 2020CFB603. Thanks for all the funds.</t>
  </si>
  <si>
    <t>0273-1177</t>
  </si>
  <si>
    <t>1879-1948</t>
  </si>
  <si>
    <t>ADV SPACE RES</t>
  </si>
  <si>
    <t>Adv. Space Res.</t>
  </si>
  <si>
    <t>10.1016/j.asr.2023.04.021</t>
  </si>
  <si>
    <t>Engineering, Aerospace; Astronomy &amp; Astrophysics; Geosciences, Multidisciplinary; Meteorology &amp; Atmospheric Sciences</t>
  </si>
  <si>
    <t>Engineering; Astronomy &amp; Astrophysics; Geology; Meteorology &amp; Atmospheric Sciences</t>
  </si>
  <si>
    <t>M5GQ0</t>
  </si>
  <si>
    <t>WOS:001030503400001</t>
  </si>
  <si>
    <t>Zhang, PX; Zhang, YZ; Liang, RS; Chen, W; Xie, XC</t>
  </si>
  <si>
    <t>Zhang, Peixuan; Zhang, Yuzhong; Liang, Ruosi; Chen, Wei; Xie, Xinchun</t>
  </si>
  <si>
    <t>Evaluation of the Stratospheric Contribution to the Inter-Annual Variabilities of Tropospheric Methane Growth Rates</t>
  </si>
  <si>
    <t>QUASI-BIENNIAL OSCILLATION; BREWER-DOBSON CIRCULATION; ATMOSPHERIC METHANE; NITROUS-OXIDE; EMISSIONS; INCREASE; EXPLAIN; SURFACE</t>
  </si>
  <si>
    <t>Tropospheric methane (CH4) shows large inter-annual variability in its growth rates on top of decadal trends, which is usually interpreted as changes in sources or sinks. The contribution of the stratosphere-troposphere exchange (STE) is often omitted in such analyses. Here, we quantify annual anomalies of stratosphere-troposphere CH4 fluxes using varied model- or observation-based methods. Globally, the inter-annual variability (standard deviation) of this flux during 2000-2020 is 2.0 Tg a(-1), producing a variability of similar to 0.6 ppb a(-1) at the surface, which is only similar to 20% of observed surface CH4 growth rate variability. Compared to global averages, high latitudes experience a larger STE-induced surface variability, which is 80% of the observed surface anomalies in the Antarctic and 44% in the Arctic. Our results suggest that although the STE process is a minor contributor globally, it has a considerable impact over polar regions on the inter-annual variability of surface CH4 growth rates. Plain Language Summary In addition to surface emissions and tropospheric removal, tropospheric CH4 concentrations are also affected by exchange with the stratosphere. However, the changes in the stratosphere-troposphere flux are often unaccounted for in the analysis of surface CH4 observations. Here we evaluate this stratospheric influence by quantifying stratosphere-troposphere CH4 fluxes. We find that the surface CH4 variability induced by the stratosphere-troposphere exchange is relatively small globally but can be substantial in polar regions at anomalies of the stratospheric circulation.</t>
  </si>
  <si>
    <t>[Zhang, Peixuan] Fudan Univ, Shanghai, Peoples R China; [Zhang, Peixuan; Zhang, Yuzhong; Liang, Ruosi; Chen, Wei; Xie, Xinchun] Westlake Univ, Sch Engn, Key Lab Coastal Environm &amp; Resources Zhejiang Pro, Hangzhou, Peoples R China; [Zhang, Peixuan; Zhang, Yuzhong; Liang, Ruosi; Chen, Wei; Xie, Xinchun] Inst Adv Technol, Westlake Inst Adv Study, Hangzhou, Peoples R China; [Liang, Ruosi; Chen, Wei; Xie, Xinchun] Zhejiang Univ, Hangzhou, Peoples R China</t>
  </si>
  <si>
    <t>Fudan University; Westlake University; Westlake University; Zhejiang University</t>
  </si>
  <si>
    <t>Zhang, YZ (corresponding author), Westlake Univ, Sch Engn, Key Lab Coastal Environm &amp; Resources Zhejiang Pro, Hangzhou, Peoples R China.;Zhang, YZ (corresponding author), Inst Adv Technol, Westlake Inst Adv Study, Hangzhou, Peoples R China.</t>
  </si>
  <si>
    <t>zhangyuzhong@westlake.edu.cn</t>
  </si>
  <si>
    <t>Wei, Wei/JVM-8876-2024; Wang, Zhuo/JVO-1874-2024; Zhang, Bo/JVD-9890-2024</t>
  </si>
  <si>
    <t>Wei, Wei/0000-0002-4109-3878; Liang, Ruosi/0000-0003-0479-5288; Zhang, Yuzhong/0000-0001-5431-5022</t>
  </si>
  <si>
    <t>National Key Research and Development Program of China [2022YFE0209100]; National Natural Science Foundation of China [42007198]; foundation of Westlake University; Canadian Space Agency</t>
  </si>
  <si>
    <t>National Key Research and Development Program of China; National Natural Science Foundation of China(National Natural Science Foundation of China (NSFC)); foundation of Westlake University; Canadian Space Agency(Canadian Space Agency)</t>
  </si>
  <si>
    <t>The study is supported by the National Key Research and Development Program of China (2022YFE0209100), the National Natural Science Foundation of China (42007198), and the foundation of Westlake University. We thank the team that realized the Atmospheric Chemistry Experiment (ACE), which is also known as SCISAT and is a Canadian-led mission mainly supported by the Canadian Space Agency. We thank NOAA ESRL Global Monitoring Laboratory for surface observations of CH4 and N2O. The computation of this work is done at the High-performance Computing Center of Westlake University.</t>
  </si>
  <si>
    <t>e2023GL103350</t>
  </si>
  <si>
    <t>10.1029/2023GL103350</t>
  </si>
  <si>
    <t>Q6MP3</t>
  </si>
  <si>
    <t>WOS:001058648500005</t>
  </si>
  <si>
    <t>Li, RJ; Gao, H; Hou, C; Fu, J; Shi, TD; Wu, ZL; Jin, SC; Yao, ZW; Na, GS; Ma, XD</t>
  </si>
  <si>
    <t>Li, Ruijing; Gao, Hui; Hou, Chao; Fu, Jie; Shi, Tengda; Wu, Zilan; Jin, Shuaichen; Yao, Ziwei; Na, Guangshui; Ma, Xindong</t>
  </si>
  <si>
    <t>Occurrence, source, and transfer fluxes of organophosphate esters in the South Pacific and Fildes Peninsula, Antarctic</t>
  </si>
  <si>
    <t>Organophosphate esters; South Pacific; Fildes peninsula; Transport flux; Source</t>
  </si>
  <si>
    <t>PERSISTENT ORGANIC POLLUTANTS; EAST AUSTRALIAN CURRENT; POLYCYCLIC AROMATIC-HYDROCARBONS; BROMINATED FLAME RETARDANTS; AUCKLAND CURRENT; TASMAN-SEA; PLASTICIZERS; AIR; SNOW; EXPOSURE</t>
  </si>
  <si>
    <t>Concentrations of 11 organophosphate esters (OPEs) were investigated in surface water and atmosphere samples collected from the South Pacific and Fildes Peninsula. TEHP and TCEP were the dominant OPEs in South Pacific dissolved water, with concentration range of nd-106.13 ng/L and 1.06-28.97 ng/L, respectively. The total concentration of n-ary sumation 10OPEs in the South Pacific atmosphere was higher than that in Fildes Peninsula, ranging from 216.78 to 2033.97 pg/m3 and 161.83 pg/m3, respectively. TCEP and TCPP were the most dominant OPEs in the South Pacific atmosphere, while TPhP was the most prevalent in the Fildes Peninsula. The air-water exchange flux of n-ary sumation 10OPEs at the South Pacific was 0.04-3.56 ng/m2/day, with a transmission direction of evaporation totally determined by TiBP and TnBP. The atmospheric dry deposition dominated the transport direction of OPEs between air and water, with an flux of &amp; sigma;10OPEs at 10.28-213.62 ng/m2/day (mean: 85.2 ng/m2/day). The current transport flux of OPEs through the Tasman Sea to the ACC (2.65 x 104 kg/day) was significantly higher than the dry deposition flux over the Tasman Sea(493.55 kg/day), indicating the Tasman Sea's importance as a transport pathway for OPEs from low latitude areas to the South Pacific. Principal component analysis and air mass back-trajectory analysis provided evidence of terrestrial inputs from human activities that have impacted the environment in the South Pacific and the Antarctic.</t>
  </si>
  <si>
    <t>[Li, Ruijing; Gao, Hui; Wu, Zilan; Jin, Shuaichen; Yao, Ziwei; Ma, Xindong] Natl Marine Environm Monitoring Ctr, Dalian 116023, Peoples R China; [Na, Guangshui] Hainan Trop Ocean Univ, Yazhou Bay Innovat Inst, Lab Coastal Marine Ecoenvironm Proc &amp; Carbon Sink, Sanya 572022, Peoples R China; [Hou, Chao; Fu, Jie; Na, Guangshui] Shanghai Ocean Univ, Coll Marine Environm &amp; Ecol, Shanghai 201306, Peoples R China; [Shi, Tengda] Dalian Ocean Univ, Coll Marine Technol &amp; Environm, Dalian 116023, Peoples R China; [Hou, Chao] NCS Testing Technol Co Ltd, Beijing 100081, Peoples R China</t>
  </si>
  <si>
    <t>National Marine Environmental Monitoring Center; Hainan Tropical Ocean University; Dalian Ocean University</t>
  </si>
  <si>
    <t>Na, GS (corresponding author), Hainan Trop Ocean Univ, Yazhou Bay Innovat Inst, Lab Coastal Marine Ecoenvironm Proc &amp; Carbon Sink, Sanya 572022, Peoples R China.</t>
  </si>
  <si>
    <t>nags@hntou.edu.cn</t>
  </si>
  <si>
    <t>fu, jie/0009-0002-8935-275X</t>
  </si>
  <si>
    <t>National Natural Science Foundation of China [42006195, 41976222]; Hainan Provincial Joint Project of Sanya Yazhou Bay Science and Technology City [2021CXLH0009]; Scienti fi c Research Foundation of Hainan Tropical 442 Ocean University [RHDRC202201]; Science and Technology Project of Yazhou Bay Innovation Institute of Hainan Tropical Ocean University [2022CXYZD002]</t>
  </si>
  <si>
    <t>National Natural Science Foundation of China(National Natural Science Foundation of China (NSFC)); Hainan Provincial Joint Project of Sanya Yazhou Bay Science and Technology City; Scienti fi c Research Foundation of Hainan Tropical 442 Ocean University; Science and Technology Project of Yazhou Bay Innovation Institute of Hainan Tropical Ocean University</t>
  </si>
  <si>
    <t>Acknowledgements The research was supported by the National Natural Science Foundation of China (Nos. 42006195, 41976222) , the Hainan Provincial Joint Project of Sanya Yazhou Bay Science and Technology City (No. 2021CXLH0009) , the Scienti fi c Research Foundation of Hainan Tropical 442 Ocean University (No. RHDRC202201) , the Science and Technology Project of Yazhou Bay Innovation Institute of Hainan Tropical Ocean University (No. 2022CXYZD002) .</t>
  </si>
  <si>
    <t>OCT 10</t>
  </si>
  <si>
    <t>10.1016/j.scitotenv.2023.164263</t>
  </si>
  <si>
    <t>M8SR8</t>
  </si>
  <si>
    <t>WOS:001032864600001</t>
  </si>
  <si>
    <t>Bridges, AEH; Barnes, DKA; Bell, JB; Ross, RE; Voges, L; Howell, KL</t>
  </si>
  <si>
    <t>Bridges, Amelia E. H.; Barnes, David K. A.; Bell, James B.; Ross, Rebecca E.; Voges, Lizette; Howell, Kerry L.</t>
  </si>
  <si>
    <t>Filling the data gaps: Transferring models from data-rich to data-poor deep-sea areas to support spatial management</t>
  </si>
  <si>
    <t>JOURNAL OF ENVIRONMENTAL MANAGEMENT</t>
  </si>
  <si>
    <t>Habitat suitability modelling; Novel approaches; Cold-water coral reef; Marine spatial planning; Model transfer; Area beyond national jurisdiction</t>
  </si>
  <si>
    <t>SPECIES DISTRIBUTION MODELS; LOPHELIA-PERTUSA; HABITAT SUITABILITY; TRANSFERABILITY; GENERALITY; DISTRIBUTIONS; ATLANTIC; BIOLOGY; EXTENT</t>
  </si>
  <si>
    <t>Spatial management of the deep sea is challenging due to limited available data on the distribution of species and habitats to support decision making. In the well-studied North Atlantic, predictive models of species distribution and habitat suitability have been used to fill data gaps and support sustainable management. In the South Atlantic and other poorly studied regions, this is not possible due to a massive lack of data. In this study, we investigated whether models constructed in data-rich areas can be used to inform data-poor regions (with otherwise similar environmental conditions). We used a novel model transfer approach to identify to what extent a habitat suitability model for Desmophyllum pertusum reef, built in a data-rich basin (North Atlantic), could be transferred usefully to a data-poor basin (South Atlantic). The transferred model was built using the Maximum Entropy algorithm and constructed with 227 presence and 3064 pseudo-absence points, and 200 m resolution environmental grids. Performance in the transferred region was validated using an independent dataset of D. pertusum presences and absences, with assessments made using both threshold-dependent and -independent metrics. We found that a model for D. pertusum reef fitted to North Atlantic data transferred reasonably well to the South Atlantic basin, with an area under the curve of 0.70. Suitable habitat for D. pertusum reef was predicted on 20 of the assessed 27 features including seamounts. Nationally managed Marine Protected Areas provide significant protection for D. pertusum reef habitat in the region, affording full protection from bottom trawling to 14 of the 20 suitable features. In areas beyond national jurisdiction (ABNJ), we found four seamounts that provided suitable habitat for D. pertusum reef to be at least partially protected from bottom trawling, whilst two did not fall within fisheries closures. There are factors to consider when developing models for transfer including data resolution and predictor type. Nevertheless, the promising results of this application demonstrate that model transfer approaches stand to provide significant contributions to spatial planning processes through provision of new, best available data. This is particularly true for ABNJ and areas that have previously undergone little scientific exploration such as the global south.</t>
  </si>
  <si>
    <t>[Bridges, Amelia E. H.; Howell, Kerry L.] Univ Plymouth, Sch Biol &amp; Marine Sci, Plymouth PL4 8AA, England; [Bridges, Amelia E. H.; Barnes, David K. A.] British Antarctic Survey, NERC, Cambridge, England; [Bridges, Amelia E. H.; Bell, James B.] Ctr Environm Fisheries &amp; Aquaculture Sci Cefas, Pakefield Rd, Lowestoft, England; [Ross, Rebecca E.] Inst Marine Res IMR, Benthic Communities Res Grp, Bergen, Norway; [Voges, Lizette] South East Atlantic Fisheries Org, Swakopmund, Namibia</t>
  </si>
  <si>
    <t>University of Plymouth; UK Research &amp; Innovation (UKRI); Natural Environment Research Council (NERC); NERC British Antarctic Survey; Centre for Environment Fisheries &amp; Aquaculture Science; Institute of Marine Research - Norway</t>
  </si>
  <si>
    <t>Bridges, AEH (corresponding author), Univ Plymouth, Sch Biol &amp; Marine Sci, Plymouth PL4 8AA, England.</t>
  </si>
  <si>
    <t>amelia.bridges@plymouth.ac.uk</t>
  </si>
  <si>
    <t>Bridges, Amelia/0000-0002-1422-9637</t>
  </si>
  <si>
    <t>UK Natural Environment Research Council; Foreign and Commonwealth Office Blue Belt' Programme; British Oceanographic Data Centre - Natural Environment Research Council; Norwegian Agency for Development Cooperation (Norad)</t>
  </si>
  <si>
    <t>UK Natural Environment Research Council(UK Research &amp; Innovation (UKRI)Natural Environment Research Council (NERC)); Foreign and Commonwealth Office Blue Belt' Programme; British Oceanographic Data Centre - Natural Environment Research Council; Norwegian Agency for Development Cooperation (Norad)(Norwegian Agency for Development Cooperation - NORAD)</t>
  </si>
  <si>
    <t>We would like to thank the scientists and crew of all research cruises that have contributed to the collection of the data used in this study. The FAO EAF-Nansen programme was instrumental in providing multibeam bathymetry for the SEAFO Convention Area. Multibeam bathymetry, temperature and biological validation data from within the UKOTs was collected through work led by the British Antarctic Survey, Cefas and National Geographic; we would like to thank the governments of As-cension Island, Saint Helena and Tristan da Cunha for permission to use data from the UKOTs in this study and their general support of the work. Research cruises were funded by the UK Natural Environment Research Council, and the Foreign and Commonwealth Office Blue Belt' Programme. We would like to also thank the Global Multi-Resolution Topography Data Synthesis for their support in downloading additional multibeam data for ABNJ in the South Atlantic. The temperature data for all casts outside the UKOTs came from the British Oceanographic Data Centre funded by the Natural Environment Research Council. This paper/report uses data collected through the scientific surveys with the R/V Dr Fridtjof Nansen as part of the collaboration between the FAO EAF-Nansen Programme and SEAFO. The programme supports the implementation of the ecosystem approach to fisheries management in the partner countries. The EAF-Nansen Programme is executed by the Food and Agriculture Organisation of the United Nations (FAO) , in close collaboration with the Norwegian Institute of Marine Research (IMR) and funded by the Norwegian Agency for Development Cooperation (Norad).</t>
  </si>
  <si>
    <t>ACADEMIC PRESS LTD- ELSEVIER SCIENCE LTD</t>
  </si>
  <si>
    <t>24-28 OVAL RD, LONDON NW1 7DX, ENGLAND</t>
  </si>
  <si>
    <t>0301-4797</t>
  </si>
  <si>
    <t>1095-8630</t>
  </si>
  <si>
    <t>J ENVIRON MANAGE</t>
  </si>
  <si>
    <t>J. Environ. Manage.</t>
  </si>
  <si>
    <t>10.1016/j.jenvman.2023.118325</t>
  </si>
  <si>
    <t>M0XP3</t>
  </si>
  <si>
    <t>WOS:001027463200001</t>
  </si>
  <si>
    <t>Artana, C; Provost, C</t>
  </si>
  <si>
    <t>Artana, Camila; Provost, Christine</t>
  </si>
  <si>
    <t>Intense anticyclones at the global Argentine Basin array of the Ocean Observatory Initiative</t>
  </si>
  <si>
    <t>SATELLITE ALTIMETRY; HEAT-LOSS; CIRCULATION; VARIABILITY; STABILITY; TRANSPORT; EDDIES</t>
  </si>
  <si>
    <t>We analyzed physical oceanic parameters gathered by a mooring array at mesoscale spatial sampling deployed in the Argentine Basin within the Ocean Observatory Initiative, a National Science Foundation major research facility. The array was maintained at 42 degrees S and 42 degrees W, a historically sparsely sampled region with small ocean variability, over 34 months from March 2015 to January 2018. The data documented four anticyclonic extreme-structure events in 2016. The four anticyclonic structures had different characteristics (size, vertical extension, origin, lifetime and Rossby number). They all featured near-inertial waves (NIWs) trapped at depth and low Richardson values well below the mixed layer. Low Richardson values suggest favorable conditions for mixing. The anticyclonic features likely act as mixing structures at the pycnocline, bringing heat and salt from the South Atlantic Central Water to the Antarctic Intermediate Waters. The intense structures were unique in the 29-year-long satellite altimetry record at the mooring site. The Argentine Basin is populated with many anticyclones, and mixing associated with trapped NIWs probably plays an important role in setting up the upper-water-mass characteristics in the basin.</t>
  </si>
  <si>
    <t>[Artana, Camila; Provost, Christine] Sorbonne Univ, Univ Paris 6, Lab LOCEAN IPSL, UPMC,CNRS,IRD,MNHN, Paris, France; [Artana, Camila] Mercator Ocean, Toulouse, France; [Artana, Camila] Inst Ciences Mar, Renewable Marine Resources Dept, Barcelona, Spain</t>
  </si>
  <si>
    <t>Sorbonne Universite; Institut de Recherche pour le Developpement (IRD); Centre National de la Recherche Scientifique (CNRS); Museum National d'Histoire Naturelle (MNHN); Consejo Superior de Investigaciones Cientificas (CSIC); CSIC - Centro Mediterraneo de Investigaciones Marinas y Ambientales (CMIMA); CSIC - Instituto de Ciencias del Mar (ICM)</t>
  </si>
  <si>
    <t>Artana, C (corresponding author), Sorbonne Univ, Univ Paris 6, Lab LOCEAN IPSL, UPMC,CNRS,IRD,MNHN, Paris, France.;Artana, C (corresponding author), Mercator Ocean, Toulouse, France.;Artana, C (corresponding author), Inst Ciences Mar, Renewable Marine Resources Dept, Barcelona, Spain.</t>
  </si>
  <si>
    <t>c.artana@icm.csic.es</t>
  </si>
  <si>
    <t>OSTST BACI; CNES post-doctorate scholarship; Spanish government (AEI) Severo Ochoa Centre of Excellence [CEX2019-000928-S]</t>
  </si>
  <si>
    <t>OSTST BACI; CNES post-doctorate scholarship; Spanish government (AEI) Severo Ochoa Centre of Excellence</t>
  </si>
  <si>
    <t>This study is a contribution to the CNES-funded OSTST BACI project. Camila Artana was financially supported by a CNES post-doctorate scholarship and funding from the Spanish government (AEI) through the Severo Ochoa Centre of Excellence accreditation (grant no. CEX2019-000928-S).</t>
  </si>
  <si>
    <t>10.5194/os-19-953-2023</t>
  </si>
  <si>
    <t>L2IB3</t>
  </si>
  <si>
    <t>WOS:001021534600001</t>
  </si>
  <si>
    <t>Banwell, AF; Wever, N; Dunmire, D; Picard, G</t>
  </si>
  <si>
    <t>Banwell, Alison F.; Wever, Nander; Dunmire, Devon; Picard, Ghislain</t>
  </si>
  <si>
    <t>Quantifying Antarctic-Wide Ice-Shelf Surface Melt Volume Using Microwave and Firn Model Data: 1980 to 2021</t>
  </si>
  <si>
    <t>PHYSICAL SNOWPACK MODEL; MASS-BALANCE; LAYER FORMATION; GREENLAND; CLIMATE; RECONSTRUCTION; VULNERABILITY; VARIABILITY; SENSITIVITY; RADIOMETERS</t>
  </si>
  <si>
    <t>Antarctic ice-shelf stability is threatened by surface melt, which has been implicated in several ice-shelf collapse events over recent decades. Here, we first analyze cumulative days of wet snow/ice status (melt days) for melt seasons from 1980 to 2021 over Antarctica's ice shelves using passive and active microwave satellite observations. As these observations do not directly reveal meltwater volumes, we calculate these using the physics-based multi-layer snow model SNOWPACK, driven by the global climate-reanalysis model Modern-Era Retrospective analysis for Research and Applications Version 2. We find a strong non-linear relationship between melt days and meltwater production volume. SNOWPACK's calculation of melt days shows agreement with observations of both cumulative days, and spatial and interannual variability. Highest melt rates are found on the Peninsula ice shelves, particularly in the 1992/1993 and 1994/1995 austral summers. Over all ice shelves, SNOWPACK calculates a small, but significant, decreasing trend in both annual melt days and meltwater production volume over the 41 years.</t>
  </si>
  <si>
    <t>[Banwell, Alison F.] Univ Colorado Boulder, Cooperat Inst Res Environm Sci CIRES, Boulder, CO 80309 USA; [Wever, Nander; Dunmire, Devon] Univ Colorado Boulder, Dept Atmospher &amp; Ocean Sci ATOC, Boulder, CO USA; [Wever, Nander] WSL Inst Snow &amp; Avalanche Res SLF, Davos, Switzerland; [Picard, Ghislain] Univ Grenoble Alpes, CNRS, Inst Geosci Environm IGE, Grenoble, France</t>
  </si>
  <si>
    <t>University of Colorado System; University of Colorado Boulder; University of Colorado System; University of Colorado Boulder; Swiss Federal Institutes of Technology Domain; Swiss Federal Institute for Forest, Snow &amp; Landscape Research; Centre National de la Recherche Scientifique (CNRS); Communaute Universite Grenoble Alpes; Universite Grenoble Alpes (UGA)</t>
  </si>
  <si>
    <t>Banwell, AF (corresponding author), Univ Colorado Boulder, Cooperat Inst Res Environm Sci CIRES, Boulder, CO 80309 USA.</t>
  </si>
  <si>
    <t>alison.banwell@colorado.edu</t>
  </si>
  <si>
    <t>Banwell, Alison/W-8180-2018; Picard, Ghislain/D-4246-2013</t>
  </si>
  <si>
    <t>Banwell, Alison/0000-0001-9545-829X; Picard, Ghislain/0000-0003-1475-5853; Wever, Nander/0000-0002-4829-8585; Dunmire, Devon/0000-0001-6299-9137</t>
  </si>
  <si>
    <t>U.S. National Science Foundation [1841607]; University of Colorado Boulder Cooperative Institute for Research in Environmental Studies (CIRES) Innovative Research Proposal (IRP) award; National Aeronautics and Space Administration (NASA) [80NSSC20K0969]; NASA FINESST Fellowship [80NSSC19K1329]; ESA Project [ESA/AO/19570/18/I-DT]</t>
  </si>
  <si>
    <t>U.S. National Science Foundation(National Science Foundation (NSF)); University of Colorado Boulder Cooperative Institute for Research in Environmental Studies (CIRES) Innovative Research Proposal (IRP) award; National Aeronautics and Space Administration (NASA)(National Aeronautics &amp; Space Administration (NASA)); NASA FINESST Fellowship; ESA Project</t>
  </si>
  <si>
    <t>AFB received support from the U.S. National Science Foundation under Award #1841607 to the University of Colorado Boulder, and from a University of Colorado Boulder Cooperative Institute for Research in Environmental Studies (CIRES) Innovative Research Proposal (IRP) award. NW was supported by the National Aeronautics and Space Administration (NASA) under Award #80NSSC20K0969 issued by the Studies with ICESat-2 program. DD was supported by a NASA FINESST Fellowship (Award #80NSSC19K1329). GP received support from the ESA Project ESA/AO/1-9570/18/I-DT-4D Antarctica. The authors thank Ludovic Brucker, Ted Scambos, Megan Thompson Munson and Rebecca Dell for useful discussions. The authors thank the Editor, Mathieu Morlighem, and two reviewers; Peter Kuipers Munneke and one anonymous reviewer, for their very useful comments.</t>
  </si>
  <si>
    <t>e2023GL102744</t>
  </si>
  <si>
    <t>10.1029/2023GL102744</t>
  </si>
  <si>
    <t>J8ID9</t>
  </si>
  <si>
    <t>WOS:001011995700001</t>
  </si>
  <si>
    <t>Maeda, R; Goderis, S; Yamaguchi, A; Van Acker, T; Vanhaecke, F; Debaille, V; Claeys, P</t>
  </si>
  <si>
    <t>Maeda, Ryoga; Goderis, Steven; Yamaguchi, Akira; Van Acker, Thibaut; Vanhaecke, Frank; Debaille, Vinciane; Claeys, Phillippe</t>
  </si>
  <si>
    <t>Fluid mobilization of rare earth elements, Th, and U during the terrestrial alteration of H chondrites</t>
  </si>
  <si>
    <t>NON-ANTARCTIC METEORITES; HIGH-SPEED; HIGH-RESOLUTION; TRACE-ELEMENTS; LASER-ABLATION; HOT; REE; ABUNDANCES; MINERALS; INSIGHTS</t>
  </si>
  <si>
    <t>The chemical effects of terrestrial alteration, with a particular focus on lithophile trace elements, were studied for a set of H chondrites displaying various degrees of weathering from fresh falls to altered finds collected from hot deserts. According to their trace element distributions, a considerable fraction of rare earth elements (REEs), Th, and U resides within cracks observed in weathered meteorite specimens. These cracks appear to accumulate unbound REEs locally accompanied by Th and U relative to the major element abundances, especially P and Si. The deposition of Ce is observed in cracks in the case of most of the weathered samples. Trace element maps visually confirm the accumulation of these elements in such cracks, as previously inferred based on chemical leaching experiments. Because the positive Ce anomalies and unbound REE depositions in cracks occur in all weathered samples studied here while none of such features are observed in less altered samples including falls (except for altered fall sample Nuevo Mercurio), these features are interpreted to have been caused by terrestrial weathering following chemical leaching. However, the overall effects on the bulk chemical composition remain limited as the data for all Antarctic meteorites studied in this work (except for heavily weathered sample A 09516, H6) are in good agreement with published data for unaltered meteorites.</t>
  </si>
  <si>
    <t>[Maeda, Ryoga; Goderis, Steven; Claeys, Phillippe] Vrije Univ Brussel, Analyt Environm &amp; Geochem, Brussels, Belgium; [Maeda, Ryoga; Debaille, Vinciane] Univ libre Bruxelles, Lab G Time, Brussels, Belgium; [Maeda, Ryoga] Japan Agcy Marine Earth Sci &amp; Technol JAMSTEC, Submarine Resources Res Ctr SRRC, Yokosuka, Japan; [Maeda, Ryoga] Japan Agcy Marine Earth Sci &amp; Technol JAMSTEC, Gen Project Team SIP, REE Smelting Unit, Dev Prod Technol REE, Yokosuka, Japan; [Yamaguchi, Akira] Natl Inst Polar Res, Tokyo, Japan; [Van Acker, Thibaut; Vanhaecke, Frank] Univ Ghent, Dept Chem, Atom &amp; Mass Spectrometry A&amp;MS Res Unit, Ghent, Belgium; [Maeda, Ryoga] Japan Agcy Marine Earth Sci &amp; Technol JAMSTEC, Submarine Resources Res Ctr SRRC, 2-15 Natsushima Cho, Yokosuka 2370061, Japan</t>
  </si>
  <si>
    <t>Vrije Universiteit Brussel; Universite Libre de Bruxelles; Japan Agency for Marine-Earth Science &amp; Technology (JAMSTEC); Japan Agency for Marine-Earth Science &amp; Technology (JAMSTEC); Research Organization of Information &amp; Systems (ROIS); National Institute of Polar Research (NIPR) - Japan; Ghent University; Japan Agency for Marine-Earth Science &amp; Technology (JAMSTEC)</t>
  </si>
  <si>
    <t>Maeda, R (corresponding author), Japan Agcy Marine Earth Sci &amp; Technol JAMSTEC, Submarine Resources Res Ctr SRRC, 2-15 Natsushima Cho, Yokosuka 2370061, Japan.</t>
  </si>
  <si>
    <t>maedar@jamstec.go.jp</t>
  </si>
  <si>
    <t>Van Acker, Thibaut/W-7928-2019; Vanhaecke, Frank/AAO-4582-2020; (VUB), VRIJE UNIVERSITEIT BRUSSEL/B-4895-2008; Goderis, Steven/F-9908-2011</t>
  </si>
  <si>
    <t>Van Acker, Thibaut/0000-0002-0649-7228; Vanhaecke, Frank/0000-0002-1884-3853; (VUB), VRIJE UNIVERSITEIT BRUSSEL/0000-0002-4585-7687; Debaille, Vinciane/0000-0002-6544-4564; Maeda, Ryoga/0000-0003-4791-630X; Goderis, Steven/0000-0002-6666-7153</t>
  </si>
  <si>
    <t>Royal Belgian Institute of Natural Sciences, Belgium; NIPR International Internship Programs for Polar Science; Excellence of Science (EoS) project ET-HoME; VUB Strategic Research Program; Research Foundation-Flanders (FWO); BOF-UGent [FWO.3E0.2022.0048.01]; ERC StG ISoSyC; FRS-FNRS</t>
  </si>
  <si>
    <t>Royal Belgian Institute of Natural Sciences, Belgium; NIPR International Internship Programs for Polar Science; Excellence of Science (EoS) project ET-HoME; VUB Strategic Research Program; Research Foundation-Flanders (FWO)(FWO); BOF-UGent; ERC StG ISoSyC(European Research Council (ERC)); FRS-FNRS(Fonds de la Recherche Scientifique - FNRS)</t>
  </si>
  <si>
    <t>We would like to thank N. J. de Winter, S. M. Chernonozhkin, and F. Van Maldeghem for guidance with the XRF instrumentation and with the HDIP software, and for assistance during the SEM, respectively. We also thank the Royal Belgian Institute of Natural Sciences, Belgium, and the National Institute of Polar Research, Japan, for the loan of the Antarctic meteorites, meteorites collected from hot deserts, and the fall meteorites used in this study. RM thanks NIPR International Internship Programs for Polar Science 2020 and 2021 for financial and analytical supports. RM, SG, FV, VD, and PhC acknowledge support from the Excellence of Science (EoS) project ET-HoME. SG and VD thank the BRAIN-Be Belgian Science Policy (BELSPO) projects BAMM and DESIRED. SG and PhC acknowledge support from the VUB Strategic Research Program. TVA thanks Research Foundation-Flanders (FWO) for his junior postdoctoral fellowship grant (FWO.3E0.2022.0048.01). FV thanks BOF-UGent for financial support under the form of a GOA grant and acknowledges Teledyne Photon Machines for logistic support. VD thanks the ERC StG ISoSyC and FRS-FNRS for support. PhC also thanks the Research Foundation Flanders (FWO Hercules grant) for the purchase of the XRF instrument. We specifically would like to thank M. Kimura, N. Imae, Conel M. O'D Alexander, and Martin R. Lee for discussions on the content of this manuscript. Finally, we gratefully acknowledge John Spray for the editorial work. We also thank Julia Roszgar and an anonymous reviewer for their constructive reviews.</t>
  </si>
  <si>
    <t>10.1111/maps.14034</t>
  </si>
  <si>
    <t>L4LB4</t>
  </si>
  <si>
    <t>WOS:001021351500001</t>
  </si>
  <si>
    <t>Braulik, GT; Taylor, BL; Minton, G; di Sciara, GN; Collins, T; Rojas-Bracho, L; Crespo, EA; Ponnampalam, LS; Double, MC; Reeves, RR</t>
  </si>
  <si>
    <t>Braulik, Gill T.; Taylor, Barbara L.; Minton, Gianna; di Sciara, Giuseppe Notarbartolo; Collins, Tim; Rojas-Bracho, Lorenzo; Crespo, Enrique A.; Ponnampalam, Louisa S.; Double, Michael C.; Reeves, Randall R.</t>
  </si>
  <si>
    <t>Red-list status and extinction risk of the world's whales, dolphins, and porpoises</t>
  </si>
  <si>
    <t>CONSERVATION BIOLOGY</t>
  </si>
  <si>
    <t>bycatch; Cetacea; marine biodiversity; marine conservation; marine ecosystems; marine mammals; threatened &amp; nbsp;species</t>
  </si>
  <si>
    <t>MARINE MAMMALS; HABITAT; THREAT</t>
  </si>
  <si>
    <t>To understand the scope and scale of the loss of biodiversity, tools are required that can be applied in a standardized manner to all species globally, spanning realms from land to the open ocean. We used data from the International Union for the Conservation of Nature Red List to provide a synthesis of the conservation status and extinction risk of cetaceans. One in 4 cetacean species (26% of 92 species) was threatened with extinction (i.e., critically endangered, endangered, or vulnerable) and 11% were near threatened. Ten percent of cetacean species were data deficient, and we predicted that 2-3 of these species may also be threatened. The proportion of threatened cetaceans has increased: 15% in 1991, 19% in 2008, and 26% in 2021. The assessed conservation status of 20% of species has worsened from 2008 to 2021, and only 3 moved into categories of lesser threat. Cetacean species with small geographic ranges were more likely to be listed as threatened than those with large ranges, and those that occur in freshwater (100% of species) and coastal (60% of species) habitats were under the greatest threat. Analysis of odontocete species distributions revealed a global hotspot of threatened small cetaceans in Southeast Asia, in an area encompassing the Coral Triangle and extending through nearshore waters of the Bay of Bengal, northern Australia, and Papua New Guinea and into the coastal waters of China. Improved management of fisheries to limit overfishing and reduce bycatch is urgently needed to avoid extinctions or further declines, especially in coastal areas of Asia, Africa, and South America.</t>
  </si>
  <si>
    <t>[Braulik, Gill T.] Univ St Andrews, Scottish Oceans Inst, Sea Mammal Res Unit, St Andrews KY16 9AJ, Fife, Scotland; [Braulik, Gill T.; Taylor, Barbara L.; Minton, Gianna; di Sciara, Giuseppe Notarbartolo; Collins, Tim; Rojas-Bracho, Lorenzo; Crespo, Enrique A.; Ponnampalam, Louisa S.; Double, Michael C.; Reeves, Randall R.] IUCN Species Survival Commiss, Cetacean Specialist Grp, St Andrews, Scotland; [Braulik, Gill T.; Minton, Gianna; di Sciara, Giuseppe Notarbartolo; Collins, Tim; Rojas-Bracho, Lorenzo] IUCN Marine Mammal Protected Areas Task Force, St Andrews, Scotland; [Minton, Gianna] Megaptera Marine Conservat, The Hague, Netherlands; [di Sciara, Giuseppe Notarbartolo] Tethys Res Inst, Milan, Italy; [Collins, Tim] Wildlife Conservat Soc, Global Conservat, Bronx, NY USA; [Rojas-Bracho, Lorenzo] Ocean Wise, Vancouver, BC, Canada; [Crespo, Enrique A.] Consejo Nacl Invest Cient &amp; Tecn, Lab Mamiferos Marinos, CESIMAR, Puerto Madryn, Argentina; [Ponnampalam, Louisa S.] MareCet Res Org, Subang Jaya, Selangor, Malaysia; [Double, Michael C.] Dept Climate Change Energy Environm &amp; Water, Australian Antarctic Div, Kingston, Tas, Australia; [Reeves, Randall R.] Marine Mammal Commiss, Comm Sci Advisers, Bethesda, MD USA</t>
  </si>
  <si>
    <t>University of St Andrews; Wildlife Conservation Society; Consejo Nacional de Investigaciones Cientificas y Tecnicas (CONICET); Australian Antarctic Division</t>
  </si>
  <si>
    <t>Braulik, GT (corresponding author), Univ St Andrews, Scottish Oceans Inst, Sea Mammal Res Unit, St Andrews KY16 9AJ, Fife, Scotland.</t>
  </si>
  <si>
    <t>gtb7@st-andrews.ac.uk; subspecies.def@gmail.com; gianna.minton@gmail.com; disciara@gmail.com; tcollins@wcs.org; lrochasbracho@gmail.com; louisa.ponnampalam@gmail.com; mike.double@aad.gov.au; rrreeves@okapis.ca</t>
  </si>
  <si>
    <t>di Sciara, Giuseppe Notarbartolo/P-8906-2019; Crespo, Enrique/Q-5487-2018</t>
  </si>
  <si>
    <t>Minton, Gianna/0000-0003-4284-2540; Braulik, Gill/0000-0001-8919-4187; Taylor, Barbara/0000-0001-7620-0736; Reeves, Randall/0000-0002-6512-6507; Notarbartolo di Sciara, Giuseppe/0000-0003-0353-617X; Crespo, Enrique/0000-0001-9216-7817; Ponnampalam, Louisa/0000-0003-0371-2620</t>
  </si>
  <si>
    <t>0888-8892</t>
  </si>
  <si>
    <t>1523-1739</t>
  </si>
  <si>
    <t>CONSERV BIOL</t>
  </si>
  <si>
    <t>Conserv. Biol.</t>
  </si>
  <si>
    <t>10.1111/cobi.14090</t>
  </si>
  <si>
    <t>Biodiversity Conservation; Ecology; Environmental Sciences</t>
  </si>
  <si>
    <t>T9RY8</t>
  </si>
  <si>
    <t>WOS:001021076300001</t>
  </si>
  <si>
    <t>Arenas-Pingarrón, A; Corr, HFJ; Robinson, C; Jordan, TA; Brennan, PV</t>
  </si>
  <si>
    <t>Arenas-Pingarron, Alvaro; Corr, Hugh F. J.; Robinson, Carl; Jordan, Tom A.; Brennan, Paul V.</t>
  </si>
  <si>
    <t>Polarimetric airborne scientific instrument, mark 2, an ice-sounding airborne synthetic aperture radar for subglacial 3D imagery</t>
  </si>
  <si>
    <t>IET RADAR SONAR AND NAVIGATION</t>
  </si>
  <si>
    <t>airborne radar; array signal processing; direction-of-arrival estimation; MUSIC algorithm; remote sensing by radar; synthetic aperture radar</t>
  </si>
  <si>
    <t>FLOW; DATASETS; SURFACE; BED</t>
  </si>
  <si>
    <t>Polarimetric Airborne Scientific INstrument, mark 2 (PASIN2) is a 150 MHz coherent pulsed radar with the purpose of deep ice sounding for bedrock, subglacial channels and ice-water interface detection in Antarctica. It is designed and operated by the British Antarctic Survey from 2014. With multiple antennas, oriented along and across-track, for transmission and reception, it enables polarimetric 3D estimation of the ice base with a single pass, reducing the gridding density of the survey paths. The off-line data processing stream consists of channel calibration; 2D synthetic aperture radar (SAR) imaging based on back-projection, for along-track and range dimensions; and finally, a direction of arrival estimation (DoA) of the remaining across-track angle, by modifying the non-linear MUSIC algorithm. Calibration flights, during the Antarctic Summer campaigns in 16/17 and 19/20 seasons, assessed and validated the instrument and processing performances. Imaging flights over ice streams and ice shelves close to grounding lines demonstrate the 3D sensing capabilities. By resolving directional ambiguities and accounting for reflector across-track location, the true ice thickness and bed elevation are obtained, thereby removing the error of the usual assumption of vertical DoA, that greatly influence the output of flow models of ice dynamics.</t>
  </si>
  <si>
    <t>[Arenas-Pingarron, Alvaro; Corr, Hugh F. J.; Robinson, Carl; Jordan, Tom A.] British Antarctic Survey, Cambridge, England; [Brennan, Paul V.] UCL, Dept Elect &amp; Elect Engn, London, England</t>
  </si>
  <si>
    <t>UK Research &amp; Innovation (UKRI); Natural Environment Research Council (NERC); NERC British Antarctic Survey; University of London; University College London</t>
  </si>
  <si>
    <t>Arenas-Pingarrón, A (corresponding author), British Antarctic Survey, Cambridge, England.</t>
  </si>
  <si>
    <t>alvnga99@bas.ac.uk</t>
  </si>
  <si>
    <t>Arenas Pingarron, Alvaro/0000-0001-9623-9937; Jordan, Tom/0000-0003-2780-1986; Brennan, Paul/0000-0002-3145-3868</t>
  </si>
  <si>
    <t>Natural Environment Research Council [NE/L013444/1, NE/L013770/1]; British Antarctic Survey; NERC [NE/L013770/1, NE/L013444/1] Funding Source: UKRI</t>
  </si>
  <si>
    <t>Natural Environment Research Council(UK Research &amp; Innovation (UKRI)Natural Environment Research Council (NERC)); British Antarctic Survey; NERC(UK Research &amp; Innovation (UKRI)Natural Environment Research Council (NERC))</t>
  </si>
  <si>
    <t>Natural Environment Research Council, Grant/Award Numbers: NE/L013444/1, NE/L013770/1; British Antarctic Survey, Grant/Award Numbers: National Capability</t>
  </si>
  <si>
    <t>1751-8784</t>
  </si>
  <si>
    <t>1751-8792</t>
  </si>
  <si>
    <t>IET RADAR SONAR NAV</t>
  </si>
  <si>
    <t>IET Radar Sonar Navig.</t>
  </si>
  <si>
    <t>10.1049/rsn2.12428</t>
  </si>
  <si>
    <t>Engineering, Electrical &amp; Electronic; Telecommunications</t>
  </si>
  <si>
    <t>Engineering; Telecommunications</t>
  </si>
  <si>
    <t>Q9AI7</t>
  </si>
  <si>
    <t>WOS:001017966200001</t>
  </si>
  <si>
    <t>Gee, BM; Beightol, CV; Sidor, CA</t>
  </si>
  <si>
    <t>Gee, Bryan. M. M.; Beightol, Charles. V. V.; Sidor, Christian. A. A.</t>
  </si>
  <si>
    <t>A new lapillopsid from Antarctica and a reappraisal of the phylogenetic relationships of early diverging stereospondyls</t>
  </si>
  <si>
    <t>JOURNAL OF VERTEBRATE PALEONTOLOGY</t>
  </si>
  <si>
    <t>LYDEKKERINA-HUXLEYI TETRAPODA; TEMNOSPONDYL AMPHIBIANS; CRANIAL MORPHOLOGY; EARLY EVOLUTION; SOUTH-AFRICA; BIOGEOGRAPHY; CHARACTERS; PARSIMONY; PATTERNS; DIVERSE</t>
  </si>
  <si>
    <t>Stereospondyls underwent a global radiation in the Early Triassic, including an abundance of small-bodied taxa, which are otherwise rare throughout the Mesozoic. Lapillopsidae is one such clade and is presently known only from Australia and India. This clade's phylogenetic position, initially interpreted as micropholid dissorophoids and later as early diverging stereospondyls, remains uncertain. Although the latter interpretation is now widely accepted, lapillopsids' specific relationship to other Early Triassic clades remains unresolved; in particular, recent work suggested that Lapillopsidae nests within Lydekkerinidae. Here we describe Rhigerpeton isbelli, gen. et sp. nov., based on a partial skull from the lower Fremouw Formation of Antarctica that is diagnosed by a combination of features shared with at least some lapillopsids, such as a longitudinal ridge on the dorsal surface of the tabular, and features not found in lapillopsids but shared with some lydekkerinids, such as the retention of pterygoid denticles and a parachoanal tooth row (as in Lydekkerina, for example). A series of phylogenetic analyses confirm the lapillopsid affinities of R. isbelli but provide conflicting results regarding the polyphyly and/or paraphyly of Lydekkerinidae with respect to lapillopsids. The position of Lapillopsidae within Temnospondyli is highly sensitive to taxon sampling of other predominantly Early Triassic temnospondyls. The occurrence of a lapillopsid in Antarctica brings the documented temnospondyl diversity more in line with historically well-sampled portions of southern Pangea, but robust biogeographic comparisons remain hindered by the inability to resolve many historic Antarctic temnospondyl records to the finer taxonomic scales needed for robust biostratigraphy.</t>
  </si>
  <si>
    <t>[Gee, Bryan. M. M.; Sidor, Christian. A. A.] Univ Washington, Burke Museum, Seattle, WA 98195 USA; [Gee, Bryan. M. M.; Sidor, Christian. A. A.] Univ Washington, Dept Biol, Seattle, WA 98195 USA; [Beightol, Charles. V. V.] Vicksburg Natl Mil Pk, 3201 Clay St, Vicksburg, MS USA</t>
  </si>
  <si>
    <t>Gee, BM (corresponding author), Univ Washington, Burke Museum, Seattle, WA 98195 USA.;Gee, BM (corresponding author), Univ Washington, Dept Biol, Seattle, WA 98195 USA.</t>
  </si>
  <si>
    <t>bryangee.temnospondyli@gmail.com; charles_beightol@nps.gov; casidor@uw.edu</t>
  </si>
  <si>
    <t>Gee, Bryan/JCD-5073-2023</t>
  </si>
  <si>
    <t>Gee, Bryan/0000-0003-4517-3290</t>
  </si>
  <si>
    <t>National Science Foundation through the U.S. Antarctic Program; NSF [ANT-0838762, ANT-1341304, ANT-1947094]</t>
  </si>
  <si>
    <t>National Science Foundation through the U.S. Antarctic Program(National Science Foundation (NSF)); NSF(National Science Foundation (NSF))</t>
  </si>
  <si>
    <t>Logistical support in Antarctica was provided by the National Science Foundation through the U.S. Antarctic Program. We acknowledge the 2010-11 field team (A. Huttenlocker, B. Peecook, and R. Smith) as well as members of other science teams and the CTAM field camp support staff for their assistance and contributions. Lastly, we thank R. Masek for his careful preparation of UWBM VP 95522. A. Yates and an anonymous reviewer, the phylogenetics editor, P. Godoy, and the handling editor, J. Froebisch, are thanked for their comments that greatly improved the manuscript and the documentation of the supporting datasets. TNT is freely provided by the Willi Hennig Society. NSF grants ANT-0838762, ANT-1341304, and ANT-1947094 supported this research. All opinions, findings, or conclusions from this study represent the views of the authors and not those of the U.S. Federal Government.</t>
  </si>
  <si>
    <t>TAYLOR &amp; FRANCIS INC</t>
  </si>
  <si>
    <t>PHILADELPHIA</t>
  </si>
  <si>
    <t>530 WALNUT STREET, STE 850, PHILADELPHIA, PA 19106 USA</t>
  </si>
  <si>
    <t>0272-4634</t>
  </si>
  <si>
    <t>1937-2809</t>
  </si>
  <si>
    <t>J VERTEBR PALEONTOL</t>
  </si>
  <si>
    <t>J. Vertebr. Paleontol.</t>
  </si>
  <si>
    <t>DEC 14</t>
  </si>
  <si>
    <t>10.1080/02724634.2023.2216260</t>
  </si>
  <si>
    <t>U9CQ8</t>
  </si>
  <si>
    <t>WOS:001018084800001</t>
  </si>
  <si>
    <t>Clemens-Sewall, D; Polashenski, C; Frey, MM; Cox, CJ; Granskog, MA; Macfarlane, AR; Fons, SW; Schmale, J; Hutchings, JK; von Albedyll, L; Arndt, S; Schneebeli, M; Perovich, D</t>
  </si>
  <si>
    <t>Clemens-Sewall, David; Polashenski, Chris; Frey, Markus M.; Cox, Christopher J.; Granskog, Mats A.; Macfarlane, Amy R.; Fons, Steven W.; Schmale, Julia; Hutchings, Jennifer K.; von Albedyll, Luisa; Arndt, Stefanie; Schneebeli, Martin; Perovich, Don</t>
  </si>
  <si>
    <t>Snow Loss Into Leads in Arctic Sea Ice: Minimal in Typical Wintertime Conditions, but High During a Warm and Windy Snowfall Event</t>
  </si>
  <si>
    <t>Arctic sea ice; snow loss into leads</t>
  </si>
  <si>
    <t>BELLINGSHAUSEN; ACCUMULATION; 1ST-YEAR; AMUNDSEN; COVER; MODEL</t>
  </si>
  <si>
    <t>The amount of snow on Arctic sea ice impacts the ice mass budget. Wind redistribution of snow into open water in leads is hypothesized to cause significant wintertime snow loss. However, there are no direct measurements of snow loss into Arctic leads. We measured the snow lost in four leads in the Central Arctic in winter 2020. We find, contrary to expectations, that under typical winter conditions, minimal snow was lost into leads. However, during a cyclone that delivered warm air temperatures, high winds, and snowfall, 35.0 &amp; PLUSMN; 1.1 cm snow water equivalent (SWE) was lost into a lead (per unit lead area). This corresponded to a removal of 0.7-1.1 cm SWE from the entire surface-&amp; SIM;6%-10% of this site's annual snow precipitation. Warm air temperatures, which increase the length of time that wintertime leads remain unfrozen, may be an underappreciated factor in snow loss into leads.</t>
  </si>
  <si>
    <t>[Clemens-Sewall, David; Polashenski, Chris; Perovich, Don] Dartmouth Coll, Thayer Sch Engn, Hanover, NH 03755 USA; [Polashenski, Chris] US Army Corps Engineers, Cold Reg Res &amp; Engn Lab, Hanover, NH USA; [Frey, Markus M.] British Antarctic Survey Nat Environm Res Council, Cambridge, England; [Cox, Christopher J.] NOAA Phys Sci Lab, Boulder, CO USA; [Granskog, Mats A.] Norwegian Polar Res Inst, Fram Ctr, Tromso, Norway; [Macfarlane, Amy R.] WSL Inst Snow &amp; Avalanche Res SLF, Davos, Switzerland; [Fons, Steven W.] NASA Goddard Space Flight Ctr, Cryospher Sci Lab, Greenbelt, MD USA; [Fons, Steven W.] Univ Maryland, Earth Syst Sci Interdisciplinary Ctr, College Pk, MD USA; [Schmale, Julia] Ecole Polytech Fed Lausanne, Extreme Environm Res Lab, Sion, Switzerland; [Hutchings, Jennifer K.] Oregon State Univ, Coll Earth Ocean &amp; Atmospher Sci, Corvallis, OR USA; [von Albedyll, Luisa; Arndt, Stefanie] Helmholtz Zentrum Polar &amp; Meeresforsch, Alfred Wegener Inst, Bremerhaven, Germany</t>
  </si>
  <si>
    <t>Dartmouth College; United States Department of Defense; United States Army; U.S. Army Corps of Engineers; U.S. Army Engineer Research &amp; Development Center (ERDC); Cold Regions Research &amp; Engineering Laboratory (CRREL); Norwegian Polar Institute; Swiss Federal Institutes of Technology Domain; Swiss Federal Institute for Forest, Snow &amp; Landscape Research; National Aeronautics &amp; Space Administration (NASA); NASA Goddard Space Flight Center; University System of Maryland; University of Maryland College Park; Swiss Federal Institutes of Technology Domain; Ecole Polytechnique Federale de Lausanne; Oregon State University; Helmholtz Association; Alfred Wegener Institute, Helmholtz Centre for Polar &amp; Marine Research</t>
  </si>
  <si>
    <t>Clemens-Sewall, D (corresponding author), Dartmouth Coll, Thayer Sch Engn, Hanover, NH 03755 USA.</t>
  </si>
  <si>
    <t>David.W.Clemens-Sewall.Th@dartmouth.edu</t>
  </si>
  <si>
    <t>Schmale, Julia Yvonne/Q-3942-2019; Frey, Markus/G-1756-2012; Arndt, Stefanie/AAA-6178-2021; Schneebeli, Martin/B-1063-2008; Macfarlane, Amy/JJF-4792-2023; COX, CHRISTOPHER/O-4276-2016</t>
  </si>
  <si>
    <t>Schmale, Julia Yvonne/0000-0002-1048-7962; Frey, Markus/0000-0003-0535-0416; Arndt, Stefanie/0000-0001-9782-3844; Schneebeli, Martin/0000-0003-2872-4409; Macfarlane, Amy/0000-0002-1638-8885; Granskog, Mats/0000-0002-5035-4347; COX, CHRISTOPHER/0000-0003-2203-7173; von Albedyll, Luisa/0000-0002-6768-0368</t>
  </si>
  <si>
    <t>international MOSAiC project; NSF; UK Natural Environment Research Council (NERC); NERC National Capability International grant SURface FluxEs In AnTarctica (SURFEIT); European Union; Norwegian Polar Institute; Research Council of Norway; Swiss National Science Foundation [AWI_PS122_00, MOSAiC20192020]; Swiss Polar Institute [OPP-1724540, 280292]; Ingvar Kamprad Chair for Extreme Environments Research - Ferring Pharmaceuticals [OPP-1722729]; Alfred-Wegener-Institut, Helmholtz-Zentrum fuer Polar-und Meeresforschung through the project AWI_ICE [NE/S00257X/1]; National Aeronautics and Space Administration Cryospheric Sciences Internal Scientist Funding Model (ISFM) [NE/X009319/1, DIRCR-2018-003]; WSL Institute for Snow and Avalanche Research SLF; Swiss Polar Institute (SPI) [101003826]; German Research Council (DFG) [730965]; Alfred-Wegener-Institut; Helmholtz-Zentrum fur Polar-und Meeres-forschung; NOAA Physical Sciences Laboratory (PSL); NOAA's Global Ocean Monitoring and Observing program (GOMO); National Science Foundation [188478]; [WSL_201812N1678]; [SPP1158]; [AR1236/1]; [OPP-1724551]</t>
  </si>
  <si>
    <t>international MOSAiC project; NSF(National Science Foundation (NSF)); UK Natural Environment Research Council (NERC)(UK Research &amp; Innovation (UKRI)Natural Environment Research Council (NERC)); NERC National Capability International grant SURface FluxEs In AnTarctica (SURFEIT); European Union(European Union (EU)); Norwegian Polar Institute; Research Council of Norway(Research Council of Norway); Swiss National Science Foundation(Swiss National Science Foundation (SNSF)); Swiss Polar Institute; Ingvar Kamprad Chair for Extreme Environments Research - Ferring Pharmaceuticals; Alfred-Wegener-Institut, Helmholtz-Zentrum fuer Polar-und Meeresforschung through the project AWI_ICE; National Aeronautics and Space Administration Cryospheric Sciences Internal Scientist Funding Model (ISFM); WSL Institute for Snow and Avalanche Research SLF; Swiss Polar Institute (SPI); German Research Council (DFG)(German Research Foundation (DFG)); Alfred-Wegener-Institut; Helmholtz-Zentrum fur Polar-und Meeres-forschung; NOAA Physical Sciences Laboratory (PSL); NOAA's Global Ocean Monitoring and Observing program (GOMO); National Science Foundation(National Science Foundation (NSF)); ; ; ;</t>
  </si>
  <si>
    <t>&amp; nbsp;Data used in this manuscript were produced as part of the international MOSAiC project with the tag MOSAiC20192020 and the Project_ID: AWI_PS122_00. We thank all people involved in the expedition of the research vessel Polarstern (Knust, 2017) during MOSAiC in 2019-2020 as listed in Nixdorf et al. (2021). In particular, we thank Eric Brossier, Thomas Olufson, Delphin Ruche, and Saga Svavarsdottir, for their capable assistance in the field. Thank you to Manuel Ernst for assistance with the time lapse imagery. DCS, CP, and DP were supported by NSF OPP-1724540. MMF was supported by the UK Natural Environment Research Council (NERC) (NE/S00257X/1), the NERC National Capability International grant SURface FluxEs In AnTarctica (SURFEIT) (NE/X009319/1), and the European Union's Horizon 2020 research and innovation programme under grant agreement No 101003826 via project CRiceS (Climate Relevant interactions and feedbacks: the key role of sea ice and Snow in the polar and global climate system). MAG was supported by the Norwegian Polar Institute and funding from the Research Council of Norway for project HAVOC (Grant 280292). JS received funding from the Swiss National Science Foundation (Grant 188478) and the Swiss Polar Institute. JS holds the Ingvar Kamprad Chair for Extreme Environments Research sponsored by Ferring Pharmaceuticals. JKH was supported by NSF OPP-1722729. LvA was funded by the Alfred-Wegener-Institut, Helmholtz-Zentrum fuer Polar-und Meeresforschung through the project AWI_ICE. SWF was supported by the National Aeronautics and Space Administration Cryospheric Sciences Internal Scientist Funding Model (ISFM). ARM was supported by the WSL Institute for Snow and Avalanche Research SLF. WSL_201812N1678. Funder ID: http://dx.doi.org/10.13039/501100015742, the Swiss Polar Institute (SPI reference DIRCR-2018-003) Funder ID http://dx.doi.org/10.13039/501100015594 and the European Union's Horizon 2020 research and innovation program projects ARICE (Grant 730965) for berth fees associated with the participation of the DEARice project. SA was supported by the German Research Council (DFG) in the framework of the priority program Antarctic Research with comparative investigations in the Arctic ice areas (Grants SPP1158 and AR1236/1) and by the Alfred-Wegener-Institut, Helmholtz-Zentrum fur Polar-und Meeres-forschung. CJC and meteorological data were supported by the NOAA Physical Sciences Laboratory (PSL), NOAA's Global Ocean Monitoring and Observing program (GOMO) (FundRef https://doi.org/10.13039/100018302), and the National Science Foundation (Grant OPP-1724551). We thank editor Rajaram and the two anonymous reviewers whose suggestions improved the manuscript.</t>
  </si>
  <si>
    <t>e2023GL102816</t>
  </si>
  <si>
    <t>10.1029/2023GL102816</t>
  </si>
  <si>
    <t>J9YY1</t>
  </si>
  <si>
    <t>Green Submitted, Green Accepted, Green Published, hybrid</t>
  </si>
  <si>
    <t>WOS:001013120500001</t>
  </si>
  <si>
    <t>Gan, Q; Oberheide, J; Goncharenko, L; Qian, L; Yue, J; Wang, W; McClintock, WE; Eastes, RW</t>
  </si>
  <si>
    <t>Gan, Q.; Oberheide, J.; Goncharenko, L.; Qian, L.; Yue, J.; Wang, W.; McClintock, W. E.; Eastes, R. W.</t>
  </si>
  <si>
    <t>GOLD Synoptic Observations of Quasi-6-Day Wave Modulations of Post-Sunset Equatorial Ionization Anomaly During the September 2019 Antarctic Sudden Stratospheric Warming</t>
  </si>
  <si>
    <t>atmosphere-ionosphere coupling; planetary waves; tides; equatorial ionization anomaly; pre-reversal enhancement; NASA GOLD</t>
  </si>
  <si>
    <t>IONOSPHERE; VARIABILITY; THERMOSPHERE; ATMOSPHERE</t>
  </si>
  <si>
    <t>Using observations from the Global-scale Observations of the Limb and Disk (GOLD) mission, we investigate post-sunset ionospheric responses to the September 2019 Antarctic sudden stratospheric warming -first ever from a synoptic perspective. Observations reveal a prevalent quasi-6-day periodicity in the equatorial ionization anomaly region over South America and the Atlantic, coincident with enhanced quasi-6-day wave (Q6DW) activity in the mesosphere (Liu et al., 2021, ). The atmosphere-ionosphere coupling via large-scale waves is rarely studied over the ocean due to the lack of observations. More importantly, further analyses suggest that multiple pathways are involved in transmitting the quasi-6-day periodicity from the middle atmosphere into the post-sunset F-region ionosphere, including modulation of F-region field aligned winds and pre-reversal enhancements by the tides and or Q6DW. A remarkable depletion in electron density, attributable to the overall change in thermosphere composition driven by the dissipative tides and or Q6DWs, is also seen during the period of enhanced Q6DW activity.</t>
  </si>
  <si>
    <t>[Gan, Q.; McClintock, W. E.; Eastes, R. W.] Univ Colorado Boulder, Lab Atmospher &amp; Space Phys, Boulder, CO 80309 USA; [Oberheide, J.] Clemson Univ, Dept Phys &amp; Astron, Clemson, SC USA; [Goncharenko, L.] MIT Haystack Observ, Westford, MA USA; [Qian, L.; Wang, W.] Natl Ctr Atmospher Res, High Altitude Observ, Boulder, CO USA; [Yue, J.] NASA, Goddard Space Flight Ctr, Washington, DC USA</t>
  </si>
  <si>
    <t>University of Colorado System; University of Colorado Boulder; Clemson University; Massachusetts Institute of Technology (MIT); National Center Atmospheric Research (NCAR) - USA; National Aeronautics &amp; Space Administration (NASA); NASA Goddard Space Flight Center</t>
  </si>
  <si>
    <t>Gan, Q (corresponding author), Univ Colorado Boulder, Lab Atmospher &amp; Space Phys, Boulder, CO 80309 USA.</t>
  </si>
  <si>
    <t>quan.gan@lasp.colorado.edu</t>
  </si>
  <si>
    <t>Eastes, Richard/GRS-4004-2022; Oberheide, Jens/C-6156-2011; Yue, Jia/D-8177-2011; Qian, Liying/D-9236-2013; Gan, Quan/B-5004-2012</t>
  </si>
  <si>
    <t>Oberheide, Jens/0000-0001-6721-2540; Yue, Jia/0000-0003-0577-5289; Mcclintock, William/0000-0002-8142-5398; Qian, Liying/0000-0003-2430-1388; Goncharenko, Larisa/0000-0001-9031-7439; Gan, Quan/0000-0003-3703-5453; Eastes, Richard/0000-0003-3679-9793</t>
  </si>
  <si>
    <t>NASA [80NSSC20K1353, 80NSSC22K1010, 80GSFC18C0061, 80NSSC20K0721, 80NSSC19K0262]; National Science Foundation; NSF [AGS-1952737]</t>
  </si>
  <si>
    <t>NASA(National Aeronautics &amp; Space Administration (NASA)); National Science Foundation(National Science Foundation (NSF)); NSF(National Science Foundation (NSF))</t>
  </si>
  <si>
    <t>QG and RWE would gratefully acknowledge support through NASA Contract 80GSFC18C0061. QG also acknowledges support by NASA Grant 80NSSC20K0721. LPG acknowledges support from NASA Grant 80NSSC19K0262. JO acknowledges support through NASA Grants 80NSSC20K1353 and 80NSSC22K1010. NCAR is sponsored by the National Science Foundation. MIT Haystack is supported by NSF Grant AGS-1952737.</t>
  </si>
  <si>
    <t>e2023GL103386</t>
  </si>
  <si>
    <t>10.1029/2023GL103386</t>
  </si>
  <si>
    <t>J8AU5</t>
  </si>
  <si>
    <t>WOS:001011803600001</t>
  </si>
  <si>
    <t>Shi, GT; Buffen, AM; Hu, Y; Chai, JJ; Li, YL; Wang, DH; Hastings, MG</t>
  </si>
  <si>
    <t>Shi, Guitao; Buffen, Aron M.; Hu, Ye; Chai, Jiajue; Li, Yilan; Wang, Danghe; Hastings, Meredith G.</t>
  </si>
  <si>
    <t>Modeling the Complete Nitrogen and Oxygen Isotopic Imprint of Nitrate Photolysis in Snow</t>
  </si>
  <si>
    <t>snow nitrate photolysis; isotopic fractionation; Dome A; East Antarctica; model simulation</t>
  </si>
  <si>
    <t>EAST ANTARCTIC PLATEAU; ICE-CORE; ATMOSPHERIC NITRATE; DOME C; QUANTUM YIELDS; OXIDES NO; PRESERVATION; SUMMIT; FRACTIONATION; EMISSIONS</t>
  </si>
  <si>
    <t>Snow nitrate is vulnerable to photolytic loss that causes isotopic alteration, and thus its isotopes can potentially track the extent of snow nitrate photolysis and its impacts in environments where loss is significant. Large increases in delta N-15-NO3- below the snow surface have been attributed to photolysis and this behavior is generally consistent amongst theoretical as well as lab and field studies. Oxygen isotope ratios are thought to be influenced by photolysis as well as secondary condensed-phase chemistry, but the competing effects have yet to be reconciled. Here we use a model that simulates nitrate burial, photolytic fractionation, and re-oxidation in snow to quantitatively assess these processes with the aim of developing a consistent framework for interpreting the photolytic effects of the complete nitrate isotopic composition (delta N-15, delta O-18, and Delta O-17). This study reveals that isotopic effects of nitrate photolysis and aqueous-phase re-oxidation chemistry are important sources of uncertainties in modeling delta O-18-NO3-.</t>
  </si>
  <si>
    <t>[Shi, Guitao; Hu, Ye; Li, Yilan; Wang, Danghe] East China Normal Univ, Sch Geog Sci, Key Lab Geog Informat Sci, Minist Educ, Shanghai, Peoples R China; [Shi, Guitao; Hu, Ye; Li, Yilan; Wang, Danghe] East China Normal Univ, State Key Lab Estuarine &amp; Coastal Res, Shanghai, Peoples R China; [Shi, Guitao] Minist Nat Resources, Key Lab Spatialtemporal Big Data Anal &amp; Applicat N, Shanghai, Peoples R China; [Buffen, Aron M.; Hastings, Meredith G.] Brown Univ, Dept Earth Environm &amp; Planetary Sci, Providence, RI USA; [Buffen, Aron M.; Hastings, Meredith G.] Brown Univ, Inst Brown Environm &amp; Soc, Providence, RI USA; [Chai, Jiajue] SUNY, Coll Environm Sci &amp; Forestry, Dept Chem, Syracuse, NY USA</t>
  </si>
  <si>
    <t>East China Normal University; East China Normal University; Ministry of Natural Resources of the People's Republic of China; Brown University; Brown University; State University of New York (SUNY) System; State University of New York (SUNY) College of Environmental Science &amp; Forestry; SUNY Maritime College</t>
  </si>
  <si>
    <t>Shi, GT (corresponding author), East China Normal Univ, Sch Geog Sci, Key Lab Geog Informat Sci, Minist Educ, Shanghai, Peoples R China.;Shi, GT (corresponding author), East China Normal Univ, State Key Lab Estuarine &amp; Coastal Res, Shanghai, Peoples R China.;Shi, GT (corresponding author), Minist Nat Resources, Key Lab Spatialtemporal Big Data Anal &amp; Applicat N, Shanghai, Peoples R China.</t>
  </si>
  <si>
    <t>gtshi@geo.ecnu.edu.cn</t>
  </si>
  <si>
    <t>Li, Yilan/GZK-3206-2022; Hastings, Meredith G/C-6199-2008</t>
  </si>
  <si>
    <t>Li, Yilan/0000-0003-0976-4288; Shi, Guitao/0000-0003-1702-6322</t>
  </si>
  <si>
    <t>National Science Foundation of China [42276243, 41922046]; National Science Foundation [1246223]; Program of Shanghai Academic/Technology Research Leader [20XD1421600]</t>
  </si>
  <si>
    <t>National Science Foundation of China(National Natural Science Foundation of China (NSFC)); National Science Foundation(National Science Foundation (NSF)); Program of Shanghai Academic/Technology Research Leader</t>
  </si>
  <si>
    <t>Acknowledgments This work was supported by the National Science Foundation of China (Grant 42276243 and 41922046 to GS), National Science Foundation (Grant 1246223 to MGH and AB), and the Program of Shanghai Academic/Technology Research Leader (Grant 20XD1421600 to GS). The authors are grateful to CHINARE members for technical support and assistance. In addition, the authors thank the two anonymous reviewers for their feedback and helpful suggestions.</t>
  </si>
  <si>
    <t>e2023GL103778</t>
  </si>
  <si>
    <t>10.1029/2023GL103778</t>
  </si>
  <si>
    <t>J4RY4</t>
  </si>
  <si>
    <t>WOS:001009512800001</t>
  </si>
  <si>
    <t>Gwyther, DE; Dow, CF; Jendersie, S; Gourmelen, N; Galton-Fenzi, BK</t>
  </si>
  <si>
    <t>Gwyther, David E.; Dow, Christine F.; Jendersie, Stefan; Gourmelen, Noel; Galton-Fenzi, Benjamin K.</t>
  </si>
  <si>
    <t>Subglacial Freshwater Drainage Increases Simulated Basal Melt of the Totten Ice Shelf</t>
  </si>
  <si>
    <t>basal melting; subglacial discharge; Totten ice shelf; Antarctica; ice shelves; sea level rise</t>
  </si>
  <si>
    <t>TIDEWATER GLACIER; SUBMARINE MELT; OCEAN; ANTARCTICA; MODEL; DISCHARGE; SURFACE; BENEATH; SYSTEM; VARIABILITY</t>
  </si>
  <si>
    <t>Subglacial freshwater discharge from beneath Antarctic glaciers likely has a strong impact on ice shelf basal melting. However, the difficulty in directly observing subglacial flow highlights the importance of modeling these processes. We use an ocean model of the Totten Ice Shelf cavity into which we inject subglacial discharge derived from a hydrology model applied to Aurora Subglacial Basin. Our results show (a) discharge increases melting in the vicinity of the outflow region, which correlates with features observed in surface elevation maps and satellite-derived melt maps, with implications for ice shelf stability; (b) the change in melting is driven by the formation of a buoyant plume rather than the addition of heat; and (c) the buoyant plume originating from subglacial discharge-driven melting is far-reaching. Basal melting induced by subglacial hydrology is thus important for ice shelf stability, but is absent from almost all ice-ocean models.</t>
  </si>
  <si>
    <t>[Gwyther, David E.] Univ Queensland, Sch Earth &amp; Environm Sci, St Lucia, Qld, Australia; [Dow, Christine F.] Univ Waterloo, Dept Geog &amp; Environm Management, Waterloo, ON, Canada; [Jendersie, Stefan] Victoria Univ Wellington, Antarctic Res Ctr, Wellington, New Zealand; [Gourmelen, Noel] Univ Edinburgh, Sch Geosci, Edinburgh, Scotland; [Galton-Fenzi, Benjamin K.] Australian Antarctic Div, Kingston, Tas, Australia; [Galton-Fenzi, Benjamin K.] Univ Tasmania, Inst Marine &amp; Antarctic Studies, Australian Antarctic Program Partnership, Hobart, Tas, Australia</t>
  </si>
  <si>
    <t>University of Queensland; University of Waterloo; Victoria University Wellington; University of Edinburgh; Australian Antarctic Division; University of Tasmania</t>
  </si>
  <si>
    <t>Gwyther, DE (corresponding author), Univ Queensland, Sch Earth &amp; Environm Sci, St Lucia, Qld, Australia.</t>
  </si>
  <si>
    <t>david.gwyther@gmail.com</t>
  </si>
  <si>
    <t>Gwyther, David/O-4880-2017</t>
  </si>
  <si>
    <t>Gwyther, David/0000-0002-7218-2785; Jendersie, Stefan/0000-0002-8658-3184; Dow, Christine/0000-0003-1346-2258; Galton-Fenzi, Benjamin Keith/0000-0003-1404-4103</t>
  </si>
  <si>
    <t>Natural Sciences and Engineering Research Council of Canada (NSERC) [RGPIN-03761-2017]; Natural Sciences and Engineering Research Council of Canada (NSERC) [RGPIN-03761-2017]; Canada Research Chairs Program [950-231237]; European Space Agency Polar+Ice Shelves [4000132186/20/I-EF]; Australian Government as part of the Antarctic Science Collaboration Initiative programme [ASCI000002]</t>
  </si>
  <si>
    <t>Natural Sciences and Engineering Research Council of Canada (NSERC)(Natural Sciences and Engineering Research Council of Canada (NSERC)); Natural Sciences and Engineering Research Council of Canada (NSERC)(Natural Sciences and Engineering Research Council of Canada (NSERC)); Canada Research Chairs Program(Canada Research Chairs); European Space Agency Polar+Ice Shelves(European Space Agency); Australian Government as part of the Antarctic Science Collaboration Initiative programme(Australian Government)</t>
  </si>
  <si>
    <t>We thank Kate Hedstrom and John Wilkin for model configuration advice; Keith Nicholls for illuminating discussions on the thermal impact of subglacial discharge; and, Xylar Asay-Davis and two anonymous reviewers for comments that improved this manuscript. There are no real or perceived financial conflicts of interests for any author. Maps produced with AMT (Greene, Gwyther, &amp; Blankenship, 2017) and CDT (Greene et al., 2019). CD was supported by the Natural Sciences and Engineering Research Council of Canada (NSERC; RGPIN-03761-2017) and the Canada Research Chairs Program (950-231237). NG was supported via the European Space Agency Polar+Ice Shelves project 4000132186/20/I-EF. BG-F received support from the Australian Government as part of the Antarctic Science Collaboration Initiative programme (Project ASCI000002). This research was undertaken with assistance from the National Computational Infrastructure. Open access publishing facilitated by The University of Queensland, as part of the Wiley - The University of Queensland agreement via the Council of Australian University Librarians.</t>
  </si>
  <si>
    <t>e2023GL103765</t>
  </si>
  <si>
    <t>10.1029/2023GL103765</t>
  </si>
  <si>
    <t>J3XZ5</t>
  </si>
  <si>
    <t>WOS:001008989800001</t>
  </si>
  <si>
    <t>Chen, A; Xie, ZQ; Zhan, HC; Jiang, B; Zhang, AX; Liu, HW; Hu, CG; Wu, XD; Yue, FE; Xu, L</t>
  </si>
  <si>
    <t>Chen, Afeng; Xie, Zhouqing; Zhan, Haicong; Jiang, Bei; Zhang, Aoxing; Liu, Hongwei; Hu, Chengge; Wu, Xudong; Yue, Fange; Xu, Li</t>
  </si>
  <si>
    <t>Long-Term Observations of Levoglucosan in Arctic Aerosols Reveal Its Biomass Burning Source and Implication on Radiative Forcing</t>
  </si>
  <si>
    <t>Arctic; biomass burning; levoglucosan; North Atlantic Oscillation (NAO); radiative forcing</t>
  </si>
  <si>
    <t>SECONDARY ORGANIC AEROSOLS; NORTH-ATLANTIC OSCILLATION; LIGHT-ABSORBING IMPURITIES; BLACK CARBON; CHEMICAL-CHARACTERIZATION; PARTICLE EMISSIONS; SUGAR COMPOUNDS; COMBUSTION; SNOW; TRANSPORT</t>
  </si>
  <si>
    <t>Biomass burning (BB) has a significant influence on the Arctic environment. Here, we determined the atmospheric levels of BB-specific tracer compounds such as levoglucosan (Lev), galactosan (Gan), and mannosan (Man) in Arctic aerosols during 2010-2018. The average concentrations of Lev during the study period ranged between 0.43 and 4.15 ng m(-3). Both Lev/Man (0-30) and Man/Gan (0-3) ratios further suggested their origin from softwood/hardwood burning. The North Atlantic Oscillation (NAO) was the main driver of the Lev variability during the study period and Lev could be advected to Arctic air during the NAO was in a positive phase. Based upon the levels of Lev, black carbon (BC) generated from BB was estimated, and the corresponding radiative forcing was then calculated by Santa Barbara DISORT Atmospheric Radiative Transfer. BC has a potential warming effect in the atmosphere (+4.28 W/m(2)) while shows a cooling effect on the surface, which is equivalent to a large volcanic eruption (-3 W/m(2)). Since climate change is expected to intensify BB around the Arctic, such BC aerosols should be considered in future climate model projections.</t>
  </si>
  <si>
    <t>[Chen, Afeng; Xie, Zhouqing; Zhan, Haicong; Jiang, Bei; Liu, Hongwei; Hu, Chengge; Wu, Xudong; Yue, Fange; Xu, Li] Univ Sci &amp; Technol China, Inst Polar Environm, Hefei, Peoples R China; [Chen, Afeng; Xie, Zhouqing; Zhan, Haicong; Jiang, Bei; Liu, Hongwei; Hu, Chengge; Wu, Xudong; Yue, Fange; Xu, Li] Univ Sci &amp; Technol China, Dept Environm Sci &amp; Engn, Anhui Key Lab Polar Environm &amp; Global Change, Hefei, Peoples R China; [Zhang, Aoxing] Southern Univ Sci &amp; Technol, Sch Environm Sci &amp; Engn, Shenzhen, Peoples R China</t>
  </si>
  <si>
    <t>Chinese Academy of Sciences; University of Science &amp; Technology of China, CAS; Chinese Academy of Sciences; University of Science &amp; Technology of China, CAS; Southern University of Science &amp; Technology</t>
  </si>
  <si>
    <t>Xie, ZQ (corresponding author), Univ Sci &amp; Technol China, Inst Polar Environm, Hefei, Peoples R China.;Xie, ZQ (corresponding author), Univ Sci &amp; Technol China, Dept Environm Sci &amp; Engn, Anhui Key Lab Polar Environm &amp; Global Change, Hefei, Peoples R China.</t>
  </si>
  <si>
    <t>zqxie@ustc.edu.cn</t>
  </si>
  <si>
    <t>wu, xudong/KGL-1857-2024</t>
  </si>
  <si>
    <t>, JIANG/0000-0001-5223-6742</t>
  </si>
  <si>
    <t>National Natural Science Foundation of China [41941014, 41930532]; Ministry of Natural Resources of the People's Republic of China [IRASCC2020-2022-No. 01-01-02E]</t>
  </si>
  <si>
    <t>National Natural Science Foundation of China(National Natural Science Foundation of China (NSFC)); Ministry of Natural Resources of the People's Republic of China</t>
  </si>
  <si>
    <t>This work was supported by the National Natural Science Foundation of China (Grants 41941014, 41930532) and Ministry of Natural Resources of the People's Republic of China (IRASCC2020-2022-No. 01-01-02E). We thank the China Arctic and Antarctic Administration for fieldwork support, and we also thank Zheng Li, Juan Yu, Shidong Fan, and Pengzhen He for sampling during the field campaign.</t>
  </si>
  <si>
    <t>JUN 27</t>
  </si>
  <si>
    <t>e2022JD037597</t>
  </si>
  <si>
    <t>10.1029/2022JD037597</t>
  </si>
  <si>
    <t>L4BR6</t>
  </si>
  <si>
    <t>WOS:001022733300001</t>
  </si>
  <si>
    <t>Gerber, F; Sharma, V; Lehning, M</t>
  </si>
  <si>
    <t>Gerber, Franziska; Sharma, Varun; Lehning, Michael</t>
  </si>
  <si>
    <t>CRYOWRF-Model Evaluation and the Effect of Blowing Snow on the Antarctic Surface Mass Balance</t>
  </si>
  <si>
    <t>EAST ANTARCTICA; CLIMATE MODELS; ADELIE LAND; PRECIPITATION; MICROPHYSICS; SUBLIMATION; CLOUD; PERFORMANCE; TRANSPORT; WEATHER</t>
  </si>
  <si>
    <t>The surface mass balance (SMB) of large polar ice sheets and of snow and ice surfaces in general are incompletely understood because of the complexity of processes involved. One such process, drifting and blowing snow, has only been considered in a very simplified way in current meteorological and climatological models. To address this problem, the CRYOWRF model has been developed, a coupled model between the meteorological Weather Research and Forecasting model (WRF) and the snow model SNOWPACK, augmented by a detailed treatment of drifting and blowing snow. Applying CRYOWRF to the SMB of Antarctica, we find that the model reproduces measurements of SMB with similar errors than current models. Drifting and blowing snow and its sublimation play a particularly important role, especially in regions of strong katabatic winds. The CRYOWRF simulations are also in line with satellite estimates of blowing snow frequency. There is a need to further consolidate results by simulations with a higher grid resolution and by including more measurements of SMB contributions from snow fall to transport and sublimation. Plain Language Summary Assessing current and predicting future sea level rise in connection with the general fate of our snow and ice masses on Earth requires understanding snow precipitation in extreme environments and the dynamics of snow on the surface. Over large parts of Antarctica, drifting and blowing snow and sublimation, which is the phase change of ice back to atmospheric vapor, are the only surface ablation processes and need therefore to be well quantified. With a new model, that shows similar performance to other models, we find that drifting and blowing snow and its sublimation play an important role for the snow mass balance especially in regions with strong winds. This has consequences not only for the snow mass balance alone but for the whole ice sheet dynamics as well as for estimating precipitation in these extreme environments.</t>
  </si>
  <si>
    <t>[Gerber, Franziska; Sharma, Varun; Lehning, Michael] WSL Inst Snow &amp; Avalanche Res SLF, Davos, Switzerland; [Gerber, Franziska; Sharma, Varun; Lehning, Michael] Ecole Polytech Fed Lausanne, Sch Architecture &amp; Civil Engn, Lab Cryospher Sci, Lausanne, Switzerland; [Sharma, Varun] Sunwell Sarl, Lausanne, Switzerland</t>
  </si>
  <si>
    <t>Swiss Federal Institutes of Technology Domain; Swiss Federal Institute for Forest, Snow &amp; Landscape Research; Swiss Federal Institutes of Technology Domain; Ecole Polytechnique Federale de Lausanne</t>
  </si>
  <si>
    <t>Gerber, F (corresponding author), WSL Inst Snow &amp; Avalanche Res SLF, Davos, Switzerland.;Gerber, F (corresponding author), Ecole Polytech Fed Lausanne, Sch Architecture &amp; Civil Engn, Lab Cryospher Sci, Lausanne, Switzerland.</t>
  </si>
  <si>
    <t>franziska.gerber@slf.ch</t>
  </si>
  <si>
    <t>Gerber, Franziska/AAD-6765-2019</t>
  </si>
  <si>
    <t>Gerber, Franziska/0000-0002-1783-5093</t>
  </si>
  <si>
    <t>ENAC big call grant of EPFL (project LOSUMEA); Swiss National Science Foundation (SNF); Swiss National Science Foundation (SNF) [ANT-1924730]; Automatic Weather Station Program AMRC (NSF ); ETH-Bereich Forschungsanstalten; [179130]; [ANT-0944018]</t>
  </si>
  <si>
    <t>ENAC big call grant of EPFL (project LOSUMEA); Swiss National Science Foundation (SNF)(Swiss National Science Foundation (SNSF)); Swiss National Science Foundation (SNF)(Swiss National Science Foundation (SNSF)); Automatic Weather Station Program AMRC (NSF ); ETH-Bereich Forschungsanstalten; ;</t>
  </si>
  <si>
    <t>Y Acknowledgments For supporting us with computing resources by granting the projects s873, s938, and s1115 we thank the Swiss National Supercomputer Center (CSCS). Science was mainly funded by the ENAC big call grant of EPFL (project LOSUMEA) and the Swiss National Science Foundation (SNF) project From cloud to ground: Snow deposition in extreme environments (Grant: 179130). We thank our project partners in LOSUMEA, Prof. Alexis Berne and Dr. Etienne Vignon for many fruitful discussions. For providing us with the IMAU-FDM data, which was used to initialize CRYOWRF, we thank Dr. Peter Munneke of the Institute of Marine and Atmosphere research (IMAU), Utrecht University. Furthermore, we are grateful to the Free and Open-source software community. The python packages wrf-python, xarray, pandas, matplotlib have greatly supported our data analysis. AWS data were obtained from different data platforms. Hence, we would like to thank the Antarctic Meteo-Climatological Observatory at MZS and Victoria Land of PNRA, . Data for the AWS station D-17 and D-47 was kindly provided by Dr. Charles Amory. For the station South Pole we use measurement data provided by the National Oceanic and Atmospheric Administration (NOAA) Global Monitoring Laboratory. Furthermore, the authors appreciate the support of the Automatic Weather Station Program AMRC (Prof. Matthew Lazzara, NSF grants number ANT-0944018 and ANT-1924730). We kindly thank the IMAU and in particular Dr. C. J. P. P. Smeets for preparing and providing the data of several weather stations of their network. The station data of the Syowa station was retrieved from the online database by the Japanese Antarctic Research expedition (JARE) at the Japanese Antarctic stations from 1957 to 2018, whom we thank for keeping the data open access at . For AWS data of multiple stations we thank the Australian Antarctic Data Centre, the AAD and the Bureau of Meteorology, Australia. We kindly thank the AWI for providing AWS data of the Neumayer station on the PANGAEA data publisher for Earth &amp; Environmental Science platform. Furthermore, we would like to acknowledge KU Leuven, and Prof. Nicole van Lipzig and Dr. Alexandra Gossart in particular, for providing us with AWS data of Princess Elisabeth station. Finally, we would like to thank the British Antarctic Survey (BAS) for collecting AWS data from different sources and making it openly available and all the individual data providers contributing to the database. Furthermore, we would like to thank C. Agosta for making the SMB data, model output and code used in Agosta et~al.~(2019) publicly available. Finally, we thank Aaron Kennedy and two anonymous reviewers for their constructive comments which helped us to improve the paper. Open access funding provided by ETH-Bereich Forschungsanstalten.</t>
  </si>
  <si>
    <t>e2022JD037744</t>
  </si>
  <si>
    <t>10.1029/2022JD037744</t>
  </si>
  <si>
    <t>L4BX4</t>
  </si>
  <si>
    <t>WOS:001022739100001</t>
  </si>
  <si>
    <t>Ghosh, S; Toyoda, S; Buizert, C; Etheridge, DM; Langenfelds, RL; Yoshida, N; Kim, SJ; Ahn, J</t>
  </si>
  <si>
    <t>Ghosh, Sambit; Toyoda, Sakae; Buizert, Christo; Etheridge, David M.; Langenfelds, Ray L.; Yoshida, Naohiro; Kim, Seong-Joong; Ahn, Jinho</t>
  </si>
  <si>
    <t>Concentration and Isotopic Composition of Atmospheric N2O Over the Last Century</t>
  </si>
  <si>
    <t>nitrous oxide; site-specific N-15 isotopomer; nitrification and denitrification processes; anthropogenic emission; greenhouse gas</t>
  </si>
  <si>
    <t>NITROUS-OXIDE; FIRN AIR; SEASONAL CYCLES; POLAR FIRN; GAS CONCENTRATIONS; LAW DOME; ICE; EMISSIONS; PREINDUSTRIAL; CONSTRAINTS</t>
  </si>
  <si>
    <t>Temporal changes in the magnitude and geographic distribution of different sources of nitrous oxide (N2O) are not well constrained. To better understand the dynamics of N2O in the atmosphere over the last century, we have reconstructed the mole fraction, delta N-15(bulk), delta O-18, and delta N-15(SP) values of N2O from ice cores, firn air archives, and modern atmospheric samples. We have provided new firn air records from the Styx Glacier, Antarctica, and the North Greenland Eemian Ice drilling Project, and updated the firn air transport modeling of the published records. The composite reconstruction shows that the N2O growth rates were 0.26 +/- 0.05, 0.15 +/- 0.05 and 0.75 +/- 0.01 ppb yr(-1) during 1850-1930 (P1), 1931-1965 (P2) and 1966-2021 CE (P3), respectively. The temporal slope found in a linear least squares fit in delta N-15(bulk) and delta O-18 were -0.010 +/- 0.025 and -0.004 +/- 0.031 parts per thousand yr(-1), -0.014 +/- 0.013 and -0.009 +/- 0.017 parts per thousand yr(-1), and -0.040 +/- 0.013 and -0.022 +/- 0.005% yr(-1) during P1, P2 and P3 phases, respectively. Overall, a significant long-term trend was not observed in delta N-15(SP) data. Two-box model calculations using N2O mole fraction suggest that the total N2O flux (F-T) at 2015 CE was 17.5 +/- 1.1 TgN yr(-1), where flux from the natural (FN) and anthropogenic (FA) sources were similar to 60% and 40% of F-T, respectively, and the contribution of F-A was similar to 30% of F-T at 1900 CE. Estimated FA and delta N-15(bulk) of atmospheric N2O suggest that the anthropogenic emissions from continental regions were 12%, 25% and 76% of F-A during P1, P2 and P3 phases, respectively. Plain Language Summary Our composite data suggest a three-phased growth of N2O mole fraction in the atmosphere over the last century, where the growth rate was significantly higher after 1965 CE. delta N-15(bulk) and delta O-18 values of N2O show a decreasing trend during the last century, whereas a significant trend in delta N-15(SP) values has not been observed. The increasing growth rate and simultaneous lowering trend in isotope values suggest that contribution from anthropogenic sources has been increasing over the last century. The two-box model estimation also confirms that the continental region has been the hot spot of anthropogenic emissions over the last four decades. Invariant delta N-15(SP) values suggest that the global balance between nitrification and denitrification process driven N2O emission has not been significantly altered by anthropogenic impacts.</t>
  </si>
  <si>
    <t>[Ghosh, Sambit; Ahn, Jinho] Seoul Natl Univ, Sch Earth &amp; Environm Sci, Seoul, South Korea; [Ghosh, Sambit] Univ Alaska Fairbanks, Inst Arctic Biol, Fairbanks, AK USA; [Ghosh, Sambit] Univ Alaska Fairbanks, Alaska Stable Isotope Facil, Fairbanks, AK USA; [Toyoda, Sakae; Yoshida, Naohiro] Tokyo Inst Technol, Sch Mat &amp; Chem Technol, Dept Chem Sci &amp; Engn, Yokohama, Japan; [Buizert, Christo] Oregon State Univ, Coll Earth Ocean &amp; Atmospher Sci, Corvallis, OR USA; [Etheridge, David M.; Langenfelds, Ray L.] CSIRO Environment, Climate Atmosphere &amp; Ocean Interact, Aspendale, Vic, Australia; [Etheridge, David M.] Univ Tasmania, Australian Antarctic Program Partnership, Inst Marine &amp; Antarctic Studies, Hobart, Tas, Australia; [Yoshida, Naohiro] Tokyo Inst Technol, Earth Life Sci Inst, Tokyo, Japan; [Kim, Seong-Joong] Korea Polar Res Inst, Incheon, South Korea; [Ahn, Jinho] Seoul Natl Univ, Ctr Cryospher Sci, Shihung, South Korea</t>
  </si>
  <si>
    <t>Seoul National University (SNU); University of Alaska System; University of Alaska Fairbanks; University of Alaska System; University of Alaska Fairbanks; Tokyo Institute of Technology; Oregon State University; University of Tasmania; Tokyo Institute of Technology; Korea Polar Research Institute (KOPRI); Seoul National University (SNU)</t>
  </si>
  <si>
    <t>Ahn, J (corresponding author), Seoul Natl Univ, Sch Earth &amp; Environm Sci, Seoul, South Korea.</t>
  </si>
  <si>
    <t>jinhoahn@gmail.com</t>
  </si>
  <si>
    <t>Yoshida, Naohiro/AAE-6577-2022; Toyoda, Sakae/J-7151-2013; Langenfelds, Ray/B-5381-2012; Yoshida, Naohiro/A-8335-2010</t>
  </si>
  <si>
    <t>Yoshida, Naohiro/0000-0002-7867-8490; Toyoda, Sakae/0000-0003-1624-5910; Langenfelds, Ray/0000-0003-4890-2049; Ghosh, Sambit/0000-0002-6945-8285; Etheridge, David/0000-0001-7970-2002; Yoshida, Naohiro/0000-0003-0454-3849; Kim, Seong-joong/0000-0002-6232-8082</t>
  </si>
  <si>
    <t>Belgium (FNRS-CFB); Belgium (FWO); Canada (NRCan/GSC); China (CAS); Denmark (FIST); France (IPEV); France (CNRS/INSU); France (CEA); France (ANR); Germany (AWI); Iceland (RannIs); Japan (NIPR); Korea (KOPRI); Netherlands (NWO/ALW); Sweden (VR); Switzerland (SNF); United Kingdom (NERC); USA (US NSF, Office of Polar Programs); Science Research Program of the National Research Foundation of Korea (NRF) [NRF-2018R1A2B3003256]</t>
  </si>
  <si>
    <t>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Netherlands (NWO/ALW)(Netherlands Organization for Scientific Research (NWO)Netherlands Government); Sweden (VR)(Swedish Research Council); Switzerland (SNF); United Kingdom (NERC)(UK Research &amp; Innovation (UKRI)Natural Environment Research Council (NERC)); USA (US NSF, Office of Polar Programs); Science Research Program of the National Research Foundation of Korea (NRF)</t>
  </si>
  <si>
    <t>We thank Sangbum Hong, Soon Do Hur, Yeongcheol Han, and Seong Joon Jun at the Korea Polar Research Institute (KOPRI) for their assistance during sampling at the Styx Glacier, Antarctica. We also thank Youngjun Jang and Hun-Gyu Lee at Seoul National University, and Pieter Tans and Ed Dlugokencky at NOAA for their chemical analyses. We appreciate the NEEM project team for providing firn air samples. NEEM is directed and organized by the Center of Ice and Climate at the Niels Bohr Institute and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Office of Polar Programs). We specifically thank the teams of the firn sampling campaigns in 2008 and 2009. Financial support was provided by the Basic Science Research Program of the National Research Foundation of Korea (NRF) (NRF-2018R1A2B3003256). SG thanks O'Brien laboratory writing group for providing the initial feedback.</t>
  </si>
  <si>
    <t>e2022JD038281</t>
  </si>
  <si>
    <t>10.1029/2022JD038281</t>
  </si>
  <si>
    <t>L4BQ7</t>
  </si>
  <si>
    <t>WOS:001022732400001</t>
  </si>
  <si>
    <t>Harvey, VL; Randall, CE; Goncharenko, LP; Becker, E; Forbes, JM; Carstens, J; Xu, S; France, JA; Zhang, SR; Bailey, SM</t>
  </si>
  <si>
    <t>Harvey, V. L.; Randall, C. E.; Goncharenko, L. P.; Becker, E.; Forbes, J. M.; Carstens, J.; Xu, S.; France, J. A.; Zhang, S. -R.; Bailey, S. M.</t>
  </si>
  <si>
    <t>CIPS Observations of Gravity Wave Activity at the Edge of the Polar Vortices and Coupling to the Ionosphere</t>
  </si>
  <si>
    <t>polar vortex; gravity wave; AIM CIPS; AIRS; stratosphere; mesosphere</t>
  </si>
  <si>
    <t>PARTICLE-SIZE EXPERIMENT; MIDDLE-ATMOSPHERE; SATELLITE-OBSERVATIONS; GENERAL-CIRCULATION; LIDAR OBSERVATIONS; RAYLEIGH LIDAR; MOUNTAIN WAVES; MOMENTUM FLUX; STRATOSPHERE; VORTEX</t>
  </si>
  <si>
    <t>A new Cloud Imaging and Particle Size (CIPS) gravity wave (GW) variance data set is available that facilitates automated analysis of GWs entering the mesosphere. This work examines several years of CIPS GW variances from 50 to 55 km in the context of the Arctic and Antarctic polar vortices. CIPS observes highest GW activity in the vortex edge region where horizontal wind speeds are largest, consistent with previously published GW climatologies in the stratosphere and mesosphere. CIPS observes the well-documented planetary wave (PW)-1 patterns in GW activity in both hemispheres. In the Northern Hemisphere, maximum GW activity occurs over the North Atlantic and western Europe. In the Southern Hemisphere, maximum GW activity stretches from the Andes over the South Atlantic and Indian Oceans, as expected. In the NH, CIPS GW spatial patterns are highly correlated with horizontal wind speed. In the SH, CIPS GW patterns are less positively correlated with the winds due to increased zonal symmetry and orographic forcing. The Andes Mountains and Antarctic Peninsula, South Georgia Island, Kerguelen/Heard Islands, New Zealand, and Tasmania are persistent sources of orographic GWs. Atmospheric Infrared sounder observations of stratospheric GWs are analyzed alongside CIPS to explore vertical GW coherence and to infer GW propagation and sources. NH midlatitude GW activity is reduced during the January 2021 SSW, as expected. This reduction in GWs leads to a simultaneous reduction in traveling ionospheric disturbances (TIDs), providing more evidence that weak polar vortex events with weak GW activity leads to reduced daytime TID activity.</t>
  </si>
  <si>
    <t>[Harvey, V. L.; Randall, C. E.] Univ Colorado, Lab Atmospher &amp; Space Phys, Boulder, CO 80309 USA; [Goncharenko, L. P.; Zhang, S. -R.] MIT, Haystack Observ, Westford, MA USA; [Becker, E.] NorthWest Res Associates, Boulder, CO USA; [Forbes, J. M.] Univ Colorado, Smead Aerosp Engn Sci, Boulder, CO USA; [Carstens, J.; Bailey, S. M.] Virginia Tech, Blacksburg, VA USA; [Xu, S.] Hampton Univ, Hampton, VA USA; [France, J. A.] White Ridge Solut, Frederick, MD USA</t>
  </si>
  <si>
    <t>University of Colorado System; University of Colorado Boulder; Massachusetts Institute of Technology (MIT); NorthWest Research Associates; University of Colorado System; University of Colorado Boulder; Virginia Polytechnic Institute &amp; State University; Hampton University</t>
  </si>
  <si>
    <t>Harvey, VL (corresponding author), Univ Colorado, Lab Atmospher &amp; Space Phys, Boulder, CO 80309 USA.</t>
  </si>
  <si>
    <t>lynn.Harvey@lasp.colorado.edu</t>
  </si>
  <si>
    <t>France, Jeffrey A/N-4507-2018; RANDALL, CORA/L-8760-2014; HARVEY, V LYNN/M-3995-2017; Zhang, Shun-Rong/G-7593-2015</t>
  </si>
  <si>
    <t>France, Jeffrey A/0000-0003-2446-0303; Goncharenko, Larisa/0000-0001-9031-7439; Becker, Erich/0000-0001-7883-3254; RANDALL, CORA/0000-0002-4313-4397; FORBES, JEFFREY/0000-0001-6937-0796; HARVEY, V LYNN/0000-0002-7928-0804; Bailey, Scott/0000-0001-7693-0966; Xu, Shuang/0000-0002-1221-5338; Zhang, Shun-Rong/0000-0002-1946-3166</t>
  </si>
  <si>
    <t>NASA Heliophysics Supporting Research Grant [80NSSC19K0834, 80NSSC19K0262, 80NSSC22K0017]; NASA Heliophysics Guest Investigator Grant [80NSSC18K0775]; NASA [80NSSC20K0628]; NSF [AGS-1651394, AGS-1834222]; NASA Small Explorer program; GNSS TEC data processing and CEDAR Madrigal; MIT Haystack Observatory; NSF geospace facility [AGS-1952737]</t>
  </si>
  <si>
    <t>NASA Heliophysics Supporting Research Grant; NASA Heliophysics Guest Investigator Grant; NASA(National Aeronautics &amp; Space Administration (NASA)); NSF(National Science Foundation (NSF)); NASA Small Explorer program; GNSS TEC data processing and CEDAR Madrigal; MIT Haystack Observatory; NSF geospace facility</t>
  </si>
  <si>
    <t>&amp; nbsp;VLH acknowledges support from NASA Heliophysics Supporting Research Grant 80NSSC18K1046 and NASA Living With a Star Grant 80NSSC23K0848. VLH, LPG, and EB acknowledge NASA Heliophysics Supporting Research Grant 80NSSC19K0834. VLH and LPG acknowledge NASA Heliophysics Guest Investigator Grant 80NSSC19K0262 and NASA GOLD/ICON Guest Investigator Grant 80NSSC22K0017. JMF and CER acknowledge NASA Heliophysics Guest Investigator Grant 80NSSC18K0775. SRZ acknowledges support from NASA Grant 80NSSC21K1310 and NSF Grant AGS-2149698. SX acknowledges NASA Grant 80NSSC20K0628, NSF Grants AGS-1651394 and AGS-1834222. AIM is funded by the NASA Small Explorer program. GNSS TEC data processing and CEDAR Madrigal open-access database are provided by the MIT Haystack Observatory under support from NSF geospace facility Grant AGS-1952737.</t>
  </si>
  <si>
    <t>e2023JD038827</t>
  </si>
  <si>
    <t>10.1029/2023JD038827</t>
  </si>
  <si>
    <t>L4BW9</t>
  </si>
  <si>
    <t>WOS:001022738600001</t>
  </si>
  <si>
    <t>Mah, CL</t>
  </si>
  <si>
    <t>Mah, Christopher L.</t>
  </si>
  <si>
    <t>New Genera, Species, and observations on the biology of Antarctic Valvatida (Asteroidea)</t>
  </si>
  <si>
    <t>Asterinidae; Solasteridae; Goniasteridae; Asteroidea; brooding; Antarctic; new species; Bathyal zone; deep-sea; feeding</t>
  </si>
  <si>
    <t>SEA STAR; HIPPASTERINAE GONIASTERIDAE; FORCIPULATACEA ASTEROIDEA; EVOLUTIONARY HISTORY; MOLECULAR PHYLOGENY; OCCURRENCE RECORDS; SOUTHERN-OCEAN; NORTH PACIFIC; ECHINODERMATA; ATLANTIC</t>
  </si>
  <si>
    <t>Assessment of Antarctic taxonomic diversity for asteroids and other taxa for poorly studied or unknown regions, such as the deep-sea, will be important for our understanding of these understudied habitats. Eleven new species and a new genus are described from three families (Asterinidae, Goniasteridae, Solasteridae) within the Valvatida, nearly all of which were collected from deep-sea settings below 1000 m by the US Antarctic Research Program in the 1960s. A new subfamily, the Kampylasterinae subfam. nov. is designated for Kampylaster and Astrotholus nov. gen. which were supported as sister taxa on a monophyletic clade within the Asterinidae. Astrotholus nov. gen. is described to accommodate Anseropoda antarctica and four new bathyal and abyssal species, which are a significant morphological divergence from the typological definition of Anseropoda. New species of the goniasterid Notioceramus and the solasterid Paralophaster are also described from bathyal depths (2000-3000 m). Paralophaster ferax n. sp. is among the deepest asteroids known to brood, is the first brooding species within Paralophaster and the second species in the Solasteridae known to brood. Following examination of the type and molecular data, Lophaster densus is found to be included within Paralophaster. A review of Antarctic Lophaster species shows additional specimens of Lophaster abbreviatus which support it as a distinct species from Lophaster stellans. New occurrence data for bathyal Antarctic Asteroidea as well as unusual-gut content observations of shallower-water species are also included.</t>
  </si>
  <si>
    <t>[Mah, Christopher L.] Smithsonian Inst, Dept Invertebrate Zool, NMNH, NHB 163, Washington, DC 20560 USA</t>
  </si>
  <si>
    <t>Smithsonian Institution; Smithsonian National Museum of Natural History</t>
  </si>
  <si>
    <t>Mah, CL (corresponding author), Smithsonian Inst, Dept Invertebrate Zool, NMNH, NHB 163, Washington, DC 20560 USA.</t>
  </si>
  <si>
    <t>brisinga@gmail.com</t>
  </si>
  <si>
    <t>Mah, Christopher/0000-0002-0178-8237</t>
  </si>
  <si>
    <t>Western Australian Museum Foundation</t>
  </si>
  <si>
    <t>I am grateful to the many individuals who assisted with this contribution. Dr. Loic Villier, Sorbonne University and Dr. Daniel Blake, Emeritus, University of Illinois at Urbana-Champaign once again provided their excellent editorial skills for the review of this manuscript. Dr. Andreas Kroh, Naturhistorisches Museum Wien and Zootaxa editor is especially thanked for editing the author's numerous shortcomings. Amanda Robinson, curatorial assistant in the Department of Invertebrate Zoology, NMNH provided much needed collections support. Kate Neill and the collections staff at NIWA are graciously thanked for their efforts repatriating the R/V Eltanin materials to the NMNH which enabled this research. Jon Ablett and Lauren Hughes at the Natural History Museum in London provided much imagery of the holotype of Anseropoda antarctica . Hugh Carter at the NHM and Katrin Linse, British Antarctic Survey, who assisted with specimen curation. I am grateful to Joanna Loacker and Christine Piotrowski for assistance with Antarctic specimens in the collections at the California Academy of Sciences. Zoe Richards and Oliver Gomez, Western Australian Museum are graciously thanked for their assistance during my visit. I am grateful to the Western Australian Museum Foundation who provided funding for my visit to the Western Australian Museum. Melanie Mackenzie and Tim O'Hara provided curatorial support and funding for a visit to Museum Victoria resulting in inclusion of specimens cited herein. Specimens included herein were collected by the R/V Investigator's 2018 voyage to Tasmania's southern seamounts (voyage number IN2018 V06) . Acknowledgements to CSIRO, Marine National Facility, the National Environmental Science Program Marine Biodiversity Hub, Australian Museum, Museums Victoria, Tasmanian Museum and Art Gallery, NIWA (NZ) , and authorities from Parks Australia.</t>
  </si>
  <si>
    <t>10.11646/zootaxa.5310.1.1</t>
  </si>
  <si>
    <t>N5GT7</t>
  </si>
  <si>
    <t>WOS:001037301700001</t>
  </si>
  <si>
    <t>Deregibus, D; Campana, GL; Neder, C; Barnes, DKA; Zacher, K; Piscicelli, JM; Jerosch, K; Quartino, ML</t>
  </si>
  <si>
    <t>Deregibus, Dolores; Campana, Gabriela L.; Neder, Camila; Barnes, David K. A.; Zacher, Katharina; Piscicelli, Juan Manuel; Jerosch, Kerstin; Quartino, Maria Liliana</t>
  </si>
  <si>
    <t>Potential macroalgal expansion and blue carbon gains with northern Antarctic Peninsula glacial retreat</t>
  </si>
  <si>
    <t>Benthos; Colonization; Biomass; Climate change; Glacier retreat</t>
  </si>
  <si>
    <t>KING-GEORGE ISLAND; SOUTH SHETLAND ISLANDS; EULITTORAL GREEN MACROALGAE; POTTER COVE; SUBTIDAL MACROALGAE; MARINE MACROALGAE; SALINITY CHANGES; CLIMATE-CHANGE; SEA-ICE; PATTERNS</t>
  </si>
  <si>
    <t>The West Antarctic Peninsula (WAP) is a hotspot of physical climate change, especially glacial retreat, particularly in its northern South Shetland Islands (SSI) region. Along coastlines, this process is opening up new ice-free areas, for colonization by a high biodiversity of flora and fauna. At Potter Cove, in the SSI (Isla 25 de Mayo/ King George Island), Antarctica, colonization by macroalgae was studied in two newly ice-free areas, a low glacier influence area (LGI), and a high glacier influence area (HGI) differing in the presence of sediment run-off and light penetration, which are driven by levels of glacial influence. We installed artificial substrates (tiles) at 5 m depth to analyze benthic algal colonization and succession for four years (2010-2014). Photosynthetic active radiation (PAR, 400-700 nm), temperature, salinity, and turbidity were monitored at both sites in spring and summer. The turbidity and the light attenuation (K-d) were significantly lower at LGI than at HGI. All tiles were colonized by benthic algae, differing in species identity and successional patterns between areas, and with a significantly higher richness at LGI than HGI in the last year of the experiment. We scaled up a quadrat survey on the natural substrate to estimate benthic algal colonization in newly deglaciated areas across Potter Cove. Warming in recent decades has exposed much new habitat, with macroalgae making up an important part of colonist communities 'chasing' such glacier retreat. Our estimation of algal colonization in newly ice-free areas shows an expansion of similar to 0.005-0.012 km(2) with a carbon standing stock of similar to 0.2-0.4 C tons, per year. Life moving into new space in such emerging fjords has the potential to be key for new carbon sinks and export. In sustained climate change scenarios, we expect that the processes of colonization and expansion of benthic assemblages will continue and generate significant transformations in Antarctic coastal ecosystems by increasing primary production, providing new structures, food and refuge to fauna, and capturing and storing more carbon.</t>
  </si>
  <si>
    <t>[Deregibus, Dolores; Campana, Gabriela L.; Quartino, Maria Liliana] Inst Antart Argentino, Dept Biol Costera, San Martin, Buenos Aires, Argentina; [Deregibus, Dolores; Piscicelli, Juan Manuel] Consejo Nacl Invest Cient &amp; Tecn CONICET, Buenos Aires, Argentina; [Campana, Gabriela L.] Univ Nacl Lujan, Dept Ciencias Basicas, Lujan, Buenos Aires, Argentina; [Neder, Camila] Consejo Nacl Invest Cient &amp; Tecn CONICET, Inst Divers &amp; Ecol Anim IDEA, Ecosistemas Marinos &amp; Polares, Cordoba, Argentina; [Neder, Camila] Univ Nacl Cordoba, Fac Ciencias Exactas Fis &amp; Nat, Ecol Marina, Cordoba, Argentina; [Barnes, David K. A.] NERC, British Antarctic Survey, Cambridge, England; [Neder, Camila; Zacher, Katharina; Jerosch, Kerstin] Helmholtz Ctr Polar &amp; Marine Res, Alfred Wegener Inst, Bremerhaven, Germany; [Piscicelli, Juan Manuel] Museo Argentino Ciencias Nat Bernardino Rivadavia, Estac Hidrobiol Puerto Quequen, Buenos Aires, Argentina; [Quartino, Maria Liliana] Museo Argentino Ciencias Nat Bernardino Rivadavia, Buenos Aires, Argentina</t>
  </si>
  <si>
    <t>Instituto Antartico Argentino; Consejo Nacional de Investigaciones Cientificas y Tecnicas (CONICET); Universidad Nacional de Lujan; Consejo Nacional de Investigaciones Cientificas y Tecnicas (CONICET); National University of Cordoba; UK Research &amp; Innovation (UKRI); Natural Environment Research Council (NERC); NERC British Antarctic Survey; Helmholtz Association; Alfred Wegener Institute, Helmholtz Centre for Polar &amp; Marine Research; Museo Argentino de Ciencias Naturales Bernardino Rivadavia (MACN); Museo Argentino de Ciencias Naturales Bernardino Rivadavia (MACN)</t>
  </si>
  <si>
    <t>Deregibus, D (corresponding author), Inst Antart Argentino, Dept Biol Costera, San Martin, Buenos Aires, Argentina.</t>
  </si>
  <si>
    <t>ddu@mrecic.gov.ar</t>
  </si>
  <si>
    <t>Deregibus, Dolores/0000-0002-3240-9957; Neder, Camila/0000-0001-9978-9053</t>
  </si>
  <si>
    <t>Consejo Nacional de Investigaciones Cientificas y Tecnicas (CONICET); Deutsche Forschungsgemeinschaft (DFG) [PICT 20172691, PICTO 0116/20122015, PICT-2021-GRF-TI-00536]; National University of Lujan [Za735/1-1, PICT-2018-01379, IAA -DNA H18]; PADI Foundation [CDDCB N 69/2021]; MINCYT-BMBF Program [47918. 2020]; DAAD/Ministerio de Educacion de Argentina [AL/17/06-01DN18024]; EU project IMCONet; European Union [319718]; [87269]</t>
  </si>
  <si>
    <t>Consejo Nacional de Investigaciones Cientificas y Tecnicas (CONICET)(Consejo Nacional de Investigaciones Cientificas y Tecnicas (CONICET)); Deutsche Forschungsgemeinschaft (DFG)(German Research Foundation (DFG)); National University of Lujan; PADI Foundation; MINCYT-BMBF Program; DAAD/Ministerio de Educacion de Argentina; EU project IMCONet; European Union(European Union (EU));</t>
  </si>
  <si>
    <t>This work was performed at Carlini Station within the framework of the scientific collaboration between Instituto Antartico Argentino/Direcci'on Nacional del Antartico, the Alfred Wegener Institute, Helmholtz Centre for Polar and Marine Research and the British Antarctic Survey. This study was supported by the Consejo Nacional de Investigaciones Cientificas y Tecnicas (CONICET), and by grants from DNA -IAA (PICTA 7/2008-2011), ANPCyT-DNA (PICTO 0116/2012-2015), PICT-2021-GRF-TI-00536, PICT 2017-2691, Deutsche Forschungsgemeinschaft (DFG, grant Za735/1-1), PICT-2018-01379, IAA -DNA H18 (GC), National University of Lujan CDDCB N 69/2021 (GC) and PADI Foundation Grant No. 47918. 2020 (GC). These studies were also supported by MINCYT-BMBF Program (AL/17/06-01DN18024) and ALEARG'18 Scholarship by DAAD/Ministerio de Educacion de Argentina. The present manuscript also presents an outcome of the EU project IMCONet (FP7 IRSES, action no. 319718). This project has received funding from the European Union's Horizon 2020 research and innovation programme under the Marie Sklodowska-Curie grant agreement No 87269 CoastCarb. We are especially grateful to the divers, scientific and logistics groups of Carlini Station - Dallmann Laboratory for their technical assistance during the Antarctic expeditions. In addition, we gratefully acknowledge Thomas Mumford, J. Robert Waaland, Silvia Rodriguez and Eduardo Ruiz Barlett for their valuable comments that helped to improve the manuscript. I would like to offer special thanks to Dr. Doris Abele, who, although no longer with us, continues to inspire by her dedication to this Antarctic family she served over the course of her career.</t>
  </si>
  <si>
    <t>10.1016/j.marenvres.2023.106056</t>
  </si>
  <si>
    <t>N7UQ3</t>
  </si>
  <si>
    <t>WOS:001039022600001</t>
  </si>
  <si>
    <t>Otjacques, E; Pissarra, V; Bolstad, K; Xavier, JC; McFall-Ngai, M; Rosa, R</t>
  </si>
  <si>
    <t>Otjacques, Eve; Pissarra, Vasco; Bolstad, Kathrin; Xavier, Jose C.; McFall-Ngai, Margaret; Rosa, Rui</t>
  </si>
  <si>
    <t>Bioluminescence in cephalopods: biodiversity, biogeography and research trends</t>
  </si>
  <si>
    <t>bioluminescence; mollusks; Cephalopoda; diversity; distribution; systematic review</t>
  </si>
  <si>
    <t>HAWAIIAN BOBTAIL SQUID; DEEP-SEA; LIGHT PRODUCTION; STAUROTEUTHIS-SYRTENSIS; MOLLUSCA; BACTERIAL; SYSTEMATICS; SEPIOLIDAE; EVOLUTION; ATLANTIC</t>
  </si>
  <si>
    <t>Numerous terrestrial and marine organisms, including cephalopods, are capable of light emission. In addition to communication, bioluminescence is used for attraction and defense mechanisms. The present review aims to: (i) present updated information on the taxonomic diversity of luminous cephalopods and morphological features, (ii) describe large-scale biogeographic patterns, and (iii) show the research trends over the last 50 years on cephalopod bioluminescence. According to our database (834 species), 32% of all known cephalopod species can emit light, including oegopsid and myopsid squids, sepiolids, octopuses, and representatives of several other smaller orders (bathyteuthids, and the monotypic vampire squid, Vampyroteuthis infernalis and ram's horn squid, Spirula spirula). Most species have a combination of photophores present in different locations, of which light organs on the head region are dominant, followed by photophores associated with the arms and tentacles and internal photophores. Regarding the biogeographic patterns of cephalopod species with light organs, the most diverse ocean is the Pacific Ocean, followed by the Atlantic and Indian Oceans. The least diverse are the Southern and the Arctic Oceans. Regarding publication trends, our systematic review revealed that, between 1971 and 2020, 277 peer-reviewed studies were published on bioluminescent cephalopods. Most research has been done on a single species, the Hawaiian bobtail squid Euprymna scolopes. The interest in this species is mostly due to its species-specific symbiotic relationship with the bacterium Vibrio fischeri, which is used as a model for the study of Eukaryote-Prokaryote symbiosis. Because there are many knowledge gaps about the biology and biogeography of light-producing cephalopods, new state-of-the-art techniques (e.g., eDNA for diversity research and monitoring) can help achieve a finer resolution on species' distributions. Moreover, knowledge on the effects of climate change stressors on the bioluminescent processes is nonexistent. Future studies are needed to assess such impacts at different levels of biological organization, to describe the potential broad-scale biogeographic changes, and understand the implications for food web dynamics.</t>
  </si>
  <si>
    <t>[Otjacques, Eve; Pissarra, Vasco; Rosa, Rui] Univ Lisbon, Fac Ciencias, Marine &amp; Environm Sci Ctr MARE, Lab Maritimo da Guia, Cascais, Portugal; [Otjacques, Eve; Pissarra, Vasco; Rosa, Rui] Univ Lisbon, Fac Ciencias, Aquat Res Network ARNET, Cascais, Portugal; [Otjacques, Eve; McFall-Ngai, Margaret] CALTECH, Carnegie Inst Sci, Div Biosphere Sci &amp; Engn, Church Lab, Pasadena, CA 91125 USA; [Otjacques, Eve; Xavier, Jose C.] Univ Coimbra, Marine &amp; Environm Sci Ctr MARE, Dept Life Sci, Coimbra, Portugal; [Otjacques, Eve; Xavier, Jose C.] Univ Coimbra, Aquat Res Network ARNET, Coimbra, Portugal; [Bolstad, Kathrin] Auckland Univ Technol, Sch Sci, AUT Lab Cephalopod Ecol &amp; Systemat ALCES, Auckland, New Zealand; [Xavier, Jose C.] Nat Environm Res Council NERC, British Antarctic Survey BAS, Cambridge, England; [Rosa, Rui] Univ Lisbon, Fac Ciencias, Dept Biol Anim, Lisbon, Portugal</t>
  </si>
  <si>
    <t>Universidade de Lisboa; Universidade de Lisboa; California Institute of Technology; Carnegie Institution for Science; Universidade de Coimbra; Universidade de Coimbra; Auckland University of Technology; UK Research &amp; Innovation (UKRI); Natural Environment Research Council (NERC); Universidade de Lisboa</t>
  </si>
  <si>
    <t>Otjacques, E (corresponding author), Univ Lisbon, Fac Ciencias, Marine &amp; Environm Sci Ctr MARE, Lab Maritimo da Guia, Cascais, Portugal.;Otjacques, E (corresponding author), Univ Lisbon, Fac Ciencias, Aquat Res Network ARNET, Cascais, Portugal.;Otjacques, E (corresponding author), CALTECH, Carnegie Inst Sci, Div Biosphere Sci &amp; Engn, Church Lab, Pasadena, CA 91125 USA.;Otjacques, E (corresponding author), Univ Coimbra, Marine &amp; Environm Sci Ctr MARE, Dept Life Sci, Coimbra, Portugal.;Otjacques, E (corresponding author), Univ Coimbra, Aquat Res Network ARNET, Coimbra, Portugal.</t>
  </si>
  <si>
    <t>ebotjacques@ciencias.ulisboa.pt</t>
  </si>
  <si>
    <t>Rosa, Rui/A-4580-2009; Xavier, José/KFB-6739-2024</t>
  </si>
  <si>
    <t>Rosa, Rui/0000-0003-2801-5178; /0000-0002-9621-6660; Otjacques, Eve/0000-0002-0880-9360</t>
  </si>
  <si>
    <t>~Portuguese national funds through FCT-Fundacao para a Ciencia e Tecnologia, I.P, within the PhD scholarships [UI/BD/151019/2021, 2020.05435.BD]; MARE strategic fund [UIDB/04292/2020]; NIH [R37 AI50661, OD11024, GM135254]</t>
  </si>
  <si>
    <t>~Portuguese national funds through FCT-Fundacao para a Ciencia e Tecnologia, I.P, within the PhD scholarships; MARE strategic fund; NIH(United States Department of Health &amp; Human ServicesNational Institutes of Health (NIH) - USA)</t>
  </si>
  <si>
    <t>&amp; nbsp;Portuguese national funds funded this study through FCT-Fundacao para a Ciencia e Tecnologia, I.P, within the PhD scholarships awarded to EO (UI/BD/151019/2021) and VP (2020.05435.BD), and the MARE strategic fund UIDB/04292/2020, project LA/P/0069/2020 (granted to the Associate Laboratory ARNET). The NIH funded MM-N and Edward Ruby through grants R37 AI50661, as well as OD11024 and GM135254.</t>
  </si>
  <si>
    <t>10.3389/fmars.2023.1161049</t>
  </si>
  <si>
    <t>L7ZV8</t>
  </si>
  <si>
    <t>WOS:001025415500001</t>
  </si>
  <si>
    <t>Wilf, P; Kooyman, RM</t>
  </si>
  <si>
    <t>Wilf, Peter; Kooyman, Robert M.</t>
  </si>
  <si>
    <t>Do Southeast Asia's paleo-Antarctic trees cool the planet?</t>
  </si>
  <si>
    <t>NEW PHYTOLOGIST</t>
  </si>
  <si>
    <t>biogeography; carbon dioxide; climate change; conifers; deforestation; paleoconservation; Southeast Asia; weathering</t>
  </si>
  <si>
    <t>SOIL MICROBIAL COMMUNITY; TROPICAL MONTANE FOREST; MOUNT KINABALU; ATMOSPHERIC CO2; CARBON-DIOXIDE; RAIN-FORESTS; WEATHERING RATES; ORGANIC-ACIDS; LAND PLANTS; CLIMATE</t>
  </si>
  <si>
    <t>Many tree genera in the Malesian uplands have Southern Hemisphere origins, often supported by austral fossil records. Weathering the vast bedrock exposures in the everwet Malesian tropics may have consumed sufficient atmospheric CO2 to contribute significantly to global cooling over the past 15 Myr. However, there has been no discussion of how the distinctive regional tree assemblages may have enhanced weathering and contributed to this process. We postulate that Gondwanan-sourced tree lineages that can dominate higher-elevation forests played an overlooked role in the Neogene CO2 drawdown that led to the Ice Ages and the current, now-precarious climate state. Moreover, several historically abundant conifers in Araucariaceae and Podocarpaceae are likely to have made an outsized contribution through soil acidification that increases weathering. If the widespread destruction of Malesian lowland forests continues to spread into the uplands, the losses will threaten unique austral plant assemblages and, if our hypothesis is correct, a carbon sequestration engine that could contribute to cooler planetary conditions far into the future. Immediate effects include the spread of heat islands, significant losses of biomass carbon and forest-dependent biodiversity, erosion of watershed values, and the destruction of tens of millions of years of evolutionary history.</t>
  </si>
  <si>
    <t>[Wilf, Peter] Penn State Univ, Dept Geosci, University Pk, PA 16802 USA; [Wilf, Peter] Penn State Univ, Earth &amp; Environm Syst Inst, University Pk, PA 16802 USA; [Kooyman, Robert M.] Macquarie Univ, Dept Biol Sci, Sydney, NSW 2109, Australia; [Kooyman, Robert M.] Royal Bot Gardens &amp; Domain Trust, Res Ctr Ecosyst Resilience, Sydney, NSW 2000, Australia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</si>
  <si>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Macquarie University</t>
  </si>
  <si>
    <t>Wilf, P (corresponding author), Penn State Univ, Dept Geosci, University Pk, PA 16802 USA.;Wilf, P (corresponding author), Penn State Univ, Earth &amp; Environm Syst Inst, University Pk, PA 16802 USA.</t>
  </si>
  <si>
    <t>pwilf@psu.edu</t>
  </si>
  <si>
    <t>; Kooyman, Robert/H-3347-2017</t>
  </si>
  <si>
    <t>Wilf, Peter/0000-0001-6813-1937; Kooyman, Robert/0000-0003-1985-9547</t>
  </si>
  <si>
    <t>National Science Foundation [DEB-1556666, EAR-1925755]; David and Lucile Packard Foundation</t>
  </si>
  <si>
    <t>National Science Foundation(National Science Foundation (NSF)); David and Lucile Packard Foundation(The David &amp; Lucile Packard Foundation)</t>
  </si>
  <si>
    <t>We warmly thank Kimberly Lau, Richard Alley, Dana Royer, Susan Brantley, and others for helpful discussions on drafts and ideas, three anonymous reviewers and Editor Jenny McElwain for patience and thoughtful guidance, and Jens Hartmann for assistance with graphics. The National Science Foundation (NSF grants DEB-1556666 and EAR-1925755) and the David and Lucile Packard Foundation provided financial support for our collaboration leading to this article.</t>
  </si>
  <si>
    <t>0028-646X</t>
  </si>
  <si>
    <t>1469-8137</t>
  </si>
  <si>
    <t>NEW PHYTOL</t>
  </si>
  <si>
    <t>New Phytol.</t>
  </si>
  <si>
    <t>10.1111/nph.19067</t>
  </si>
  <si>
    <t>N6JZ9</t>
  </si>
  <si>
    <t>WOS:001020783200001</t>
  </si>
  <si>
    <t>Cheng, Y; Hai, G; Cui, XB; Lv, D; Qiao, G; Li, RX</t>
  </si>
  <si>
    <t>Cheng, Yuan; Hai, Gang; Cui, Xiangbin; Lv, Da; Qiao, Gang; Li, Rongxing</t>
  </si>
  <si>
    <t>Mass balance of the Antarctic Ice Sheet from 2013 to 2018 estimated using the input-output method with updated remote sensing products</t>
  </si>
  <si>
    <t>SCIENCE CHINA-EARTH SCIENCES</t>
  </si>
  <si>
    <t>Antarctic Ice Sheet; Mass balance; Input-output method; BedMachine; ITS_LIVE</t>
  </si>
  <si>
    <t>AMUNDSEN SEA EMBAYMENT; WEST ANTARCTICA; EAST ANTARCTICA; GLACIERS; SURFACE; FLOW; ALTIMETRY; WIDESPREAD; GREENLAND; DISCHARGE</t>
  </si>
  <si>
    <t>The Antarctic Ice Sheet (AIS) has been losing ice mass and contributing to the rise in the global sea-level (GSL) for the last 4 decades, as quantified by using satellite observations. We developed a framework for implementing the state-of-the-art input-output (IO) method that has the advantage of explicit estimation of the mass balance of individual glaciers, basins and the continent. We estimated the mass balance of the AIS from 2013 to 2018 using improved observations and updated datasets recently made available, including annual ice flow velocity maps from the Inter-mission Time Series of Land Ice Velocity and Elevation (ITS_LIVE) dataset, the BedMachine and the Princess Elizabeth Land (PEL) Earth System Science Data (ESSD) datasets, and the surface mass balance from the RACMO 2.3 system. For example, using the improved ice thickness data, the proposed method for ice discharge estimation enables a 10% reduction of uncertainty in ice discharge. During the period of 2013-2018, an ice discharge acceleration of 6.9 &amp; PLUSMN;6.5 Gt yr(-2) in West Antarctica (WA) was detected, which contributed significantly to the estimated mass loss of &amp; SIM;1069 Gt (-178.2 &amp; PLUSMN;108.9 Gt yr(-1)) in the AIS. On the other hand, Queen Maud Land, East Antarctica (EA), showed clearly a mass gain rate of 56.0 &amp; PLUSMN;10.0 Gt yr(-1) due to the regional increase in surface mass balance. Our results extended the estimation period by 3 years in comparison to the published study using the same annual velocity maps from the ITS_LIVE dataset. Furthermore, our results, along with those from other studies using the IO method, reassures the acceleration of recent mass loss in WA and Wilkes Land in EA, which are caused by glacier thinning and ice shelf basal melting. Compared with the long-term mass balance record since 1979, our results suggest that the mass loss in AIS accelerated in the last decade. The developed framework can be modified for mass balance estimation of the AIS or for other ice sheets by using velocity maps from other satellite data or from different periods.</t>
  </si>
  <si>
    <t>[Cheng, Yuan] Shanghai Univ, Inst Conservat Cultural Heritage, Sch Cultural Heritage &amp; Informat Management, Shanghai 200444, Peoples R China; [Hai, Gang; Lv, Da; Qiao, Gang; Li, Rongxing] Tongji Univ, Ctr Spatial Informat Sci &amp; Sustainable Dev, Shanghai 200092, Peoples R China; [Hai, Gang; Lv, Da; Qiao, Gang; Li, Rongxing] Tongji Univ, Coll Surveying &amp; Geoinformat, Shanghai 200092, Peoples R China; [Cui, Xiangbin] Polar Res Inst China, Shanghai 200136, Peoples R China</t>
  </si>
  <si>
    <t>Shanghai University; Tongji University; Tongji University; Polar Research Institute of China</t>
  </si>
  <si>
    <t>Hai, G; Li, RX (corresponding author), Tongji Univ, Ctr Spatial Informat Sci &amp; Sustainable Dev, Shanghai 200092, Peoples R China.;Hai, G; Li, RX (corresponding author), Tongji Univ, Coll Surveying &amp; Geoinformat, Shanghai 200092, Peoples R China.;Cui, XB (corresponding author), Polar Res Inst China, Shanghai 200136, Peoples R China.</t>
  </si>
  <si>
    <t>ganghai@tongji.edu.cn; cuixiangbin@pric.org.cn; ronli_282@hotmail.com</t>
  </si>
  <si>
    <t>wang, KiKi/JFZ-3334-2023; li, xiang/JCN-9316-2023; Zhang, Shiwei/JIY-4344-2023; Li, Yao/JJC-2927-2023; wang, wang/JQW-3034-2023; liu, feng/KCL-0778-2024; LI, LI/KCJ-5600-2024; li, wenjing/JMP-7498-2023; Wang, Zejun/KBB-8454-2024; Yang, Jie/JDM-6213-2023; Lin, Lin/JTU-1595-2023; wu, p/JDW-5015-2023; Zhang, yuxuan/JXM-9935-2024; Chen, Yu/JLL-0171-2023; Chen, Xiao/KBD-1464-2024; zhang, yan/JGL-8022-2023; yang, zhou/KBB-6972-2024; xu, chen/JNE-5010-2023; chen, gang/JRX-1197-2023; feng, feng/KBR-1814-2024; yang, li/JGM-1009-2023; zhang, xinyu/JKI-8403-2023; Liu, Zhe/KEJ-5299-2024; yang, peng/JEZ-8452-2023; Liu, Xiong/JWO-1231-2024; chen, xu/JNT-3068-2023; Li, Xiaoli/JVZ-4089-2024; LI, YUN/JTV-7108-2023; Li, Fan/KBB-8931-2024; yuan, lin/JDW-7387-2023; SUN, YANLING/JTT-9082-2023; Zhang, Wei/JKI-3565-2023; liu, yang/JMB-9083-2023; chen, Chen/JKJ-2122-2023; Li, Lei/JPE-6543-2023; zhang, chen/JES-0371-2023; Li, Wei/JLL-4365-2023; li, Li/JPA-0218-2023; Liu, qi/JZT-5038-2024; zhou, yang/JED-3951-2023; Zhang, Bo/JVD-9890-2024; li, mengyang/JWO-9551-2024; yang, le/KFB-5420-2024; xiao, wei/KCK-6954-2024; Jing, Jing/JSK-6237-2023; ZHENG, YI/KAM-6536-2024; wang, xiaoqiang/JMT-2783-2023; li, rui/JVM-8999-2024; wang, xi/JNT-5162-2023; Yang, Jing/JFK-4046-2023; WANG, YING/JLM-9219-2023; zhang, hao/JOJ-7093-2023; liu, xiao/JLL-2119-2023; Li, Xinyue/JVN-4601-2024; LIU, JIALIN/JXN-8034-2024; Yang, Fan/JMA-9594-2023</t>
  </si>
  <si>
    <t>Yang, Jie/0000-0002-3941-0053; Liu, Xiong/0000-0001-9021-3031; Yang, Jing/0009-0004-8274-9863; Cheng, Yuan/0000-0003-1336-0331</t>
  </si>
  <si>
    <t>National Key Research amp; Development Program of China [2017YFA0603102]; National Natural Science Foundation of China [41730102, 41771471, 41941006, 4201101408]; Shanghai Science and Technology Development Funds [21ZR1469700]; Central University Research Fund</t>
  </si>
  <si>
    <t>National Key Research amp; Development Program of China; National Natural Science Foundation of China(National Natural Science Foundation of China (NSFC)); Shanghai Science and Technology Development Funds; Central University Research Fund</t>
  </si>
  <si>
    <t>We would like to thank the National Snow and Ice Data Center (NSIDC) for the MEaSUREs velocity product (https://nsidc.org/data/NSIDC-0484/versions/2), the ITS_LIVE velocity product (https://nsidc.org/apps/itslive/), and the Bed Machine product (https://nsidc.org/data/NSIDC-0756/versions/2). This work was supported by the National Key Research &amp; Development Program of China (Grant No.2017YFA0603102), the National Natural Science Foundation of China(Grant Nos. 41730102, 41771471, 41941006 &amp; 4201101408) and the Shanghai Science and Technology Development Funds (Grant No.21ZR1469700). It was also supported by the Central University Research Fund</t>
  </si>
  <si>
    <t>1674-7313</t>
  </si>
  <si>
    <t>1869-1897</t>
  </si>
  <si>
    <t>SCI CHINA EARTH SCI</t>
  </si>
  <si>
    <t>Sci. China-Earth Sci.</t>
  </si>
  <si>
    <t>10.1007/s11430-022-1109-y</t>
  </si>
  <si>
    <t>L7KS9</t>
  </si>
  <si>
    <t>WOS:001020292200002</t>
  </si>
  <si>
    <t>Burton, ZFM; Bishop, JL; Englert, PAJ; Szynkiewicz, A; Koeberl, C; Dera, P; McKenzie, W; Gibson, EK</t>
  </si>
  <si>
    <t>Burton, Zachary F. M.; Bishop, Janice L.; Englert, Peter A. J.; Szynkiewicz, Anna; Koeberl, Christian; Dera, Przemyslaw; McKenzie, Warren; Gibson, Everett K.</t>
  </si>
  <si>
    <t>A shallow salt pond analog for aqueous alteration on ancient Mars: Spectroscopy, mineralogy, and geochemistry of sediments from Antarctica's Dry Valleys</t>
  </si>
  <si>
    <t>AMERICAN MINERALOGIST</t>
  </si>
  <si>
    <t>Mars; McMurdo Dry Valleys; Antarctica; sulfates; chlorides; clays; brine pond; aqueous alteration; geochemistry; spectroscopy; Earth Analogs for Martian Geological Materials and Processes</t>
  </si>
  <si>
    <t>MAWRTH VALLIS; MERIDIANI-PLANUM; ARID CONDITIONS; VICTORIA LAND; WRIGHT-VALLEY; GALE CRATER; LAKE-HOARE; SURFACE; SOILS; COLD</t>
  </si>
  <si>
    <t>Understanding past and present aqueous activity on Mars is critical to constraining martian aqueous geochemistry and habitability, and to searching for life on Mars. Assemblages of minerals observed at or near the martian surface include phyllosilicates, sulfates, iron oxides/hydroxides, and chlorides, all of which are indicative of a complex history of aqueous activity and alteration in the martian past. Furthermore, features observed on parts of the martian surface suggest present-day activity of subsurface brines and at least transient liquid water. Terrestrial analogs for younger and colder (Hesperian-Amazonian) martian geologic and climatic conditions are available in the McMurdo Dry Valleys (MDV) of Antarctica and provide opportunities for improved understanding of more recent aqueous activity on Mars. Here, we study the VXE-6 intermittent brine pond site from Wright Valley in the MDV region and use coordinated spectroscopy, X-ray diffraction, and elemental analyses to characterize the mineralogy and chemistry of surface sediments that have evolved in response to aqueous activity at this site. We find that brine pond activity results in mineral assemblages akin to aqueous alteration products associated with younger sites on Mars. In particular, surficial chlorides, a transition layer of poorly crystalline aluminosilicates and iron oxides/hydroxides, and a deeper gypsum-rich interval within the upper 10 cm of sediment are closely related at this Antarctic brine pond site. Activity of the Antarctic brine pond and associated mineral formation presents a process analog for chemical alteration on the martian surface during episodes of transient liquid water activity during the late Hesperian and/or more recently. Our results provide a relevant example of how aqueous activity in a cold and dry Mars-like climate may explain the co-occurrence of chlorides, clays, iron oxides/hydroxides, and sulfates observed on Mars.</t>
  </si>
  <si>
    <t>[Burton, Zachary F. M.] Stanford Univ, Dept Earth &amp; Planetary Sci, Stanford, CA 94305 USA; [Burton, Zachary F. M.; Bishop, Janice L.] SETI Inst, Carl Sagan Ctr, Mountain View, CA 94043 USA; [Bishop, Janice L.] NASA Ames Res Ctr, Moffett Field, CA 94035 USA; [Englert, Peter A. J.; Dera, Przemyslaw; McKenzie, Warren] Univ Hawaii Manoa, Hawaii Inst Geophys &amp; Planetol, Honolulu, HI 96822 USA; [Szynkiewicz, Anna] Univ Tennessee, Dept Earth &amp; Planetary Sci, Knoxville, TN 37996 USA; [Koeberl, Christian] Univ Vienna, Dept Lithospher Res, Althanstr 14, A-1090 Vienna, Austria; [Gibson, Everett K.] NASA Johnson Space Ctr, Houston, TX 77058 USA</t>
  </si>
  <si>
    <t>Stanford University; National Aeronautics &amp; Space Administration (NASA); NASA Ames Research Center; University of Hawaii System; University of Hawaii Manoa; University of Tennessee System; University of Tennessee Knoxville; University of Vienna; National Aeronautics &amp; Space Administration (NASA); NASA Johnson Space Center</t>
  </si>
  <si>
    <t>Burton, ZFM (corresponding author), Stanford Univ, Dept Earth &amp; Planetary Sci, Stanford, CA 94305 USA.;Burton, ZFM (corresponding author), SETI Inst, Carl Sagan Ctr, Mountain View, CA 94043 USA.</t>
  </si>
  <si>
    <t>zburton@alumni.stanford.edu</t>
  </si>
  <si>
    <t>Koeberl, Christian/0000-0001-5155-7405</t>
  </si>
  <si>
    <t>Clay Minerals Society (CMS Travel Award); Geological Society of America (GSA Graduate Student Research Grant); NASA Astrobiology Institute [NNX15BB01]</t>
  </si>
  <si>
    <t>Clay Minerals Society (CMS Travel Award); Geological Society of America (GSA Graduate Student Research Grant); NASA Astrobiology Institute</t>
  </si>
  <si>
    <t>Z.F.M.B. thanks the Clay Minerals Society (CMS Travel Award and CMS Research Grant) and the Geological Society of America (GSA Graduate Student Research Grant) for funding. Z.F.M.B. and J.L.B. thank the NASA Astrobiology Institute (NAI NNX15BB01) for support. We thank Takahiro Hiroi at Brown University for assistance with RELAB spectral measurements, Shital Patel for assistance with spectral data processing, Dieter Mader for help with INAA data collection, and Henry Harris for insightful discussions of the VXE-6 site and surrounding region. This manuscript benefited from the comments and suggestions of two anonymous reviewers.</t>
  </si>
  <si>
    <t>MINERALOGICAL SOC AMER</t>
  </si>
  <si>
    <t>CHANTILLY</t>
  </si>
  <si>
    <t>3635 CONCORDE PKWY STE 500, CHANTILLY, VA 20151-1125 USA</t>
  </si>
  <si>
    <t>0003-004X</t>
  </si>
  <si>
    <t>1945-3027</t>
  </si>
  <si>
    <t>AM MINERAL</t>
  </si>
  <si>
    <t>Am. Miner.</t>
  </si>
  <si>
    <t>10.2138/am-2022-8381</t>
  </si>
  <si>
    <t>Geochemistry &amp; Geophysics; Mineralogy</t>
  </si>
  <si>
    <t>I1GI2</t>
  </si>
  <si>
    <t>WOS:001000325200001</t>
  </si>
  <si>
    <t>Cao, L; Halpern, BS; Troell, M; Short, R; Zeng, C; Jiang, ZY; Liu, Y; Zou, CX; Liu, CY; Liu, SR; Liu, XW; Cheung, WWL; Cottrell, RS; DeClerck, F; Gelcich, S; Gephart, JA; Godo-Solo, D; Kaull, JI; Micheli, F; Naylor, RL; Payne, HJ; Selig, ER; Sumaila, UR; Tigchelaar, M</t>
  </si>
  <si>
    <t>Cao, Ling; Halpern, Benjamin S.; Troell, Max; Short, Rebecca; Zeng, Cong; Jiang, Ziyu; Liu, Yue; Zou, Chengxuan; Liu, Chunyu; Liu, Shurong; Liu, Xiangwei; Cheung, William W. L.; Cottrell, Richard S.; DeClerck, Fabrice; Gelcich, Stefan; Gephart, Jessica A.; Godo-Solo, Dakoury; Kaull, Jessie Ihilani; Micheli, Fiorenza; Naylor, Rosamond L.; Payne, Hanna J.; Selig, Elizabeth R.; Sumaila, U. Rashid; Tigchelaar, Michelle</t>
  </si>
  <si>
    <t>Vulnerability of blue foods to human-induced environmental change</t>
  </si>
  <si>
    <t>NATURE SUSTAINABILITY</t>
  </si>
  <si>
    <t>CLIMATE-CHANGE; MARINE FISHERIES; TRADE-OFFS; AQUACULTURE; RISK; SUSTAINABILITY; RESILIENCE; IMPACTS; FISH</t>
  </si>
  <si>
    <t>Global aquatic foods are a key source of nutrition, but how their production is influenced by anthropogenic environmental changes is not well known. The vulnerability of global blue food systems to main environmental stressors and the related spatial impacts across blue food nations are now quantified. Global aquatic or 'blue' foods, essential to over 3.2 billion people, face challenges of maintaining supply in a changing environment while adhering to safety and sustainability standards. Despite the growing concerns over their environmental impacts, limited attention has been paid to how blue food production is influenced by anthropogenic environmental changes. Here we assess the vulnerability of global blue food systems to predominant environmental disturbances and predict the spatial impacts. Over 90% of global blue food production faces substantial risks from environmental change, with the major producers in Asia and the United States facing the greatest threats. Capture fisheries generally demonstrate higher vulnerability than aquaculture in marine environments, while the opposite is true in freshwater environments. While threats to production quantity are widespread across marine and inland systems, food safety risks are concentrated within a few countries. Identifying and supporting mitigation and adaptation measures in response to environmental stressors is particularly important in developing countries in Asia, Latin America and Africa where risks are high and national response capacities are low. These findings lay groundwork for future work to map environmental threats and opportunities, aiding strategic planning and policy development for resilient and sustainable blue food production under changing conditions.</t>
  </si>
  <si>
    <t>[Cao, Ling] Xiamen Univ, Coll Ocean &amp; Earth Sci, State Key Lab Marine Environm Sci, Xiamen, Peoples R China; [Halpern, Benjamin S.] Univ Calif Santa Barbara, Natl Ctr Ecol Anal &amp; Synth, Santa Barbara, CA USA; [Halpern, Benjamin S.] Univ Calif Santa Barbara, Bren Sch Environm Sci &amp; Management, Santa Barbara, CA USA; [Troell, Max; Short, Rebecca; DeClerck, Fabrice] Stockholm Univ, Stockholm Resilience Ctr, Stockholm, Sweden; [Troell, Max] Royal Swedish Acad Sci, Beijer Inst, Stockholm, Sweden; [Zeng, Cong; Jiang, Ziyu; Liu, Yue; Zou, Chengxuan; Liu, Chunyu; Liu, Shurong; Liu, Xiangwei] Shanghai Jiao Tong Univ, Sch Oceanog, Shanghai, Peoples R China; [Cheung, William W. L.] Univ British Columbia, Inst Oceans &amp; Fisheries, Vancouver, BC, Canada; [Cottrell, Richard S.] Univ Tasmania, Inst Marine &amp; Antarctic Studies, Hobart, Tas, Australia; [DeClerck, Fabrice] EAT, Oslo, Norway; [Gelcich, Stefan] Pontificia Univ Catolica Chile, Fac Ciencias Biol, Inst Milenio Socio Ecol Costera, Santiago, Chile; [Gelcich, Stefan] Pontificia Univ Catolica Chile, Fac Ciencias Biol, Ctr Appl Ecol &amp; Sustainabil, Santiago, Chile; [Gephart, Jessica A.; Godo-Solo, Dakoury] Amer Univ, Dept Environm Sci, Washington, DC USA; [Kaull, Jessie Ihilani] Stanford Univ, Sch Earth Energy &amp; Environm Sci, Stanford, CA USA; [Micheli, Fiorenza] Stanford Univ, Stanford Ctr Ocean Solut, Pacific Grove, CA USA; [Micheli, Fiorenza] Stanford Univ, Oceans Dept, Hopkins Marine Stn, Pacific Grove, CA USA; [Naylor, Rosamond L.] Stanford Univ, Dept Earth Syst Sci, Stanford, CA USA; [Naylor, Rosamond L.] Stanford Univ, Ctr Food Secur &amp; Environm, Stanford, CA USA; [Payne, Hanna J.; Selig, Elizabeth R.; Tigchelaar, Michelle] Stanford Univ, Ctr Ocean Solut, Stanford, CA USA; [Sumaila, U. Rashid] Univ British Columbia, Sch Publ Policy &amp; Global Affairs, Vancouver, BC, Canada</t>
  </si>
  <si>
    <t>Xiamen University; National Center for Ecological Analysis &amp; Synthesis; University of California System; University of California Santa Barbara; University of California System; University of California Santa Barbara; Stockholm University; Royal Swedish Academy of Sciences; Beijer Institute of Ecological Economics; Shanghai Jiao Tong University; University of British Columbia; University of Tasmania; Pontificia Universidad Catolica de Chile; Pontificia Universidad Catolica de Chile; American University; Stanford University; Stanford University; Stanford University; Stanford University; Stanford University; Stanford University; University of British Columbia</t>
  </si>
  <si>
    <t>Cao, L (corresponding author), Xiamen Univ, Coll Ocean &amp; Earth Sci, State Key Lab Marine Environm Sci, Xiamen, Peoples R China.</t>
  </si>
  <si>
    <t>caoling@xmu.edu.cn</t>
  </si>
  <si>
    <t>Troell, Max/I-1724-2019; Cheung, William/F-5104-2013; Sumaila, U. Rashid/ABE-6475-2020; Liu, Xiang-Wei X/F-9378-2014; Zeng, Cong/J-4933-2014</t>
  </si>
  <si>
    <t>Troell, Max/0000-0002-7509-8140; Payne, Hanna/0000-0002-7467-6252; Liu, Yue/0000-0001-9636-3655; Zeng, Cong/0000-0003-1003-9382; Micheli, Fiorenza/0000-0002-6865-1438; Jiang, Ziyu/0009-0000-2277-0944; CAO, LING/0000-0003-0456-0518</t>
  </si>
  <si>
    <t>Ministry of Science and Technology of China [2022YFC3102404]; Shanghai Pilot Program for Basic Research-Shanghai Jiao Tong University [21TQ1400220]; National Science Foundation of China [42142018]; David and Lucile Packard Foundation</t>
  </si>
  <si>
    <t>Ministry of Science and Technology of China(Ministry of Science and Technology, China); Shanghai Pilot Program for Basic Research-Shanghai Jiao Tong University; National Science Foundation of China(National Natural Science Foundation of China (NSFC)); David and Lucile Packard Foundation(The David &amp; Lucile Packard Foundation)</t>
  </si>
  <si>
    <t>This paper is part of Blue Food Assessment (https://www.bluefood.earth/), a comprehensive examination of the role of aquatic foods in building healthy, sustainable and equitable food systems. The assessment has benefitted from the intellectual input of the wider group of scientists leading other components of the BFA work. We thank the Ministry of Science and Technology of China (2022YFC3102404 to L.C.), the Shanghai Pilot Program for Basic Research-Shanghai Jiao Tong University (21TQ1400220 to L.C. and C. Zeng), the National Science Foundation of China (42142018 to L.C.) and the David and Lucile Packard Foundation (to L.C.) for financial support. Any opinions, findings, conclusions or recommendations expressed in this material are those of the authors and do not necessarily reflect the views of the funders.</t>
  </si>
  <si>
    <t>2398-9629</t>
  </si>
  <si>
    <t>NAT SUSTAIN</t>
  </si>
  <si>
    <t>Nat. Sustain.</t>
  </si>
  <si>
    <t>10.1038/s41893-023-01156-y</t>
  </si>
  <si>
    <t>U6RV7</t>
  </si>
  <si>
    <t>WOS:001016495600001</t>
  </si>
  <si>
    <t>Ko, YW; Lee, DS; Kim, JH; Ha, SY; Kim, S; Choi, HG</t>
  </si>
  <si>
    <t>Ko, Young Wook; Lee, Dong Seok; Kim, Jeong Ha; Ha, Sun-Yong; Kim, Sanghee; Choi, Han-Gu</t>
  </si>
  <si>
    <t>The glacier melting process is an invisible barrier to the development of Antarctic subtidal macroalgal assemblages</t>
  </si>
  <si>
    <t>Macroalgal assemblage; Antarctica; Glacial retreat history; Ecological succession; Subtidal; Marian cove</t>
  </si>
  <si>
    <t>KING-GEORGE ISLAND; SOUTH SHETLAND ISLANDS; POTTER COVE; MARIAN COVE; TEMPERATURE REQUIREMENTS; CLIMATE-CHANGE; ICE SCOUR; LIGHT; COMMUNITIES; WEST</t>
  </si>
  <si>
    <t>Ecological macroalgal succession in glacier-free areas has remained at the pioneer seral stage despite six decades of glacial retreat at Marian Cove, King George Island, Antarctica. With the rapid melting of glaciers in the West Antarctic Peninsula owing to global warming, a massive amount of meltwater is flowing into the coast, creating marine environmental gradients such as turbidity, water temperature, and salinity. This study examined the spatial and vertical distributions (up to a depth of 25 m) of macroalgal assemblages from nine sites in Maxwell Bay and Marian Cove. The macroalgal assemblages were analyzed for six sites located 0.2, 0.8, 1.2, 2.2, 3.6, and 4.1 km away from the glacier, including three sites where the glacial retreat history of Marian Cove could be estimated. To investigate the effects of meltwater, differences in the coastal environment were analyzed based on data collected from five stations located 0.4, 0.9, 3.0, 4.0, and 5.0 km away from the glacier. The macroalgal assemblages and marine environment were divided into two groups-inside and outside the cove-based on the region 2-3 km away from the glacier, which has been ice-free since 1956 and shows significant differences. In the three sites near the glacier front, Palmaria decipiens was dominant, and three to four species were distributed, whereas in the two sites outside the cove, nine and 14 species appeared, respectively, similar to the assemblage of the other three sites in Maxwell Bay. Palmaria decipiens, a representative opportunistic pioneer species in Antarctica, is dominant because of its physiological adaptation despite the high turbidity and low water temperature of the glacier front. This study shows that macroalgal assemblages in Antarctic fjord-like coves respond to glacial retreat and are valuable in understanding the macroalgal succession in Antarctica.</t>
  </si>
  <si>
    <t>[Ko, Young Wook; Kim, Sanghee; Choi, Han-Gu] Korea Polar Res Inst, Div Life Sci, Incheon 21990, South Korea; [Lee, Dong Seok; Kim, Jeong Ha] Sungkyunkwan Univ, Dept Biol Sci, Suwon 16419, South Korea; [Ha, Sun-Yong] Korea Polar Res Inst, Div Ocean Sci, Incheon 21990, South Korea</t>
  </si>
  <si>
    <t>Korea Polar Research Institute (KOPRI); Sungkyunkwan University (SKKU); Korea Polar Research Institute (KOPRI)</t>
  </si>
  <si>
    <t>Choi, HG (corresponding author), Korea Polar Res Inst, Div Life Sci, Incheon 21990, South Korea.</t>
  </si>
  <si>
    <t>ywko@kopri.re.kr; hchoi82@kopri.re.kr</t>
  </si>
  <si>
    <t>Choi, Han-Gu/0000-0002-7085-9588; Ko, Young Wook/0000-0002-6808-7275</t>
  </si>
  <si>
    <t>Korea Polar Research Institute (KOPRI) - Ministry of Oceans and Fisheries [PE23140, PE23110]</t>
  </si>
  <si>
    <t>Korea Polar Research Institute (KOPRI) - Ministry of Oceans and Fisheries</t>
  </si>
  <si>
    <t>This work was supported by the Korea Polar Research Institute (KOPRI) grant (PE23140 and PE23110) funded by the Ministry of Oceans and Fisheries.</t>
  </si>
  <si>
    <t>10.1016/j.envres.2023.116438</t>
  </si>
  <si>
    <t>N5NR5</t>
  </si>
  <si>
    <t>WOS:001037482700001</t>
  </si>
  <si>
    <t>Chen, TY; Robinson, LF; Li, T; Burke, A; Zhang, X; Stewart, JA; White, NJ; Knowles, TDJ</t>
  </si>
  <si>
    <t>Chen, Tianyu; Robinson, Laura F.; Li, Tao; Burke, Andrea; Zhang, Xu; Stewart, Joseph A.; White, Nicky J.; Knowles, Timothy D. J.</t>
  </si>
  <si>
    <t>Radiocarbon evidence for the stability of polar ocean overturning during the Holocene</t>
  </si>
  <si>
    <t>HEMISPHERE WESTERLY WINDS; NORTH-ATLANTIC; DEEP-SEA; ATMOSPHERIC CO2; SOUTHERN-OCEAN; WATER; VARIABILITY; CARBON; CIRCULATION; DEPTH</t>
  </si>
  <si>
    <t>Proxy-based studies have linked the pre-industrial atmospheric p(CO2) rise of similar to 20 ppmv in the mid- to late Holocene to an inferred increase in the Southern Ocean overturning and associated biogeochemical changes. However, the history of polar ocean overturning and ventilation through the Holocene remains poorly constrained, leaving important gaps in the assessment of the feedbacks between changes in ocean circulation and the carbon cycle in a warm climate state. The deep-ocean radiocarbon content, which provides a measure of ventilation, responds to circulation changes on centennial to millennial time scales. Here we present absolutely dated deep-sea coral radiocarbon records from the Drake Passage, between South America and Antarctica, and Reykjanes Ridge, south of Iceland, over the Holocene. Our data suggest that ventilation in the Antarctic circumpolar waters and North Atlantic Deep Water is surprisingly invariant within proxy uncertainties at our sampling resolution. Our findings indicate that long-term, large-scale polar ocean overturning has not been disturbed to a level resolvable by radiocarbon and is probably not responsible for the millennial atmosphere pCO(2) evolution through the Holocene. Instead, continuous nutrient and carbon redistribution within the water column following deglaciation, as well as changes in land organic carbon stock, might have regulated atmospheric CO2 budget during this period.</t>
  </si>
  <si>
    <t>[Chen, Tianyu] Nanjing Univ, Sch Earth Sci &amp; Engn, State Key Lab Mineral Deposits Res, Nanjing, Peoples R China; [Chen, Tianyu] Nanjing Univ, Frontiers Sci Ctr Crit Earth Mat Cycling, Nanjing, Peoples R China; [Chen, Tianyu; Robinson, Laura F.; Stewart, Joseph A.] Univ Bristol, Sch Earth Sci, Bristol, Avon, England; [Li, Tao] Chinese Acad Sci, Nanjing Inst Geol &amp; Palaeontol, State Key Lab Palaeobiol &amp; Stratig, Nanjing, Peoples R China; [Burke, Andrea] Univ St Andrews, Sch Earth &amp; Environm Sci, St Andrews, Fife, Scotland; [Zhang, Xu] Chinese Acad Sci, Inst Tibetan Plateau Res, Grp Alpine Paleoecol &amp; Human Adaptat ALPHA, State Key Lab Tibetan Plateau Earth Syst Resource, Beijing, Peoples R China; [White, Nicky J.] Univ Cambridge, Dept Earth Sci, Bullard Labs, Cambridge, England; [Knowles, Timothy D. J.] Univ Bristol, Sch Chem, Bristol, Avon, England</t>
  </si>
  <si>
    <t>Nanjing University; Nanjing University; University of Bristol; Chinese Academy of Sciences; University of St Andrews; Chinese Academy of Sciences; Institute of Tibetan Plateau Research, CAS; University of Cambridge; University of Bristol</t>
  </si>
  <si>
    <t>Chen, TY (corresponding author), Nanjing Univ, Sch Earth Sci &amp; Engn, State Key Lab Mineral Deposits Res, Nanjing, Peoples R China.;Chen, TY (corresponding author), Nanjing Univ, Frontiers Sci Ctr Crit Earth Mat Cycling, Nanjing, Peoples R China.;Chen, TY (corresponding author), Univ Bristol, Sch Earth Sci, Bristol, Avon, England.</t>
  </si>
  <si>
    <t>Chen, Tianyu/JDD-7264-2023</t>
  </si>
  <si>
    <t>Burke, Andrea/0000-0002-3754-1498; Zhang, Xu/0000-0003-1833-9689; Stewart, Joseph/0000-0003-3092-5058; Knowles, Timothy/0000-0003-4871-5542</t>
  </si>
  <si>
    <t>Strategic Priority Research Program of Chinese Academy of Sciences [XDB40010200]; Fundamental Research Funds for the Central Universities [020614380116]; National Natural Science Foundation of China [41991325, 41822603, 42021001]; Natural Environment Research Council [NE/S001743/1, NE/R005117/1, NE/N003861/1, NE/X00127X/1]; NERC [NE/X00127X/1, NE/S001743/1, NE/N003861/1] Funding Source: UKRI</t>
  </si>
  <si>
    <t>Strategic Priority Research Program of Chinese Academy of Sciences(Chinese Academy of Sciences); Fundamental Research Funds for the Central Universities(Fundamental Research Funds for the Central Universities); National Natural Science Foundation of China(National Natural Science Foundation of China (NSFC)); Natural Environment Research Council(UK Research &amp; Innovation (UKRI)Natural Environment Research Council (NERC)); NERC(UK Research &amp; Innovation (UKRI)Natural Environment Research Council (NERC))</t>
  </si>
  <si>
    <t>We thank the cruise members of RVIB Nathaniel B. Palmer cruises 0805 and 1103, as well as Celtic Explorer cruise CE0806, for supporting the deep-sea coral sampling. T.C. acknowledges support from the Strategic Priority Research Program of Chinese Academy of Sciences (XDB40010200), Fundamental Research Funds for the Central Universities (020614380116) and National Natural Science Foundation of China (41991325, 41822603 and 42021001). L.F.R. acknowledges support from the Natural Environment Research Council (NE/S001743/1, NE/R005117/1, NE/N003861/1 and NE/X00127X/1).</t>
  </si>
  <si>
    <t>10.1038/s41561-023-01214-2</t>
  </si>
  <si>
    <t>M0IT4</t>
  </si>
  <si>
    <t>WOS:001020352200001</t>
  </si>
  <si>
    <t>Cauquoin, A; Abe-Ouchi, A; Obase, T; Chan, WL; Paul, A; Werner, M</t>
  </si>
  <si>
    <t>Cauquoin, Alexandre; Abe-Ouchi, Ayako; Obase, Takashi; Chan, Wing-Le; Paul, Andre; Werner, Martin</t>
  </si>
  <si>
    <t>Effects of Last GlacialMaximum (LGM) sea surface temperature and sea ice extent on theisotope-temperature slope at polar ice core sites</t>
  </si>
  <si>
    <t>ANTARCTIC CLIMATE; DEUTERIUM EXCESS; STABLE ISOTOPES; WATER ISOTOPES; GREENLAND; HISTORY; RECORDS; CIRCULATION; VERSION; CYCLES</t>
  </si>
  <si>
    <t>Stable water isotopes in polar ice cores are widely used to reconstruct past temperature variations over several orbital climatic cycles. One way to calibrate the isotope-temperature relationship is to apply the present-day spatial relationship as a surrogate for the temporal one. However, this method leads to large uncertainties because several factors like the sea surface conditions or the origin and transport of water vapor influence the isotope-temperature temporal slope. In this study, we investigate how the sea surface temperature (SST), the sea ice extent, and the strength of the Atlantic Meridional Overturning Circulation (AMOC) affect these temporal slopes in Greenland and Antarctica for Last Glacial Maximum (LGM, similar to 21 000 years ago) to preindustrial climate change. For that, we use the isotope-enabled atmosphere climate model ECHAM6-wiso, forced with a set of sea surface boundary condition datasets based on reconstructions (e.g., GLOMAP) or MIROC 4m simulation outputs. We found that the isotope-temperature temporal slopes in East Antarctic coastal areas are mainly controlled by the sea ice extent, while the sea surface temperature cooling affects the temporal slope values inland more. On the other hand, ECHAM6-wiso simulates the impact of sea ice extent on the EPICA Dome C (EDC) and Vostok sites through the contribution of water vapor from lower latitudes. Effects of sea surface boundary condition changes on modeled isotope-temperature temporal slopes are variable in West Antarctica. This is partly due to the transport of water vapor from the Southern Ocean to this area that can dampen the influence of local temperature on the changes in the isotopic composition of precipitation and snow. In the Greenland area, the isotope-temperature temporal slopes are influenced by the sea surface temperatures near the coasts of the continent. The greater the LGM cooling off the coast of southeastern Greenland, the greater the transport of water vapor from the North Atlantic, and the larger the temporal slopes. The presence or absence of sea ice very near the coast has a large influence in Baffin Bay and the Greenland Sea and influences the slopes at some inland ice core stations. The extent of the sea ice far south slightly influences the temporal slopes in Greenland through the transport of more depleted water vapor from lower latitudes to this area. The seasonal variations of sea ice distribution, especially its retreat in summer, influence the isotopic composition of the water vapor in this region and the modeled isotope-temperature temporal slopes in the eastern part of Greenland. A stronger LGM AMOC decreases LGM-to-preindustrial isotopic anomalies in precipitation in Greenland, degrading the isotopic model-data agreement. The AMOC strength modifies the temporal slopes over inner Greenland slightly and by a little on the coasts along the Greenland Sea where the changes in surface temperature and sea ice distribution due to the AMOC strength mainly occur.</t>
  </si>
  <si>
    <t>[Cauquoin, Alexandre] Univ Tokyo, Inst Ind Sci IIS, Kashiwa, Japan; [Abe-Ouchi, Ayako; Obase, Takashi] Univ Tokyo, Atmosphere &amp; Ocean Res Inst AORI, Kashiwa, Japan; [Chan, Wing-Le] Agcy Marine Earth Sci &amp; Technol JAMSTEC, Res Ctr Environm Modeling &amp; Applicat, Yokohama, Japan; [Paul, Andre] Univ Bremen, MARUM Ctr Marine Environm Sci, Bremen, Germany; [Paul, Andre] Univ Bremen, Dept Geosci, Bremen, Germany; [Werner, Martin] Alfred Wegener Inst AWI, Helmholtz Ctr Polar &amp; Marine Sci, Bremerhaven, Germany</t>
  </si>
  <si>
    <t>University of Tokyo; University of Tokyo; University of Bremen; University of Bremen; Helmholtz Association; Alfred Wegener Institute, Helmholtz Centre for Polar &amp; Marine Research</t>
  </si>
  <si>
    <t>Cauquoin, A (corresponding author), Univ Tokyo, Inst Ind Sci IIS, Kashiwa, Japan.</t>
  </si>
  <si>
    <t>cauquoin@iis.u-tokyo.ac.jp</t>
  </si>
  <si>
    <t>Werner, Martin/C-8067-2014; Chan, Wing-Le/X-3976-2019; Abe-Ouchi, Ayako A/M-6359-2013; Cauquoin, Alexandre/N-4579-2015</t>
  </si>
  <si>
    <t>Werner, Martin/0000-0002-6473-0243; Chan, Wing-Le/0000-0002-5646-6104; Abe-Ouchi, Ayako A/0000-0003-1745-5952; Obase, Takashi/0000-0002-3024-9785; Cauquoin, Alexandre/0000-0002-4620-4696</t>
  </si>
  <si>
    <t>Japan Society for the Promotion of Science (KAKENHI) [17H06323, 22K20379]</t>
  </si>
  <si>
    <t>Japan Society for the Promotion of Science (KAKENHI)(Ministry of Education, Culture, Sports, Science and Technology, Japan (MEXT)Japan Society for the Promotion of ScienceGrants-in-Aid for Scientific Research (KAKENHI))</t>
  </si>
  <si>
    <t>This research has been supported by the Japan Society for the Promotion of Science (KAKENHI grant nos. 17H06323 and 22K20379).</t>
  </si>
  <si>
    <t>JUN 26</t>
  </si>
  <si>
    <t>10.5194/cp-19-1275-2023</t>
  </si>
  <si>
    <t>K9UV9</t>
  </si>
  <si>
    <t>WOS:001019821700001</t>
  </si>
  <si>
    <t>Rybalka, N; Blanke, M; Tzvetkova, A; Noll, A; Roos, C; Boy, J; Boy, D; Nimptsch, D; Godoy, R; Friedl, T</t>
  </si>
  <si>
    <t>Rybalka, Nataliya; Blanke, Matthias; Tzvetkova, Ana; Noll, Angela; Roos, Christian; Boy, Jens; Boy, Diana; Nimptsch, Daniel; Godoy, Roberto; Friedl, Thomas</t>
  </si>
  <si>
    <t>Unrecognized diversity and distribution of soil algae from Maritime Antarctica (Fildes Peninsula, King George Island)</t>
  </si>
  <si>
    <t>soil algae; green algae; Xanthophyceae; Antarctica; Fildes Peninsula; paired-end (ITS2) sequencing; distribution</t>
  </si>
  <si>
    <t>CIERVA POINT; GREEN-ALGAE; MICROALGAL COMMUNITIES; BACTERIAL SUCCESSION; TREBOUXIOPHYCEAE; BIODIVERSITY; CHLOROPHYTA; ENVIRONMENT; GENERATION; EUKARYOTES</t>
  </si>
  <si>
    <t>IntroductionEukaryotic algae in the top few centimeters of fellfield soils of ice-free Maritime Antarctica have many important effects on their habitat, such as being significant drivers of organic matter input into the soils and reducing the impact of wind erosion by soil aggregate formation. To better understand the diversity and distribution of Antarctic terrestrial algae, we performed a pilot study on the surface soils of Meseta, an ice-free plateau mountain crest of Fildes Peninsula, King George Island, being hardly influenced by the marine realm and anthropogenic disturbances. It is openly exposed to microbial colonization from outside Antarctica and connected to the much harsher and dryer ice-free zones of the continental Antarctic. A temperate reference site under mild land use, SchF, was included to further test for the Meseta algae distribution in a contrasting environment. MethodsWe employed a paired-end metabarcoding analysis based on amplicons of the highly variable nuclear-encoded ITS2 rDNA region, complemented by a clone library approach. It targeted the four algal classes, Chlorophyceae, Trebouxiophyceae, Ulvophyceae, and Xanthophyceae, representing key groups of cold-adapted soil algae. ResultsA surprisingly high diversity of 830 algal OTUs was revealed, assigned to 58 genera in the four targeted algal classes. Members of the green algal class Trebouxiophyceae predominated in the soil algae communities. The major part of the algal biodiversity, 86.1% of all algal OTUs, could not be identified at the species level due to insufficient representation in reference sequence databases. The classes Ulvophyceae and Xanthophyceae exhibited the most unknown species diversity. About 9% of the Meseta algae species diversity was shared with that of the temperate reference site in Germany. DiscussionIn the small portion of algal OTUs for which their distribution could be assessed, the entire ITS2 sequence identity with references shows that the soil algae likely have a wide distribution beyond the Polar regions. They probably originated from soil algae propagule banks in far southern regions, transported by aeolian transport over long distances. The dynamics and severity of environmental conditions at the soil surface, determined by high wind currents, and the soil algae's high adaptability to harsh environmental conditions may account for the high similarity of soil algal communities between the northern and southern parts of the Meseta.</t>
  </si>
  <si>
    <t>[Rybalka, Nataliya; Blanke, Matthias; Nimptsch, Daniel; Friedl, Thomas] Georg August Univ, Albrecht von Haller Inst Plant Sci, Dept Expt Phycol &amp; Culture Collect Algae EPSAG, Gottingen, Germany; [Blanke, Matthias] Georg August Univ, Inst Microbiol &amp; Genet, Dept Bioinformat, Gottingen, Germany; [Tzvetkova, Ana] Univ Med Greifswald, Inst Bioinformat, Greifswald, Germany; [Tzvetkova, Ana] Univ Med Greifswald, Human Mol Genet Grp, Interfac Inst Genet &amp; Funct Genom, Dept Funct Genom, Greifswald, Germany; [Noll, Angela; Roos, Christian] Leibniz Inst Primate Res, German Primate Ctr, Primate Genet Lab, Gottingen, Germany; [Boy, Jens] Leibniz Univ Hannover, Inst Soil Sci, Hannover, Germany; [Boy, Diana] Leibniz Univ Hannover, Inst Microbiol, Hannover, Germany; [Godoy, Roberto] Univ Austral Chile, Inst Ciencias Ambientales &amp; Evolut, Valdivia, Chile</t>
  </si>
  <si>
    <t>University of Gottingen; University of Gottingen; Greifswald Medical School; Greifswald Medical School; Deutsches Primatenzentrum (DPZ); Leibniz University Hannover; Leibniz University Hannover; Universidad Austral de Chile</t>
  </si>
  <si>
    <t>Friedl, T (corresponding author), Georg August Univ, Albrecht von Haller Inst Plant Sci, Dept Expt Phycol &amp; Culture Collect Algae EPSAG, Gottingen, Germany.</t>
  </si>
  <si>
    <t>tfriedl@uni-goettingen.de</t>
  </si>
  <si>
    <t>Boy, Jens/B-2926-2018</t>
  </si>
  <si>
    <t>Boy, Diana/0000-0001-7188-8623</t>
  </si>
  <si>
    <t>German Science Foundation (DFG) [258740995, SPP 1158]</t>
  </si>
  <si>
    <t>German Science Foundation (DFG)(German Research Foundation (DFG))</t>
  </si>
  <si>
    <t>This study was supported by the German Science Foundation (DFG), Grant Number 258740995, within the program Antarctic Research with Comparable Investigations in Arctic Sea Ice Areas (SPP 1158), extended to TF.</t>
  </si>
  <si>
    <t>10.3389/fmicb.2023.1118747</t>
  </si>
  <si>
    <t>L7QJ0</t>
  </si>
  <si>
    <t>WOS:001025165500001</t>
  </si>
  <si>
    <t>Fan, LL; Shen, SG</t>
  </si>
  <si>
    <t>Fan, Lili; Shen, Shuge</t>
  </si>
  <si>
    <t>A cylindrical coordinates approach concerning azimuthal geophysical flows</t>
  </si>
  <si>
    <t>MONATSHEFTE FUR MATHEMATIK</t>
  </si>
  <si>
    <t>Antarctic Circumpolar Current; Coriolis force; Exact solution in cylindrical coordinates; Internal waves; Discontinuous density</t>
  </si>
  <si>
    <t>STRATIFIED EQUATORIAL FLOWS; FREE-SURFACE; WATER-WAVES; STEADY; MODEL; EQUATION</t>
  </si>
  <si>
    <t>In this paper, we devise a new exact and partially explicit solution to the governing equations of geophysical fluid dynamics for an inviscid and incompressible azimuthal flow with a discontinuous density distribution that varies with both depth and latitude and subjected to forcing terms in terms of cylindrical coordinates. An analysis allows us to draw qualitative and quantitative results about the interface and the free surface of the azimuthal flow. Moreover, a particular example is considered to show that the interface can be determined explicitly. Finally, we obtain the expected monotonicity properties between the surface pressure and its distortion and derive an infinite regularity about the interface.</t>
  </si>
  <si>
    <t>[Fan, Lili; Shen, Shuge] Henan Normal Univ, Coll Math &amp; Informat Sci, Xinxiang 453007, Peoples R China</t>
  </si>
  <si>
    <t>Henan Normal University</t>
  </si>
  <si>
    <t>Fan, LL (corresponding author), Henan Normal Univ, Coll Math &amp; Informat Sci, Xinxiang 453007, Peoples R China.</t>
  </si>
  <si>
    <t>fanlily89@126.com; shenge990728@163.com</t>
  </si>
  <si>
    <t>NSF of Henan Province of China [222300420478]; NSF of Henan Normal University [2021PL04]</t>
  </si>
  <si>
    <t>NSF of Henan Province of China; NSF of Henan Normal University</t>
  </si>
  <si>
    <t>AcknowledgementsThe work of Fan is partially supported by a NSF of Henan Province of China Grant No. 222300420478 and the NSF of Henan Normal University Grant No. 2021PL04.</t>
  </si>
  <si>
    <t>0026-9255</t>
  </si>
  <si>
    <t>1436-5081</t>
  </si>
  <si>
    <t>MONATSH MATH</t>
  </si>
  <si>
    <t>Mon.heft. Math.</t>
  </si>
  <si>
    <t>10.1007/s00605-023-01876-5</t>
  </si>
  <si>
    <t>T8GD5</t>
  </si>
  <si>
    <t>WOS:001013360300001</t>
  </si>
  <si>
    <t>Landschützer, P; Tanhua, T; Behncke, J; Keppler, L</t>
  </si>
  <si>
    <t>Landschuetzer, Peter; Tanhua, Toste; Behncke, Jacqueline; Keppler, Lydia</t>
  </si>
  <si>
    <t>Sailing through the southern seas of air-sea CO2 flux uncertainty</t>
  </si>
  <si>
    <t>PHILOSOPHICAL TRANSACTIONS OF THE ROYAL SOCIETY A-MATHEMATICAL PHYSICAL AND ENGINEERING SCIENCES</t>
  </si>
  <si>
    <t>Southern Ocean; observations; carbon dioxide</t>
  </si>
  <si>
    <t>SURFACE OCEAN PCO(2); INTERANNUAL VARIABILITY; ATLANTIC-OCEAN; CARBON; SINK; SYSTEM; PH</t>
  </si>
  <si>
    <t>The Southern Ocean is among the largest contemporary sinks of atmospheric carbon dioxide on our planet; however, remoteness, harsh weather and other circumstances have led to an undersampling of the ocean basin, compared with its northern hemispheric counterparts. While novel data interpolation methods can in part compensate for such data sparsity, recent studies raised awareness that we have hit a wall of unavoidable uncertainties in air-sea CO2 flux reconstructions. Here, we present results from autonomous observing campaigns using a novel platform to observe remote ocean regions: sailboats. Sailboats are at present a free of charge environmentally friendly platform that recurrently pass remote ocean regions during round-the-globe racing events. During the past 5 years, we collected &gt;350 000 measurements of the sea surface partial pressure of CO2 (pCO(2)) around the globe including the Southern Ocean throughout an Antarctic circumnavigation during the Vendee Globe racing event. Our analysis demonstrates that the sailboat tracks pass regions where large uncertainty in the air-sea CO2 flux reconstruction prevails, with regional oversaturation or undersaturation of the sea surface pCO(2). Sailboat races provide an independent cross-calibration platform for autonomous measurement devices, such as Argo floats, ultimately strengthening the entire Southern Ocean observing system.This article is part of a discussion meeting issue 'Heat and carbon uptake in the Southern Ocean: the state of the art and future priorities'.</t>
  </si>
  <si>
    <t>[Landschuetzer, Peter] Flanders Marine Inst VLIZ, Dept Res, B-8400 Oostende, Belgium; [Landschuetzer, Peter; Behncke, Jacqueline] Max Planck Inst Meteorol, Ocean Earth Syst, D-20146 Hamburg, Germany; [Tanhua, Toste] GEOMAR Helmholtz Ctr Ocean Res Kiel, D-24148 Kiel, Germany; [Behncke, Jacqueline] Int Max Planck Res Sch Earth Syst Modelling, D-20146 Hamburg, Germany; [Keppler, Lydia] Univ Calif San Diego, Scripps Inst Oceanog, La Jolla, CA 92093 USA</t>
  </si>
  <si>
    <t>Max Planck Society; Helmholtz Association; GEOMAR Helmholtz Center for Ocean Research Kiel; Max Planck Society; University of California System; University of California San Diego; Scripps Institution of Oceanography</t>
  </si>
  <si>
    <t>Landschützer, P (corresponding author), Flanders Marine Inst VLIZ, Dept Res, B-8400 Oostende, Belgium.;Landschützer, P (corresponding author), Max Planck Inst Meteorol, Ocean Earth Syst, D-20146 Hamburg, Germany.</t>
  </si>
  <si>
    <t>peter.landschutzer@vliz.be</t>
  </si>
  <si>
    <t>Landschützer, Peter/IQU-3835-2023; Keppler, Lydia/AAW-2150-2020</t>
  </si>
  <si>
    <t>Landschützer, Peter/0000-0002-7398-3293; Keppler, Lydia/0000-0001-6555-730X; Behncke, Jacqueline/0000-0002-0910-3247</t>
  </si>
  <si>
    <t>European Community's Horizon 2020 Project [821003]; International Max Planck Research School on Earth System Modelling (IMPRS-ESM); Max Planck Foundation</t>
  </si>
  <si>
    <t>European Community's Horizon 2020 Project; International Max Planck Research School on Earth System Modelling (IMPRS-ESM); Max Planck Foundation(Foundation CELLEX)</t>
  </si>
  <si>
    <t>P.L. and L.K. received funding from the European Community's Horizon 2020 Project (grant agreement no. 821003 (4C)). J.B. gratefully acknowledges funding from the International Max Planck Research School on Earth System Modelling (IMPRS-ESM). We gratefully acknowledge the support from the Max Planck Foundation.</t>
  </si>
  <si>
    <t>1364-503X</t>
  </si>
  <si>
    <t>1471-2962</t>
  </si>
  <si>
    <t>PHILOS T R SOC A</t>
  </si>
  <si>
    <t>Philos. Trans. R. Soc. A-Math. Phys. Eng. Sci.</t>
  </si>
  <si>
    <t>10.1098/rsta.2022.0064</t>
  </si>
  <si>
    <t>F6DJ6</t>
  </si>
  <si>
    <t>Green Published, hybrid, Green Accepted, Green Submitted</t>
  </si>
  <si>
    <t>WOS:000983226900007</t>
  </si>
  <si>
    <t>Meijers, AJS; Meredith, MP; Shuckburgh, EF; Kent, EC; Munday, DR; Firing, YL; King, B; Smyth, TJ; Leng, MJ; Nurser, AJG; Hewitt, HT; Abrahamsen, EP; Weiss, A; Yang, MX; Bell, TG; Brearley, JA; Boland, EJD; Jones, DC; Josey, SA; Owen, RP; Grist, JP; Blaker, AT; Biri, S; Yelland, MJ; Pimm, C; Zhou, SJ; Harle, J; Cornes, RC</t>
  </si>
  <si>
    <t>Meijers, Andrew J. S.; Meredith, Michael P.; Shuckburgh, Emily F.; Kent, Elizabeth C.; Munday, David R.; Firing, Yvonne L.; King, Brian; Smyth, Tim J.; Leng, Melanie J.; Nurser, A. J. George; Hewitt, Helene T.; Abrahamsen, E. Povl; Weiss, Alexandra; Yang, Mingxi; Bell, Thomas G.; Brearley, J. Alexander; Boland, Emma J. D.; Jones, Daniel C.; Josey, Simon A.; Owen, Robyn P.; Grist, Jeremy P.; Blaker, Adam T.; Biri, Stavroula; Yelland, Margaret J.; Pimm, Ciara; Zhou, Shenjie; Harle, James; Cornes, Richard C.</t>
  </si>
  <si>
    <t>Finale: impact of the ORCHESTRA/ENCORE programmes on Southern Ocean heat and carbon understanding</t>
  </si>
  <si>
    <t>ocean heat; ocean carbon; Southern Ocean; ocean circulation; ocean-atmosphere fluxes; climate</t>
  </si>
  <si>
    <t>ANTARCTIC MODE WATER; SEA; CIRCULATION; SURFACE; FLUX; DYNAMICS; VENTILATION; BALANCE; SALT; MASS</t>
  </si>
  <si>
    <t>The 5-year Ocean Regulation of Climate by Heat and Carbon Sequestration and Transports (ORCHESTRA) programme and its 1-year extension ENCORE (ENCORE is the National Capability ORCHESTRA Extension) was an approximately 11-million-pound programme involving seven UK research centres that finished in March 2022. The project sought to radically improve our ability to measure, understand and predict the exchange, storage and export of heat and carbon by the Southern Ocean. It achieved this through a series of milestone observational campaigns in combination with model development and analysis. Twelve cruises in the Weddell Sea and South Atlantic were undertaken, along with mooring, glider and profiler deployments and aircraft missions, all contributing to measurements of internal ocean and air-sea heat and carbon fluxes. Numerous forward and adjoint numerical experiments were developed and supported by the analysis of coupled climate models. The programme has resulted in over 100 peer-reviewed publications to date as well as significant impacts on climate assessments and policy and science coordination groups. Here, we summarize the research highlights of the programme and assess the progress achieved by ORCHESTRA/ENCORE and the questions it raises for the future.This article is part of a discussion meeting issue 'Heat and carbon uptake in the Southern Ocean: the state of the art and future priorities'.</t>
  </si>
  <si>
    <t>[Meijers, Andrew J. S.; Meredith, Michael P.; Munday, David R.; Abrahamsen, E. Povl; Weiss, Alexandra; Brearley, J. Alexander; Boland, Emma J. D.; Jones, Daniel C.; Pimm, Ciara; Zhou, Shenjie] British Antarctic Survey, High Cross,Madingley Rd, Cambridge CB3 0ET, England; [Shuckburgh, Emily F.] Univ Cambridge, Dept Comp Sci &amp; Technol, William Gates Bldg 15 JJ Thomson Ave, Cambridge CB3 0FD, England; [Kent, Elizabeth C.; Firing, Yvonne L.; King, Brian; Nurser, A. J. George; Josey, Simon A.; Grist, Jeremy P.; Blaker, Adam T.; Biri, Stavroula; Yelland, Margaret J.; Harle, James; Cornes, Richard C.] Natl Oceanog Ctr, European Way, Southampton SO14 3ZH, England; [Leng, Melanie J.] British Geol Survey, Nottingham NG12 5GG, England; [Smyth, Tim J.; Yang, Mingxi; Bell, Thomas G.] Plymouth Marine Lab, Prospect Pl, Plymouth PL1 3DH, England; [Hewitt, Helene T.] Met Off Hadley Ctr, FitzRoy Rd, Exeter, England; [Owen, Robyn P.] Natl Oceanog Ctr, Joseph Proudman Bldg,6 Brownlow St, Liverpool L3 5DA, England; [Pimm, Ciara] Univ Liverpool, Sch Environm Sci, Dept Earth Ocean &amp; Ecol Sci, Liverpool, England</t>
  </si>
  <si>
    <t>UK Research &amp; Innovation (UKRI); Natural Environment Research Council (NERC); NERC British Antarctic Survey; University of Cambridge; University of Southampton; NERC National Oceanography Centre; UK Research &amp; Innovation (UKRI); Natural Environment Research Council (NERC); NERC British Geological Survey; Plymouth Marine Laboratory; Met Office - UK; Hadley Centre; NERC National Oceanography Centre; University of Liverpool</t>
  </si>
  <si>
    <t>Meijers, AJS (corresponding author), British Antarctic Survey, High Cross,Madingley Rd, Cambridge CB3 0ET, England.</t>
  </si>
  <si>
    <t>andmei@bas.ac.uk</t>
  </si>
  <si>
    <t>yu, xiao/KFT-1725-2024; yelland, m j/E-6343-2011; Jeremy, Grist P/B-4517-2012; Boland, Emma/AFV-9181-2022; Smyth, Tim/D-2008-2012; Bell, Tom/E-8488-2011; Munday, David R/R-1986-2016; Chen, Zheng/KCY-2338-2024; Kent, Elizabeth/C-1281-2011; Abrahamsen, Povl/B-2140-2008; KIng, Brian/KDN-7191-2024</t>
  </si>
  <si>
    <t>Jeremy, Grist P/0000-0003-1068-9211; Boland, Emma/0000-0003-2430-7763; Smyth, Tim/0000-0003-0659-1422; Bell, Tom/0000-0002-4108-7048; Munday, David R/0000-0003-1920-708X; Kent, Elizabeth/0000-0002-6209-4247; Abrahamsen, Povl/0000-0001-5924-5350; Shuckburgh, Emily/0000-0001-9206-3444; Owen, Robyn/0009-0004-2765-5303</t>
  </si>
  <si>
    <t>NERC [NE/N018028/1] Funding Source: UKRI</t>
  </si>
  <si>
    <t>NERC(UK Research &amp; Innovation (UKRI)Natural Environment Research Council (NERC))</t>
  </si>
  <si>
    <t>10.1098/rsta.2022.0070</t>
  </si>
  <si>
    <t>WOS:000983226900006</t>
  </si>
  <si>
    <t>Meijers, AJS; Le Quéré, C; Monteiro, PMS; Sallée, JB</t>
  </si>
  <si>
    <t>Meijers, Andrew J. S.; Le Quere, Corinne; Monteiro, Pedro M. S.; Sallee, Jean-Baptiste</t>
  </si>
  <si>
    <t>Heat and carbon uptake in the Southern Ocean: the state of the art and future priorities</t>
  </si>
  <si>
    <t>oceanography; Southern Ocean; ocean carbon</t>
  </si>
  <si>
    <t>[Meijers, Andrew J. S.] British Antarctic Survey, Cambridge, England; [Le Quere, Corinne] Univ East Anglia, Norwich, England; [Monteiro, Pedro M. S.] Stellenbosch Univ, Stellenbosch, Western Cape, South Africa; [Sallee, Jean-Baptiste] Sorbonne Univ, Paris, Ile De France, France</t>
  </si>
  <si>
    <t>UK Research &amp; Innovation (UKRI); Natural Environment Research Council (NERC); NERC British Antarctic Survey; University of East Anglia; Stellenbosch University; Sorbonne Universite</t>
  </si>
  <si>
    <t>Meijers, AJS (corresponding author), British Antarctic Survey, Cambridge, England.</t>
  </si>
  <si>
    <t>SALLEE, Jean baptiste/HDO-5355-2022; Monteiro, Pedro M. S./D-3767-2009; Le Quéré, Corinne/C-2631-2017</t>
  </si>
  <si>
    <t>Le Quéré, Corinne/0000-0003-2319-0452</t>
  </si>
  <si>
    <t>10.1098/rsta.2022.0071</t>
  </si>
  <si>
    <t>WOS:000983226900012</t>
  </si>
  <si>
    <t>Meredith, MP; Abrahamsen, EP; Haumann, FA; Leng, M; Arrowsmith, C; Barham, M; Firing, YL; King, BA; Brown, P; Brearley, JA; Meijers, AJS; Sallée, JB; Akhoudas, C; Tarling, GA</t>
  </si>
  <si>
    <t>Meredith, Michael P.; Abrahamsen, E. Povl; Alexander Haumann, F.; Leng, Melanie J.; Arrowsmith, Carol; Barham, Mark; Firing, Yvonne L.; King, Brian A.; Brown, Peter; Brearley, J. Alexander; Meijers, Andrew J. S.; Sallee, Jean-Baptiste; Akhoudas, Camille; Tarling, Geraint A.</t>
  </si>
  <si>
    <t>Tracing the impacts of recent rapid sea ice changes and the A68 megaberg on the surface freshwater balance of the Weddell and Scotia Seas</t>
  </si>
  <si>
    <t>sea ice melt; iceberg meltwater; freshwater; isotopic tracers; Southern Ocean; Antarctica</t>
  </si>
  <si>
    <t>SOUTHERN-OCEAN; MASS-BALANCE; OXYGEN; FERTILIZATION; SALINITY; DRIVEN; ISLAND; EAST</t>
  </si>
  <si>
    <t>The Southern Ocean upper-layer freshwater balance exerts a global climatic influence by modulating density stratification and biological productivity, and hence the exchange of heat and carbon between the atmosphere and the ocean interior. It is thus important to understand and quantify the time-varying freshwater inputs, which is challenging from measurements of salinity alone. Here we use seawater oxygen isotopes from samples collected between 2016 and 2021 along a transect spanning the Scotia and northern Weddell Seas to separate the freshwater contributions from sea ice and meteoric sources. The unprecedented retreat of sea ice in 2016 is evidenced as a strong increase in sea ice melt across the northern Weddell Sea, with surface values increasing approximately two percentage points between 2016 and 2018 and column inventories increasing approximately 1 to 2 m. Surface meteoric water concentrations exceeded 4% in early 2021 close to South Georgia due to meltwater from the A68 megaberg; smaller icebergs may influence meteoric water at other times also. Both these inputs highlight the importance of a changing cryosphere for upper-ocean freshening; potential future sea ice retreats and increases in iceberg calving would enhance the impacts of these freshwater sources on the ocean and climate.This article is part of a discussion meeting issue 'Heat and carbon uptake in the Southern Ocean: the state of the art and future priorities'.</t>
  </si>
  <si>
    <t>[Meredith, Michael P.; Abrahamsen, E. Povl; Alexander Haumann, F.; Barham, Mark; Brearley, J. Alexander; Meijers, Andrew J. S.; Tarling, Geraint A.] British Antarctic Survey, Madingley Rd, Cambridge CB3 0ET, England; [Alexander Haumann, F.] Princeton Univ, Atmospher &amp; Ocean Sci Program, Princeton, NJ 08544 USA; [Leng, Melanie J.; Arrowsmith, Carol] British Geol Survey, Natl Environm Isotope Facil, Nottingham NG12 5GG, England; [Leng, Melanie J.] Univ Nottingham, Sch Biosci, Loughborough LE12 5RD, England; [Firing, Yvonne L.; King, Brian A.; Brown, Peter] Natl Oceanog Ctr, European Way, Southampton SO14 3ZH, England; [Sallee, Jean-Baptiste; Akhoudas, Camille] Sorbonne Univ, CNRS, IRD, MNHN,Lab Oceanog &amp; Climat Experimentat &amp; Approches, F-75005 Paris, France</t>
  </si>
  <si>
    <t>UK Research &amp; Innovation (UKRI); Natural Environment Research Council (NERC); NERC British Antarctic Survey; Princeton University; National Oceanic Atmospheric Admin (NOAA) - USA; UK Research &amp; Innovation (UKRI); Natural Environment Research Council (NERC); NERC British Geological Survey; University of Nottingham; NERC National Oceanography Centre; University of Southampton; Institut de Recherche pour le Developpement (IRD); Centre National de la Recherche Scientifique (CNRS); Museum National d'Histoire Naturelle (MNHN); Sorbonne Universite</t>
  </si>
  <si>
    <t>Meredith, MP (corresponding author), British Antarctic Survey, Madingley Rd, Cambridge CB3 0ET, England.</t>
  </si>
  <si>
    <t>mmm@bas.ac.uk</t>
  </si>
  <si>
    <t>SALLEE, Jean baptiste/HDO-5355-2022; Haumann, Alexander/J-6679-2014; Abrahamsen, Povl/B-2140-2008</t>
  </si>
  <si>
    <t>Haumann, Alexander/0000-0002-8218-977X; Abrahamsen, Povl/0000-0001-5924-5350; Firing, Yvonne/0000-0002-3640-3974</t>
  </si>
  <si>
    <t>NERC [NE/V013254/1, NE/W004747/1, NE/N018095/1] Funding Source: UKRI</t>
  </si>
  <si>
    <t>10.1098/rsta.2022.0162</t>
  </si>
  <si>
    <t>WOS:000983226900001</t>
  </si>
  <si>
    <t>Sallee, JB; Abrahamsen, EP; Allaigre, C; Auger, M; Ayres, H; Badhe, R; Boutin, J; Brearley, JA; de Lavergne, C; ten Doeschate, AMM; Droste, ES; du Plessis, MD; Ferreira, D; Giddy, IS; Guelk, B; Gruber, N; Hague, M; Hoppema, M; Josey, SA; Kanzow, T; Kimmritz, M; Lindeman, MR; Llanillo, PJ; Lucas, NS; Madec, G; Marshall, DP; Meijers, AJS; Meredith, MP; Mohrmann, M; Monteiro, PMS; Dupin, CM; Naeck, K; Narayanan, A; Garabato, ACN; Nicholson, SA; Novellino, A; Oedalen, M; Osterhus, S; Park, W; Patmore, RD; Piedagnel, E; Roquet, F; Rosenthal, HS; Roy, T; Saurabh, R; Silvy, Y; Spira, T; Steiger, N; Styles, AF; Swart, S; Vogt, L; Ward, B; Zhou, S</t>
  </si>
  <si>
    <t>Sallee, J. B.; Abrahamsen, E. P.; Allaigre, C.; Auger, M.; Ayres, H.; Badhe, R.; Boutin, J.; Brearley, J. A.; de Lavergne, C.; ten Doeschate, A. M. M.; Droste, E. S.; du Plessis, M. D.; Ferreira, D.; Giddy, I. S.; Guelk, B.; Gruber, N.; Hague, M.; Hoppema, M.; Josey, S. A.; Kanzow, T.; Kimmritz, M.; Lindeman, M. R.; Llanillo, P. J.; Lucas, N. S.; Madec, G.; Marshall, D. P.; Meijers, A. J. S.; Meredith, M. P.; Mohrmann, M.; Monteiro, P. M. S.; Mosneron Dupin, C.; Naeck, K.; Narayanan, A.; Naveira Garabato, A. C.; Nicholson, S-a.; Novellino, A.; oedalen, M.; osterhus, S.; Park, W.; Patmore, R. D.; Piedagnel, E.; Roquet, F.; Rosenthal, H. S.; Roy, T.; Saurabh, R.; Silvy, Y.; Spira, T.; Steiger, N.; Styles, A. F.; Swart, S.; Vogt, L.; Ward, B.; Zhou, S.</t>
  </si>
  <si>
    <t>Southern ocean carbon and heat impact on climate</t>
  </si>
  <si>
    <t>Southern Ocean; climate; ocean heat storage; ocean carbon storage</t>
  </si>
  <si>
    <t>BOTTOM WATER; LAYER; SURFACE; CIRCULATION; CONVECTION; DRIVEN; SINK; CO2</t>
  </si>
  <si>
    <t>The Southern Ocean greatly contributes to the regulation of the global climate by controlling important heat and carbon exchanges between the atmosphere and the ocean. Rates of climate change on decadal timescales are therefore impacted by oceanic processes taking place in the Southern Ocean, yet too little is known about these processes. Limitations come both from the lack of observations in this extreme environment and its inherent sensitivity to intermittent processes at scales that are not well captured in current Earth system models. The Southern Ocean Carbon and Heat Impact on Climate programme was launched to address this knowledge gap, with the overall objective to understand and quantify variability of heat and carbon budgets in the Southern Ocean through an investigation of the key physical processes controlling exchanges between the atmosphere, ocean and sea ice using a combination of observational and modelling approaches. Here, we provide a brief overview of the programme, as well as a summary of some of the scientific progress achieved during its first half. Advances range from new evidence of the importance of specific processes in Southern Ocean ventilation rate (e.g. storm-induced turbulence, sea-ice meltwater fronts, wind-induced gyre circulation, dense shelf water formation and abyssal mixing) to refined descriptions of the physical changes currently ongoing in the Southern Ocean and of their link with global climate.This article is part of a discussion meeting issue 'Heat and carbon uptake in the Southern Ocean: the state of the art and future priorities'.</t>
  </si>
  <si>
    <t>[Sallee, J. B.; Allaigre, C.; Auger, M.; Boutin, J.; de Lavergne, C.; Madec, G.; Mosneron Dupin, C.; Naeck, K.; Piedagnel, E.; Saurabh, R.; Silvy, Y.; Steiger, N.; Vogt, L.] Sorbonne Univ, Lab Oceanog &amp; Climat Experimentat &amp; Approches Nume, CNRS, IRD,MNHN, Paris, France; [Abrahamsen, E. P.; Brearley, J. A.; Lucas, N. S.; Meijers, A. J. S.; Meredith, M. P.; Zhou, S.] British Antarctic Survey, Cambridge, England; [Badhe, R.] European Polar Board, The Hague, Netherlands; [du Plessis, M. D.; Guelk, B.; Mohrmann, M.; Narayanan, A.; Roquet, F.; Rosenthal, H. S.; Spira, T.; Swart, S.] Univ Gothenburg, Dept Marine Sci, Gothenburg, Sweden; [Ayres, H.; Ferreira, D.; Patmore, R. D.] Univ Reading, Reading, England; [Gruber, N.; Hague, M.] Swiss Fed Inst Technol, Zurich, Switzerland; [Droste, E. S.; Hoppema, M.; Kanzow, T.; Kimmritz, M.; Llanillo, P. J.] Helmholtz Ctr Polar &amp; Marine Res, Alfred Wegener Inst, Bremerhaven, Germany; [Josey, S. A.] Natl Oceanog Ctr, Southampton, England; [Marshall, D. P.; Styles, A. F.] Univ Oxford, Oxford, England; [Monteiro, P. M. S.; Nicholson, S-a.] CSIR, Southern Ocean Carbon Climate Observ SOCCO, Cape Town, South Africa; [Lindeman, M. R.; Naveira Garabato, A. C.] Univ Southampton, Southampton, England; [Novellino, A.] ETT, Genoa, Italy; [oedalen, M.; Park, W.] GEOMAR Helmholtz Ctr Ocean Res Kiel, Kiel, Germany; [osterhus, S.] Norwegian Res Ctr NORCE, Bergen, Norway; [Roy, T.] ECOCEANA, Paris, France; [Giddy, I. S.; Swart, S.] Univ Cape Town, Dept Oceanog, Rondebosch, South Africa; [ten Doeschate, A. M. M.; Ward, B.] Univ Galway, Ryan Inst, Sch Nat Sci, AirSea Lab, Galway, Ireland; [ten Doeschate, A. M. M.] Dalhousie Univ, Dept Oceanog, Halifax, NS, Canada; [Park, W.] Pusan Natl Univ, IBS Ctr Climate Phys, Dept Climate Syst, Busan, South Korea</t>
  </si>
  <si>
    <t>Centre National de la Recherche Scientifique (CNRS); Sorbonne Universite; Museum National d'Histoire Naturelle (MNHN); Institut de Recherche pour le Developpement (IRD); UK Research &amp; Innovation (UKRI); Natural Environment Research Council (NERC); NERC British Antarctic Survey; University of Gothenburg; University of Reading; Swiss Federal Institutes of Technology Domain; ETH Zurich; Helmholtz Association; Alfred Wegener Institute, Helmholtz Centre for Polar &amp; Marine Research; NERC National Oceanography Centre; University of Oxford; Council for Scientific &amp; Industrial Research (CSIR) - South Africa; University of Southampton; Helmholtz Association; GEOMAR Helmholtz Center for Ocean Research Kiel; Norwegian Research Centre (NORCE); University of Cape Town; Ollscoil na Gaillimhe-University of Galway; Dalhousie University; Institute for Basic Science - Korea (IBS); Pusan National University</t>
  </si>
  <si>
    <t>Sallee, JB (corresponding author), Sorbonne Univ, Lab Oceanog &amp; Climat Experimentat &amp; Approches Nume, CNRS, IRD,MNHN, Paris, France.</t>
  </si>
  <si>
    <t>jean-baptiste.sallee@locean.ipsl.fr</t>
  </si>
  <si>
    <t>Monteiro, Pedro M. S./D-3767-2009; SALLEE, Jean baptiste/HDO-5355-2022; Park, Wonsun/J-8097-2012; Gruber, Nicolas/B-7013-2009; Marshall, David Philip/B-6767-2009; Styles, Andrew/GZM-5733-2022; Abrahamsen, Povl/B-2140-2008; Swart, Sebastiaan/U-5498-2017; Llanillo, Pedro/L-5877-2015</t>
  </si>
  <si>
    <t>Park, Wonsun/0000-0002-6345-8428; Gruber, Nicolas/0000-0002-2085-2310; Marshall, David Philip/0000-0002-5199-6579; Abrahamsen, Povl/0000-0001-5924-5350; Badhe, Renuka/0000-0001-5255-744X; Lindeman, Margaret Ruth/0000-0003-1737-4861; Narayanan, Aditya/0000-0002-8967-2211; Patmore, Ryan/0000-0002-5571-9229; Llanillo, Pedro/0000-0002-9308-501X; Rathore, Saurabh/0000-0001-6677-6838; Vogt, Linus/0000-0002-5967-4662; Silvy, Yona/0000-0002-7082-7375</t>
  </si>
  <si>
    <t>European Union [821001]; H2020 Societal Challenges Programme [821001] Funding Source: H2020 Societal Challenges Programme</t>
  </si>
  <si>
    <t>European Union(European Union (EU)); H2020 Societal Challenges Programme(Horizon 2020European Union (EU)H2020 Societal Challenges Programme)</t>
  </si>
  <si>
    <t>This project has received funding from the European Union's Horizon 2020 research and innovation programme under grant agreement no. 821001</t>
  </si>
  <si>
    <t>10.1098/rsta.2022.0056</t>
  </si>
  <si>
    <t>WOS:000983226900010</t>
  </si>
  <si>
    <t>Thomalla, SJ; Du Plessis, M; Fauchereau, N; Giddy, I; Gregor, L; Henson, S; Joubert, WR; Little, H; Monteiro, PMS; Mtshali, T; Nicholson, S; Ryan-Keogh, TJ; Swart, S</t>
  </si>
  <si>
    <t>Thomalla, Sandy J.; Du Plessis, Marcel; Fauchereau, Nicolas; Giddy, Isabelle; Gregor, Luke; Henson, Stephanie; Joubert, Warren R.; Little, Hazel; Monteiro, Pedro M. S.; Mtshali, Thato; Nicholson, Sarah; Ryan-Keogh, Thomas J.; Swart, Sebastiaan</t>
  </si>
  <si>
    <t>Southern Ocean phytoplankton dynamics and carbon export: insights from a seasonal cycle approach</t>
  </si>
  <si>
    <t>Southern Ocean; biological carbon pump; fine-scale resolution; climate change</t>
  </si>
  <si>
    <t>NET COMMUNITY PRODUCTION; CO2 FLUXES; HIGH-RESOLUTION; NORTH-ATLANTIC; ROBOTIC OBSERVATIONS; PACIFIC SECTOR; SPRING BLOOMS; PARTICLE-FLUX; IRON; DRIVEN</t>
  </si>
  <si>
    <t>Quantifying the strength and efficiency of the Southern Ocean biological carbon pump (BCP) and its response to predicted changes in the Earth's climate is fundamental to our ability to predict long-term changes in the global carbon cycle and, by extension, the impact of continued anthropogenic perturbation of atmospheric CO2. There is little agreement, however, in climate model projections of the sensitivity of the Southern Ocean BCP to climate change, with a lack of consensus in even the direction of predicted change, highlighting a gap in our understanding of a major planetary carbon flux. In this review, we summarize relevant research that highlights the important role of fine-scale dynamics (both temporal and spatial) that link physical forcing mechanisms to biogeochemical responses that impact the characteristics of the seasonal cycle of phytoplankton and by extension the BCP. This approach highlights the potential for integrating autonomous and remote sensing observations of fine scale dynamics to derive regionally optimized biogeochemical parameterizations for Southern Ocean models. Ongoing development in both the observational and modelling fields will generate new insights into Southern Ocean ecosystem function for improved predictions of the sensitivity of the Southern Ocean BCP to climate change.This article is part of a discussion meeting issue 'Heat and carbon uptake in the Southern Ocean: the state of the art and future priorities'.</t>
  </si>
  <si>
    <t>[Thomalla, Sandy J.; Giddy, Isabelle; Monteiro, Pedro M. S.; Nicholson, Sarah; Ryan-Keogh, Thomas J.] CSIR, Southern Ocean Carbon Climate Observ, Cape Town, South Africa; [Thomalla, Sandy J.] Univ Cape Town, Marine &amp; Antarctic Res Ctr Innovat &amp; Sustainabil, Cape Town, South Africa; [Giddy, Isabelle; Little, Hazel; Swart, Sebastiaan] Univ Cape Town, Dept Oceanog, Cape Town, South Africa; [Du Plessis, Marcel; Swart, Sebastiaan] Univ Gothenburg, Dept Marine Sci, Gothenburg, Sweden; [Fauchereau, Nicolas] Natl Inst Water &amp; Atmospher Res, Hamilton, New Zealand; [Gregor, Luke] Swiss Fed Inst Technol, Inst Biogeochem &amp; Pollutant Dynam, Environm Phys Grp, Zurich, Switzerland; [Henson, Stephanie] Natl Oceanog Ctr, Southampton, England; [Joubert, Warren R.] South African Weather Serv, Cape Town, South Africa; [Mtshali, Thato] Dept Forestry Fisheries &amp; Environm, Oceans &amp; Coast, Cape Town, South Africa; [Monteiro, Pedro M. S.] Stellenbosch Univ, Sch Climate Studies, Stellenbosch, South Africa</t>
  </si>
  <si>
    <t>Council for Scientific &amp; Industrial Research (CSIR) - South Africa; University of Cape Town; University of Cape Town; University of Gothenburg; National Institute of Water &amp; Atmospheric Research (NIWA) - New Zealand; Swiss Federal Institutes of Technology Domain; ETH Zurich; NERC National Oceanography Centre; South African Weather Service (SAWS); Stellenbosch University</t>
  </si>
  <si>
    <t>Thomalla, SJ (corresponding author), CSIR, Southern Ocean Carbon Climate Observ, Cape Town, South Africa.;Thomalla, SJ (corresponding author), Univ Cape Town, Marine &amp; Antarctic Res Ctr Innovat &amp; Sustainabil, Cape Town, South Africa.</t>
  </si>
  <si>
    <t>sandy.thomalla@gmail.com</t>
  </si>
  <si>
    <t>Monteiro, Pedro M. S./D-3767-2009; Swart, Sebastiaan/U-5498-2017</t>
  </si>
  <si>
    <t>Thomalla, Sandy/0000-0002-6802-520X; du Plessis, Marcel/0000-0003-2759-2467</t>
  </si>
  <si>
    <t>10.1098/rsta.2022.0068</t>
  </si>
  <si>
    <t>WOS:000983226900004</t>
  </si>
  <si>
    <t>Williams, RG; Ceppi, P; Roussenov, V; Katavouta, A; Meijers, AJS</t>
  </si>
  <si>
    <t>Williams, Richard G.; Ceppi, Paulo; Roussenov, Vassil; Katavouta, Anna; Meijers, Andrew J. S.</t>
  </si>
  <si>
    <t>The role of the Southern Ocean in the global climate response to carbon emissions</t>
  </si>
  <si>
    <t>heat uptake; carbon uptake; climate feedback; carbon feedback; transient climate response to carbon emissions; climate projections</t>
  </si>
  <si>
    <t>EARTH SYSTEM MODEL; OVERTURNING CIRCULATION; CYCLE FEEDBACKS; HISTORICAL BIAS; SEA-ICE; CMIP5; CO2; SENSITIVITY; HEAT; STORAGE</t>
  </si>
  <si>
    <t>The effect of the Southern Ocean on global climate change is assessed using Earth system model projections following an idealized 1% annual rise in atmospheric CO2. For this scenario, the Southern Ocean plays a significant role in sequestering heat and anthropogenic carbon, accounting for 40% +/- 5% of heat uptake and 44% +/- 2% of anthropogenic carbon uptake over the global ocean (with the Southern Ocean defined as south of 36 degrees S). This Southern Ocean fraction of global heat uptake is however less than in historical scenarios with marked hemispheric contrasts in radiative forcing. For this idealized scenario, inter-model differences in global and Southern Ocean heat uptake are strongly affected by physical feedbacks, especially cloud feedbacks over the globe and surface albedo feedbacks from sea-ice loss in high latitudes, through the top-of-the-atmosphere energy balance. The ocean carbon response is similar in most models with carbon storage increasing from rising atmospheric CO2, but weakly decreasing from climate change with competing ventilation and biological contributions over the Southern Ocean. The Southern Ocean affects a global climate metric, the transient climate response to emissions, accounting for 28% of its thermal contribution through its physical climate feedbacks and heat uptake, and so affects inter-model differences in meeting warming targets.This article is part of a discussion meeting issue 'Heat and carbon uptake in the Southern Ocean: the state of the art and future priorities'.</t>
  </si>
  <si>
    <t>[Williams, Richard G.; Roussenov, Vassil; Katavouta, Anna] Univ Liverpool, Sch Environm Sci, Dept Earth Ocean &amp; Ecol Sci, Liverpool L69 3GP, England; [Ceppi, Paulo] Imperial Coll London, Dept Phys, London SW7 2AZ, England; [Katavouta, Anna] Natl Oceanog Ctr, Marine Syst Modelling, Proudman Bldg, Liverpool L69 3GP, England; [Meijers, Andrew J. S.] British Antarctic Survey, Polar Oceans, Cambridge, England</t>
  </si>
  <si>
    <t>University of Liverpool; Imperial College London; NERC National Oceanography Centre; UK Research &amp; Innovation (UKRI); Natural Environment Research Council (NERC); NERC British Antarctic Survey</t>
  </si>
  <si>
    <t>Williams, RG (corresponding author), Univ Liverpool, Sch Environm Sci, Dept Earth Ocean &amp; Ecol Sci, Liverpool L69 3GP, England.</t>
  </si>
  <si>
    <t>ric@liverpool.ac.uk</t>
  </si>
  <si>
    <t>Williams, Richard G/K-4111-2016; Ceppi, Paulo/N-2282-2016</t>
  </si>
  <si>
    <t>Williams, Richard G/0000-0002-3180-7558; Ceppi, Paulo/0000-0002-3754-3506; Katavouta, Anna/0000-0002-1587-4996</t>
  </si>
  <si>
    <t>U.K. Natural Environmental Research Council [NE/T007788/1, NE/T010657/1]; Imperial College Research Fellowship; NERC [NE/T006250/1, NE/T01069X/1, NE/N018095/1, NE/V013254/1]</t>
  </si>
  <si>
    <t>U.K. Natural Environmental Research Council(UK Research &amp; Innovation (UKRI)Natural Environment Research Council (NERC)); Imperial College Research Fellowship; NERC(UK Research &amp; Innovation (UKRI)Natural Environment Research Council (NERC))</t>
  </si>
  <si>
    <t>This research was supported by grants from the U.K. Natural Environmental Research Council: R.G.W., P.C., V.R. and A.K. by NE/T007788/1; R.G.W. and V.R. by NE/T010657/1 (SARDINE); P.C. by an Imperial College Research Fellowship and NERC grant NE/T006250/1; A.J.S.M. by NE/T01069X/1 (SARDINE), NE/N018095/1 (ORCHESTRA) and NE/V013254/1 (ENCORE).</t>
  </si>
  <si>
    <t>10.1098/rsta.2022.0062</t>
  </si>
  <si>
    <t>WOS:000983226900009</t>
  </si>
  <si>
    <t>Shah, ES; Jayaprasad, P; Mehra, R; Putrevu, D; Misra, A; James, ME</t>
  </si>
  <si>
    <t>Shah, Esha; Jayaprasad, P.; Mehra, Raghav; Putrevu, Deepak; Misra, Arundhati; James, M. E.</t>
  </si>
  <si>
    <t>Extraction of Antarctic ice features using hybrid polarimetric RISAT-1 SAR data</t>
  </si>
  <si>
    <t>CURRENT SCIENCE</t>
  </si>
  <si>
    <t>Classification accuracy; confusion matrix; hy-brid polarimetry; ice features; m-&amp; chi; decomposition; synthetic aperture radar data</t>
  </si>
  <si>
    <t>Compact polarimetry has gained popularity due to its advantages, such as larger swath, simple architecture and low power consumption. The backscattered signal and scattering decomposition vary for different targets based on their electrical, geometrical and structural properties. As of now, the potential of hybrid polarimet-ric synthetic aperture radar (SAR) data for exploring Antarctic ice features is not fully explored. Here, we present a comprehensive polarimetric feature analysis and classification results of the hybrid polarimetric data -set acquired by RISAT-1 near the Indian Antarctic re-search station Maitri. The single-look complex images have been subjected to polarimetric data processing for extracting Antarctic ice features using POLSARPRO software. The polarimetric coherence matrix is generated and then filtered to eliminate speckles. Raney m-? de-composition technique has been utilized to understand the scattering mechanism of the targets. The decomposed RGB image is classified using Wishart-supervised clas-sification, and classification accuracy is assessed using a confusion matrix. It is found that the comparatively simple hybrid polarimetric SAR provides sufficient in-formation to detect and discriminate various Antarctic ice features. Features such as rifts, ice-rises, ice shelves and icebergs are clearly discriminated using Wishart-supervised classification. It is also found that the overall accuracy of the classification of study areas varies bet-ween 80% and 97%, suggesting a good classification outcome.</t>
  </si>
  <si>
    <t>[Shah, Esha; James, M. E.] Gujarat Univ, Phys Dept, Ahmadabad 380009, India; [Jayaprasad, P.; Mehra, Raghav; Putrevu, Deepak; Misra, Arundhati] Space Applicat Ctr, Ahmadabad 380015, India</t>
  </si>
  <si>
    <t>Gujarat University; Department of Space (DoS), Government of India; Indian Space Research Organisation (ISRO); Space Applications Centre (SAC)</t>
  </si>
  <si>
    <t>Shah, ES (corresponding author), Gujarat Univ, Phys Dept, Ahmadabad 380009, India.</t>
  </si>
  <si>
    <t>eshu7456@gmail.com</t>
  </si>
  <si>
    <t>Physics Department, Gujarat University; University Grants Commission and Department of Science and Technology through Special Assistance Programme</t>
  </si>
  <si>
    <t>&amp; nbsp;We thank the Director and Deputy Director Earth, Ocean, Atmosphere, Planetary Sciences and Applications Area, Space Applications Centre (SAC) , Ahmedabad for providing the opportunity to work in collaboration with Gujarat University. We also thank the Head and colleagues at the Cryosphere Science Division, SAC, the Head, Microwave Data Processing Division and the Head, Physics Department, Gujarat University for support. Financial support extended to the Physics Department, Gujarat University by University Grants Commission and Department of Science and Technology through Special Assistance Programme and fund for improvement of S &amp; amp;T infrastructure programmes respectively, is acknowledged.</t>
  </si>
  <si>
    <t>INDIAN ACAD SCIENCES</t>
  </si>
  <si>
    <t>BANGALORE</t>
  </si>
  <si>
    <t>C V RAMAN AVENUE, SADASHIVANAGAR, P B #8005, BANGALORE 560 080, INDIA</t>
  </si>
  <si>
    <t>0011-3891</t>
  </si>
  <si>
    <t>CURR SCI INDIA</t>
  </si>
  <si>
    <t>Curr. Sci.</t>
  </si>
  <si>
    <t>JUN 25</t>
  </si>
  <si>
    <t>10.18520/cs/v124/i12/1445-1453</t>
  </si>
  <si>
    <t>M8KK2</t>
  </si>
  <si>
    <t>WOS:001032647400012</t>
  </si>
  <si>
    <t>Barros, M; Pivetta, CP; Gregori, DA; Benedini, L; Strazzere, L; Geraldes, MC; Marcos, P</t>
  </si>
  <si>
    <t>Barros, Mercedes; Pivetta, Cecilia Pavon; Gregori, Daniel A. A.; Benedini, Leonardo; Strazzere, Leonardo; Geraldes, Mauro C. C.; Marcos, Paulo</t>
  </si>
  <si>
    <t>Early Jurassic tectonomagmatic stages in the western North Patagonian Region, Argentina: insights from the Comallo volcanic sedimentary complex</t>
  </si>
  <si>
    <t>INTERNATIONAL GEOLOGY REVIEW</t>
  </si>
  <si>
    <t>Early Jurassic; volcanism; North Patagonian region; Comallo; Argentina</t>
  </si>
  <si>
    <t>PLASMA-MASS SPECTROMETRY; MC-ICP-MS; U-PB; CHEMICAL CLASSIFICATION; SOUTHWESTERN GONDWANA; GEODYNAMIC EVOLUTION; ANTARCTIC PENINSULA; MANTLE PLUME; BREAK-UP; HF</t>
  </si>
  <si>
    <t>The Comallo volcanic sedimentary Complex in the western North Patagonian Region begins with the development and collapse of Plinian-type eruptive columns of rhyolitic and dacitic composition associated to vent at approximately 192 Ma. Synchronous deposits are originating in alluvial and lagoon environments. The &amp; sigma;Hf(t) values obtained in zircon grains indicate possible derivation by melting Paleoproterozoic and Mesoproterozoic crust. Upwards in the sequence appears basaltic and andesitic lava flows, as well as pyroclastic deposits produced during the eruptions. This volcanism is related to sustained pyroclastic fountains with a U-Pb zircon age of 185 Ma. The volcanic rocks were possibly derived from Paleoproterozoic, Mesoproterozoic, and Neoproterozoic crust affected by juvenile magmas in volcanic-arc environments. Chemical and isotopic variations are mainly due to changes in the local and regional tectonic conditions, the thickness of the continental crust, as well as the dip and age of the subducted oceanic crust.</t>
  </si>
  <si>
    <t>[Barros, Mercedes; Pivetta, Cecilia Pavon; Gregori, Daniel A. A.; Benedini, Leonardo; Strazzere, Leonardo] Consejo Nacl Invest Cient &amp; Tecn, INGEOSUR, Blanca, Argentina; [Barros, Mercedes; Gregori, Daniel A. A.; Benedini, Leonardo] Univ Nacl Sur, Dept Geol, Catedra Geol Argentina, Blanca, Argentina; [Pivetta, Cecilia Pavon] Univ Nacl Sur, Dept Geol, Catedra Geol Yacimientos, Blanca, Argentina; [Strazzere, Leonardo] Univ Nacl Sur, Dept Geol, Catedra Geol Min, Blanca, Argentina; [Geraldes, Mauro C. C.] Univ Estado Rio de Janeiro, Fac Geol, Dept Geol Reg &amp; Geotecton, Rio De Janeiro, Brazil; [Marcos, Paulo] Univ Nacl Rio Negro, Inst Invest Paleobiol &amp; Geol, CONICET, Gen Roca, Argentina; [Barros, Mercedes] Consejo Nacl Invest Cient &amp; Tecn, INGEOSUR, Ave Alem 1253,Cuerpo B,1er Piso, RA-8000 Bahia, Blanca, Argentina</t>
  </si>
  <si>
    <t>Consejo Nacional de Investigaciones Cientificas y Tecnicas (CONICET); National University of the South; National University of the South; National University of the South; Universidade do Estado do Rio de Janeiro; Consejo Nacional de Investigaciones Cientificas y Tecnicas (CONICET); Consejo Nacional de Investigaciones Cientificas y Tecnicas (CONICET)</t>
  </si>
  <si>
    <t>Barros, M (corresponding author), Consejo Nacl Invest Cient &amp; Tecn, INGEOSUR, Ave Alem 1253,Cuerpo B,1er Piso, RA-8000 Bahia, Blanca, Argentina.</t>
  </si>
  <si>
    <t>barros_mercedes@hotmail.com</t>
  </si>
  <si>
    <t>Pavon Pivetta, Cecilia/0000-0002-7322-7965; Gregori, Daniel/0000-0003-2345-1878; Benedini, Leonardo/0000-0001-7072-466X</t>
  </si>
  <si>
    <t>Universidad Nacional del Sur [24/H060, 24/H121]; [11220150100184]</t>
  </si>
  <si>
    <t>Universidad Nacional del Sur;</t>
  </si>
  <si>
    <t>This work was supported by the Consejo Nacional de Investigaciones Cientificas y Tecnicas [Grant 11220150100184]; and Secretaria General de Ciencia y Tecnologia, Universidad Nacional del Sur [Grant 24/H060, Grant 24/H121]</t>
  </si>
  <si>
    <t>0020-6814</t>
  </si>
  <si>
    <t>1938-2839</t>
  </si>
  <si>
    <t>INT GEOL REV</t>
  </si>
  <si>
    <t>Int. Geol. Rev.</t>
  </si>
  <si>
    <t>MAR 8</t>
  </si>
  <si>
    <t>10.1080/00206814.2023.2225579</t>
  </si>
  <si>
    <t>FN5G6</t>
  </si>
  <si>
    <t>WOS:001012016800001</t>
  </si>
  <si>
    <t>Command, RJ; De Leo, FC; Mckenzie, CH; Robert, K</t>
  </si>
  <si>
    <t>Command, Rylan J.; De Leo, Fabio C.; Mckenzie, Cynthia H.; Robert, Katleen</t>
  </si>
  <si>
    <t>A first look at megabenthic community responses to seasonal change using the new Holyrood Subsea Observatory in Conception Bay, NL</t>
  </si>
  <si>
    <t>ANTARCTIC PENINSULA SHELF; LONG-TERM CHANGE; FEEDING-ACTIVITY; NORTH-ATLANTIC; SEA-FLOOR; REPRODUCTIVE STRATEGIES; BIOCHEMICAL-COMPOSITION; GAMETOGENIC ECOLOGY; BARKLEY CANYON; FOOD BANKS</t>
  </si>
  <si>
    <t>Sub-Arctic seafloor communities rely on seasonal phytoplankton blooms for food, revealing a tight benthic-pelagic coupling. To maximize resource availability for offspring, organisms such as snow crabs, sea stars, and sea cucumbers synchronize their reproductive and feeding behaviours with spring blooms. Due to climate change, spring blooms are occurring earlier in sub-Arctic regions, leading to a possible mismatch between timing of resource availability and important life-history behaviours. Here, we utilize high-frequency time-series observations from the Holyrood Subsea Observatory, a new cabled seafloor observatory deployed in Conception Bay, Newfoundland. We use hourly data collected from environmental sensors (Conductivity-Temperature-Depth, Acoustic Doppler Current Profiler, fluorometer), a near-surface mooring (fluorometer), and a video camera to identify and quantify abundance and diversity of benthic megafauna, and to determine how community composition changed from pre-bloom to full bloom conditions. Data analysis revealed striking temporal changes in benthic activity, with the notable emergence of Psolus cf. phantapus sea cucumbers (up to 289.9 indiv./m2) coinciding with increased chlorophyll-a concentration and seawater temperature. At least three dense schools of forage fish, two Atlantic herring (79 and 144 indiv. frame  1) and one capelin (91 indiv. frame  1), were observed during the main bloom between May 5 and June 16. This study provides the first high-frequency in situ observations of benthic community response to seasonal food input in the region. The high temporal resolution made it possible to record the precise timing of the of Psolus cf. phantapus emergence in relation to the timing of food input to the seafloor, which will provide a baseline to monitor phenology as climate change progresses. Changes to the timing of spring blooms have implications for sub-Arctic fisheries productivity and ecosystem functioning, making continuous long-term monitoring of seafloor communities essential.</t>
  </si>
  <si>
    <t>[Command, Rylan J.; Robert, Katleen] Mem Univ Newfoundland &amp; Labrador, Fisheries &amp; Marine Inst, St John, NF, Canada; [De Leo, Fabio C.] Ocean Networks Canada, Victoria, BC, Canada; [Mckenzie, Cynthia H.] Northwest Atlantic Fisheries Ctr, Fisheries &amp; Oceans Canada, St John, NF, Canada</t>
  </si>
  <si>
    <t>Memorial University Newfoundland; Fisheries &amp; Oceans Canada</t>
  </si>
  <si>
    <t>Command, RJ (corresponding author), Mem Univ Newfoundland &amp; Labrador, Fisheries &amp; Marine Inst, St John, NF, Canada.</t>
  </si>
  <si>
    <t>rylancommand95@gmail.com</t>
  </si>
  <si>
    <t>Command, Rylan/0000-0001-9574-7024</t>
  </si>
  <si>
    <t>Marine Environmental Observation, Prediction and Response Network (MEOPAR); Canada Research Chair (Ocean Mapping); Marine Institute of Memorial University of New foundland; Canada Foundation for Innovation-Major Science Initiative (CFI-MSI) fund; Atlantic Canada Opportunities Agency (ACOA); [30199]</t>
  </si>
  <si>
    <t>Marine Environmental Observation, Prediction and Response Network (MEOPAR); Canada Research Chair (Ocean Mapping); Marine Institute of Memorial University of New foundland; Canada Foundation for Innovation-Major Science Initiative (CFI-MSI) fund(Canada Foundation for Innovation); Atlantic Canada Opportunities Agency (ACOA);</t>
  </si>
  <si>
    <t>This project and R. Command were supported by an Early Career Faculty Award Grant to Dr. Katleen Robert from the Marine Environmental Observation, Prediction and Response Network (MEOPAR) and a Canada Research Chair (Ocean Mapping) to PI K. Robert. The Holyrood Subsea Observatory platform was jointly funded by Atlantic Canada Opportunities Agency (ACOA) and the Marine Institute of Memorial University of New foundland. Ocean Networks Canada is funded through Canada Foundation for Innovation-Major Science Initiative (CFI-MSI) fund 30199. We also thank ONC's marine and digital operations staff for servicing and maintaining the Holyrood Subsea Observatory and for the curation and quality control of all oceanographic data streams used in this study. In particular, the efforts by S. Kerschtien and S. Wagner for troubleshooting issues with the acquisition of video imagery were key. We thank Fisheries and Oceans Canada for supplying the multiparameter sonde, H. Lambert and K. Matheson for instrument support, and A. Templeman and K. Regular for deploying and recovering the sonde. We also thank AM, MV, and two anonymous reviewers, whose feedback and suggestions greatly improved the manuscript.</t>
  </si>
  <si>
    <t>10.1016/j.pocean.2023.103071</t>
  </si>
  <si>
    <t>Q7OA8</t>
  </si>
  <si>
    <t>WOS:001059369300001</t>
  </si>
  <si>
    <t>Mo, A; Park, K; Yang, EJ; Park, J; Kim, TW</t>
  </si>
  <si>
    <t>Mo, Ahra; Park, Keyhong; Yang, Eun Jin; Park, Jisoo; Kim, Tae-Wook</t>
  </si>
  <si>
    <t>Seasonal variation of inorganic carbon parameters and air-sea exchange of CO2 in Marian Cove, King George Island, Western Antarctic Peninsula</t>
  </si>
  <si>
    <t>King George Island; Partial pressure ofCO2(pCO2); Air-seaCO2 exchange; Maxwell Bay; Marian Cove</t>
  </si>
  <si>
    <t>SOUTH SHETLAND ISLANDS; OCEAN; DIOXIDE; FLUXES; DISSOCIATION; VARIABILITY; SATURATION; CONSTANTS; SEAWATER; SYSTEM</t>
  </si>
  <si>
    <t>Inorganic carbon parameters were observed in Marian Cove, King George Island, Western Antarctic Peninsula, to assess the impact of the Antarctic coastal regions on air-sea CO2 exchange. The variations in total alkalinity (TA) and dissolved inorganic carbon (DIC) were caused by ice melting, formation, and biological activities. The net annual air-sea CO2 flux (5.6 &amp; PLUSMN; 11.8 mmol m- 2 d-1) indicated that Marian Cove was a CO2 source in the at-mosphere, suggesting the opposite role of the Antarctic coastal regions to the Southern Ocean in CO2 flux es-timates. Finally, this study identified the controlling factors of the annual variation of TA and DIC for the first time through direct field observations in King George Island. This study indicated that Antarctic coastal regions can act as a CO2 source to the atmosphere. Thus, further investigations and continuous monitoring are required in the coastal areas to improve our understanding of global carbon cycles.</t>
  </si>
  <si>
    <t>[Mo, Ahra; Park, Keyhong; Yang, Eun Jin; Park, Jisoo] Korea Polar Res Inst, Div Ocean Sci, Incheon 21990, South Korea; [Kim, Tae-Wook] Korea Univ, Div Environm Sci &amp; Ecol Engn, Seoul 02841, South Korea; [Kim, Tae-Wook] Korea Univ, OJEong Resilience Inst, Seoul 02841, South Korea</t>
  </si>
  <si>
    <t>Korea Polar Research Institute (KOPRI); Korea University; Korea University</t>
  </si>
  <si>
    <t>Mo, A (corresponding author), Korea Polar Res Inst, Div Ocean Sci, Incheon 21990, South Korea.;Kim, TW (corresponding author), Korea Univ, Div Environm Sci &amp; Ecol Engn, Seoul 02841, South Korea.</t>
  </si>
  <si>
    <t>ahramo@kopri.re.kr; kimtwk@korea.ac.kr</t>
  </si>
  <si>
    <t>Kim, Tae-Wook/E-9611-2011</t>
  </si>
  <si>
    <t>Carbon cycle change and ecosystem response under the Southern Ocean warming [PE23110]; Polar Academic Program - Korea Polar Research Institute [PE17900]; National Research Foundation of Korea [2019R1A2C2089994]</t>
  </si>
  <si>
    <t>Carbon cycle change and ecosystem response under the Southern Ocean warming; Polar Academic Program - Korea Polar Research Institute(Korea Polar Research Institute of Marine Research Placement (KOPRI)); National Research Foundation of Korea(National Research Foundation of Korea)</t>
  </si>
  <si>
    <t>This work was supported by the Carbon cycle change and ecosystem response under the Southern Ocean warming (PE23110) and the Polar Academic Program (PE17900) funded by the Korea Polar Research Institute, and the Mid-Career Researcher Program (2019R1A2C2089994) funded by the National Research Foundation of Korea.</t>
  </si>
  <si>
    <t>10.1016/j.marpolbul.2023.115185</t>
  </si>
  <si>
    <t>O0JK2</t>
  </si>
  <si>
    <t>WOS:001040768100001</t>
  </si>
  <si>
    <t>Nimkande, VD; Krishnamurthi, K; Bafana, A</t>
  </si>
  <si>
    <t>Nimkande, Vijay D.; Krishnamurthi, Kannan; Bafana, Amit</t>
  </si>
  <si>
    <t>Potential of Antarctic lipase from Acinetobacter johnsonii Ant12 for treatment of lipid-rich wastewater: screening, production, properties and applications</t>
  </si>
  <si>
    <t>Lipase; Antarctic strain; Extreme habitat; Bioremediation; Lipid-rich wastewater; Full factorial design</t>
  </si>
  <si>
    <t>COLD-ADAPTED LIPASE; ACTIVE LIPASE; PURIFICATION; EXPRESSION; BACTERIUM</t>
  </si>
  <si>
    <t>The present study aimed to screen and optimize lipase production by the Antarctic strain Acinetobacter johnsonii Ant12 for lipid-rich wastewater treatment. Lipase production was successfully enhanced threefold through optimization of culture conditions. The optimum crude lipase activity was observed at 50 &amp; DEG;C with high stability in a wide temperature range. The lipase also exhibited high activity and stability in the presence of solvents, metal ions, and surfactants. The crude lipase was used for the treatment of lipid-rich wastewater, which poses a significant challenge, as traditional removal methods are often inefficient or non-eco-friendly. In this study, bioaugmentation with Ant12 resulted in substantial lipid reduction in synthetic as well as real-world wastewater. Multiple linear regression analysis showed that lipid concentration and time were the most significant factors influencing lipid degradation. Bioaugmentation of real-world wastewater with Ant12 cells resulted in 84% removal of lipids in 72 h, while its crude lipase degraded 73.7% of lipids after 24 h. Thus, the specific rate of lipid degradation was higher for crude lipase (0.095/h) than the whole cell treatment (0.031/h). Economic analysis revealed that crude lipase production was much cheaper, faster and more eco-friendly than purified or partially purified lipase production, which justifies its use in wastewater treatment. The high activity of enzyme also implicates its application as a detergent additive. In our knowledge, it is the first study to establish A. johnsonii isolate from Antarctica for lipid-rich wastewater treatment.</t>
  </si>
  <si>
    <t>[Nimkande, Vijay D.; Krishnamurthi, Kannan; Bafana, Amit] CSIR, Natl Environm Engn Res Inst NEERI, Hlth &amp; Toxicity Cell, Nehru Marg, Nagpur 440020, India; [Nimkande, Vijay D.; Krishnamurthi, Kannan; Bafana, Amit] Acad Sci &amp; Innovat Res AcSIR, Ghaziabad 201002, India</t>
  </si>
  <si>
    <t>Council of Scientific &amp; Industrial Research (CSIR) - India; CSIR - National Environmental Engineering Research Institute (NEERI); Academy of Scientific &amp; Innovative Research (AcSIR)</t>
  </si>
  <si>
    <t>Bafana, A (corresponding author), CSIR, Natl Environm Engn Res Inst NEERI, Hlth &amp; Toxicity Cell, Nehru Marg, Nagpur 440020, India.;Bafana, A (corresponding author), Acad Sci &amp; Innovat Res AcSIR, Ghaziabad 201002, India.</t>
  </si>
  <si>
    <t>a_bafana@neeri.res.in</t>
  </si>
  <si>
    <t>10.1007/s10532-023-10041-6</t>
  </si>
  <si>
    <t>S5SF5</t>
  </si>
  <si>
    <t>WOS:001016192900003</t>
  </si>
  <si>
    <t>Turschwell, MP; Brown, CJ; Lacharité, M; Melbourne-Thomas, J; Hayes, KR; Bustamante, RH; Dambacher, JM; Evans, K; Fidelman, P; MacDonald, DH; Van Putten, I; Wood, G; Abdussamie, N; Bates, M; Blackwell, D; D'Alessandro, S; Dutton, I; Ericson, JA; Frid, CLJ; McDougall, C; Lea, MA; Rissik, D; Trebilco, R; Fulton, EA</t>
  </si>
  <si>
    <t>Turschwell, Mischa P.; Brown, Christopher J.; Lacharite, Myriam; Melbourne-Thomas, Jess; Hayes, Keith R.; Bustamante, Rodrigo H.; Dambacher, Jeffrey M.; Evans, Karen; Fidelman, Pedro; MacDonald, Darla Hatton; Van Putten, Ingrid; Wood, Graham; Abdussamie, Nagi; Bates, Mathilda; Blackwell, Damien; D'Alessandro, Steven; Dutton, Ian; Ericson, Jessica A.; Frid, Christopher L. J.; McDougall, Carmel; Lea, Mary-Anne; Rissik, David; Trebilco, Rowan; Fulton, Elizabeth A.</t>
  </si>
  <si>
    <t>Co-designing a multi-criteria approach to ranking hazards to and from Australia's emerging offshore blue economy</t>
  </si>
  <si>
    <t>ENVIRONMENTAL SCIENCE &amp; POLICY</t>
  </si>
  <si>
    <t>Sustainability; Equity; Seafood production; Renewable energy; Ocean multi-use</t>
  </si>
  <si>
    <t>RISK ANALYSIS; DECISION</t>
  </si>
  <si>
    <t>A multi-sectoral assessment of risks can support the management and investment decisions necessary for emerging blue economy industries to succeed. Traditional risk assessment methods will be challenged when applied to the complex socio-ecological systems that characterise offshore environments, and when data available to support management are lacking. Therefore, there is a need for assessments that account for multiple sectors. Here we describe the development of an efficient method for an integrated hazard analysis that is a precursor to full risk assessments. Our approach combines diverse disciplinary expertise, expert elicitation and multi-criteria analysis to rank hazards, so it encompasses all types of hazards including human-caused, natural and technological. We demonstrate our approach for two sectors that are predicted to grow rapidly in Australia: offshore aquaculture and marine renewable energy. Experts ranked Climate Change as the hazard with the highest overall concern, but hazards including Altered Ecosystem Function, Biosecurity, Cumulative Effects, Structural Failure and Social Licence were also highly ranked. We show here how outputs from this approach (multi-criteria scores and ranks) could be used to identify hazards that; i) could be safely retired, ii) should be progressed to more quantitative risk assessments or iii) require ongoing information collection. The approach can encompass all types of hazards, which enables it to holistically consider priorities. The expert-based multi-criteria approach outlined here represents a pragmatic way to solve some of the challenges of applying risk assessments to emerging industries by using a method that can be applied across multiple blue economy sectors.</t>
  </si>
  <si>
    <t>[Turschwell, Mischa P.; Brown, Christopher J.; McDougall, Carmel] Griffith Univ, Australian Rivers Inst, Coastal Marine Res Ctr, Nathan, Qld 4111, Australia; [Lacharite, Myriam; Lea, Mary-Anne] Univ Tasmania, Inst Marine &amp; Antarctic Studies, Hobart 7053, Australia; [Lacharite, Myriam; Melbourne-Thomas, Jess; Evans, Karen; Fidelman, Pedro; MacDonald, Darla Hatton; Van Putten, Ingrid; Wood, Graham; Dutton, Ian; Lea, Mary-Anne; Trebilco, Rowan; Fulton, Elizabeth A.] Univ Tasmania, Ctr Marine Socioecol, Hobart, Tas 7001, Australia; [Melbourne-Thomas, Jess; Evans, Karen; Van Putten, Ingrid; Trebilco, Rowan; Fulton, Elizabeth A.] CSIRO Environm, Hobart, Tas 7001, Australia; [Hayes, Keith R.; Dambacher, Jeffrey M.] CSIRO Data61, Hobart, Tas 7001, Australia; [Bustamante, Rodrigo H.] CSIRO Environm, St Lucia, Qld 4072, Australia; [Fidelman, Pedro] Univ Queensland, Ctr Policy Futures, St Lucia, Qld 4072, Australia; [MacDonald, Darla Hatton] Univ Tasmania, Tasmanian Sch Business &amp; Econ, Sandy Bay, Tas 7005, Australia; [Wood, Graham] Univ Tasmania, Sch Humanities, Launceston 7250, Australia; [Abdussamie, Nagi] Univ Tasmania, Australian Maritime Coll, Natl Ctr Maritime Engn &amp; Hydrodynam, Launceston, Tas, Australia; [Bates, Mathilda] James Cook Univ, Coll Sci &amp; Engn, Townsville, Australia; [Blackwell, Damien; Dutton, Ian] Dept Nat Resources &amp; Environm, Hobart, Tas 7001, Australia; [D'Alessandro, Steven] Edith Cowan Univ, Sch Business &amp; Law, Joondalup, WA 6027, Australia; [Ericson, Jessica A.] Cawthron Inst, Private Bag 2, Nelson 7042, New Zealand; [Frid, Christopher L. J.] Griffith Univ, Sch Environm &amp; Sci, Southport, Qld 4222, Australia; [Rissik, David] Deloitte, Brisbane, Qld 4000, Australia</t>
  </si>
  <si>
    <t>Griffith University; University of Tasmania; University of Tasmania; Commonwealth Scientific &amp; Industrial Research Organisation (CSIRO); University of Queensland; University of Tasmania; University of Tasmania; University of Tasmania; Australian Maritime College; James Cook University; Edith Cowan University; Cawthron Institute; Griffith University; Griffith University - Gold Coast Campus; Deloitte Touche Tohmatsu Limited</t>
  </si>
  <si>
    <t>Turschwell, MP (corresponding author), Griffith Univ, Australian Rivers Inst, Coastal Marine Res Ctr, Nathan, Qld 4111, Australia.</t>
  </si>
  <si>
    <t>m.turschwell@griffith.edu.au</t>
  </si>
  <si>
    <t>McDougall, Carmel/G-3512-2010; D'Alessandro, Steven/A-3797-2014; MacDonald, Darla A Hatton/D-3344-2011; Lea, Mary-Anne/E-9054-2013; Ericson, Jessica/AAP-1976-2020; Melbourne-Thomas, Jess/N-2437-2019; Hayes, Keith/A-4550-2009; Trebilco, Rowan/I-5311-2012</t>
  </si>
  <si>
    <t>McDougall, Carmel/0000-0002-2116-5651; D'Alessandro, Steven/0000-0001-7480-232X; Ericson, Jessica/0000-0001-5220-8493; Melbourne-Thomas, Jess/0000-0001-6585-876X; Hayes, Keith/0000-0003-4094-3575; Abdussamie, Nagi/0000-0002-8628-562X; Trebilco, Rowan/0000-0001-9712-8016</t>
  </si>
  <si>
    <t>Blue Economy Cooperative Research Centre (CRC); Australian Government's CRC Program [CRC-20180101]; CRC Program; Australian Research Council [DP180103124, FT210100792]; Cawthron Shellfish Aquaculture Platform [CAWX1801]; Australian Research Council [FT210100792] Funding Source: Australian Research Council</t>
  </si>
  <si>
    <t>Blue Economy Cooperative Research Centre (CRC)(Australian GovernmentDepartment of Industry, Innovation and ScienceCooperative Research Centres (CRC) Programme); Australian Government's CRC Program(Australian GovernmentDepartment of Industry, Innovation and ScienceCooperative Research Centres (CRC) Programme); CRC Program(Canada Research Chairs); Australian Research Council(Australian Research Council); Cawthron Shellfish Aquaculture Platform; Australian Research Council(Australian Research Council)</t>
  </si>
  <si>
    <t>The authors acknowledge the financial support of the Blue Economy Cooperative Research Centre (CRC) , established and supported under the Australian Government's CRC Program, grant number CRC-20180101. The CRC Program supports industryled collaborations between industry, researchers and the community. CJB, and MPT-Discovery Project (DP180103124) from the Australian Research Council. CJB - Future Fellowship (FT210100792) from the Australian Research Council. Thank you to Derek Fulton for developing Figure 3 and the scenario figures in the supplementary information. Thank you to members of Seascape models lab for testing the online ranking web application. J.A. Ericson's participation was supported by the Cawthron Shellfish Aquaculture Platform (MBIE contract CAWX1801) .</t>
  </si>
  <si>
    <t>1462-9011</t>
  </si>
  <si>
    <t>1873-6416</t>
  </si>
  <si>
    <t>ENVIRON SCI POLICY</t>
  </si>
  <si>
    <t>Environ. Sci. Policy</t>
  </si>
  <si>
    <t>10.1016/j.envsci.2023.06.008</t>
  </si>
  <si>
    <t>M1RT1</t>
  </si>
  <si>
    <t>WOS:001028020300001</t>
  </si>
  <si>
    <t>Michael, PE; Hixson, KM; Gleason, JS; Haney, JC; Satgé, YG; Jodice, PGR</t>
  </si>
  <si>
    <t>Michael, Pamela E.; Hixson, Kathy M.; Gleason, Jeffery S.; Haney, J. Christopher; Satge, Yvan G.; Jodice, Patrick G. R.</t>
  </si>
  <si>
    <t>Migration, breeding location, and seascape shape seabird assemblages in the northern Gulf of Mexico</t>
  </si>
  <si>
    <t>TERN THALASSEUS-MAXIMUS; COMMUNITY STRUCTURE; PRODUCTIVITY GRADIENT; MESOSCALE FEATURES; ANTARCTIC SEABIRDS; DIET COMPOSITION; OIL-SPILL; HABITAT; PREY; FISHERY</t>
  </si>
  <si>
    <t>The Gulf of Mexico supports many seabird species, yet data gaps describing species composition and habitat use are prevalent. We used vessel-based observations from the Gulf of Mexico Marine Assessment Program for Protected Species to identify and characterize distinct seabird assemblages in the northern Gulf of Mexico (within the U.S. Exclusive Economic Zone; nGoM). Using cluster analysis of 17 seabird species, we identified assemblages based on seabird relative density. Vessel-based surveys documented the location, species, and number of seabirds across the nGoM between 2017-2019. For each assemblage, we identified the (co-)dominant species, spatial distribution, and areas of greater relative density. We also assessed the relationship of the total relative density within each assemblage with environmental, spatial, and temporal covariates. Of the species assessed, 76% (n = 13) breed predominantly outside the nGoM basin. We identified four seabird assemblages. Two assemblages, one dominated by black tern and the other co-dominated by northern gannet/laughing gull, occurred on the continental shelf. An assemblage dominated by sooty tern occurred along the continental slope into pelagic waters. The fourth assemblage had no dominant species, was broadly distributed, and was composed of observations with low relative density ('singles' assemblage). Differentiation of assemblages was linked to migratory patterns, residency, and breeding location. The spatial distributions and relationships of the black tern and northern gannet/laughing gull assemblages with environmental covariates indicate associations with river outflows and ports. The sooty tern assemblage overlapped an area prone to mesoscale feature formation. The singles assemblage may reflect commuting and dispersive behaviors. These findings highlight the importance of seasonal migrations and dynamic features across the seascape, shaping seabird assemblages. Considering the potential far-ranging effects of interactions with seabirds in the nGoM, awareness of these unique patterns and potential links with other fauna could inform future monitoring, research, restoration, offshore energy, and aquaculture development in this highly industrialized sea.</t>
  </si>
  <si>
    <t>[Michael, Pamela E.; Hixson, Kathy M.; Satge, Yvan G.] Clemson Univ, Dept Forestry &amp; Environm Conservat, South Carolina Cooperat Fish &amp; Wildlife Res Unit, Clemson, SC 29634 USA; [Gleason, Jeffery S.] US Fish &amp; Wildlife Serv, Migratory Bird Program Sci Applicat, Chiefland, FL USA; [Haney, J. Christopher] Terra Mar Appl Sci, Washington, DC USA; [Jodice, Patrick G. R.] Clemson Univ, South Carolina Cooperat Fish &amp; Wildlife Res Unit, US Geol Survey, Clemson, SC USA</t>
  </si>
  <si>
    <t>Clemson University; United States Department of the Interior; US Fish &amp; Wildlife Service; United States Department of the Interior; United States Geological Survey; Clemson University</t>
  </si>
  <si>
    <t>Michael, PE (corresponding author), Clemson Univ, Dept Forestry &amp; Environm Conservat, South Carolina Cooperat Fish &amp; Wildlife Res Unit, Clemson, SC 29634 USA.</t>
  </si>
  <si>
    <t>pemicha@g.clemson.edu</t>
  </si>
  <si>
    <t>Satgé, Yvan/JDC-6997-2023</t>
  </si>
  <si>
    <t>Satgé, Yvan/0000-0001-5148-8008; Michael, Pamela/0000-0003-4420-864X</t>
  </si>
  <si>
    <t>Bureau of Ocean Energy Management [M17PG00011]; U.S. Department of Interior, U.S. Fish and Wildlife Service [4500108172-F17IA00005]; South Carolina Cooperative Fish and Wildlife Research Unit at Clemson University; U.S. Department of the Interior; U.S. Geological Survey</t>
  </si>
  <si>
    <t>Bureau of Ocean Energy Management; U.S. Department of Interior, U.S. Fish and Wildlife Service; South Carolina Cooperative Fish and Wildlife Research Unit at Clemson University; U.S. Department of the Interior; U.S. Geological Survey(United States Geological Survey)</t>
  </si>
  <si>
    <t>Funding for GoMMAPPS surveys was provided by the U.S. Department of the Interior, Bureau of Ocean Energy Management through Intra-Agency Agreement M17PG00011 with the U. S. Department of Interior, U.S. Fish and Wildlife Service via an Intra-Agency Agreement 4500108172-F17IA00005 with the U.S. Geological Survey, South Carolina Cooperative Fish and Wildlife Research Unit at Clemson University. The Bureau of Ocean Energy Management (BOEM), the funding agency, had no role in study design, data collection or analysis, our decision to publish, or in preparation of this manuscript. The findings and conclusions in this paper are those of the author(s) and do not necessarily represent the views of the U.S. Fish and Wildlife Service. Any use of trade, firm, or product names is for descriptive purposes only and does not imply endorsement by the U.S. Government.</t>
  </si>
  <si>
    <t>JUN 23</t>
  </si>
  <si>
    <t>e0287316</t>
  </si>
  <si>
    <t>10.1371/journal.pone.0287316</t>
  </si>
  <si>
    <t>L5TV6</t>
  </si>
  <si>
    <t>WOS:001023897900108</t>
  </si>
  <si>
    <t>Zhang, T; Ji, ZQ; Chen, XF; Yu, LY</t>
  </si>
  <si>
    <t>Zhang, Tao; Ji, Zhongqiang; Chen, Xiufei; Yu, Liyan</t>
  </si>
  <si>
    <t>Shotgun metagenomics reveals a diverse mycobiome in the seawater from a High Arctic fjord (Kongsfjorden, Svalbard)</t>
  </si>
  <si>
    <t>Climate change; Marine ecosystem; Fungal community; Environmental parameters</t>
  </si>
  <si>
    <t>MARINE FUNGI; EUKARYOTES; REGION</t>
  </si>
  <si>
    <t>In the Arctic fjords, the marine mycobiome experiences significant changes under environmental conditions driven by climate change. However, research on the ecological roles and the adaptive mechanisms of marine mycobiome in the Arctic fjord remains insufficiently explored. The present study employed shotgun metagenomics to comprehensively characterize the mycobiome in 24 seawater samples from Kongsfjorden, a High Arctic fjord situated in Svalbard. It revealed the presence of a diverse mycobiome with eight phyla, 34 classes, 71 orders, 152 families, 214 genera, and 293 species. The taxonomic and functional composition of the mycobiome differed significantly among the three layers, i.e., upper layer (depth of 0 m), middle layer (depths of 30-100 m), and lower layer (depths of 150-200 m). Several taxonomic groups (e.g., phylum Ascomycota, class Eurotiomycetes, order Eurotiales, family Aspergillaceae, and genus Aspergillus) and KOs (e.g., K03236/EIF1A, K03306/TC.PIT, K08852/ERN1, and K03119/tauD) were significantly distinct among the three layers. Among the measured environmental parameters, depth, NO2 , and PO43  were identified as the key factors influencing the mycobiome composition. Conclusively, our findings revealed that the mycobiome was diverse in the Arctic seawater and significantly impacted by the variability of environmental conditions in the High Arctic fjord. These results will assist future studies in exploring the ecological and adaptive responses towards the changes within the Arctic ecosystems.</t>
  </si>
  <si>
    <t>[Zhang, Tao; Chen, Xiufei; Yu, Liyan] Chinese Acad Med Sci &amp; Peking Union Med Coll, Inst Med Biotechnol, China Pharmaceut Culture Collect, Beijing, Peoples R China; [Ji, Zhongqiang] Minist Nat Resources, Inst Oceanog 2, Key Lab Marine Ecosyst Dynam, Hangzhou, Peoples R China</t>
  </si>
  <si>
    <t>Chinese Academy of Medical Sciences - Peking Union Medical College; Peking Union Medical College; Ministry of Natural Resources of the People's Republic of China</t>
  </si>
  <si>
    <t>Zhang, T; Yu, LY (corresponding author), Chinese Acad Med Sci &amp; Peking Union Med Coll, Inst Med Biotechnol, China Pharmaceut Culture Collect, Beijing, Peoples R China.</t>
  </si>
  <si>
    <t>zhangt@cpcc.ac.cn; yly@cpcc.ac.cn</t>
  </si>
  <si>
    <t>yu, liyan/GYD-2950-2022</t>
  </si>
  <si>
    <t>yu, liyan/0000-0002-8861-9806; Zhang, Tao/0000-0002-3870-4607</t>
  </si>
  <si>
    <t>National Natural Science Foundation of China (NSFC) [32270013]; CAMS Innovation Fund for Medical Sciences [2021-I2M-1-055]; National Microbial Resource Center [NMRC-2022-3]; Non-profit Central Research Institute Fund of CAMS [2021-PT350-001]; National Key Rseesearch and Development Program of China [2019YFE0120900, 2022YFC2807603]; Chinese Arctic and Antarctic Administration and Chinese Polar Environment Comprehensive Investigation amp; Assessment Programs [CHINARE-02-01]</t>
  </si>
  <si>
    <t>National Natural Science Foundation of China (NSFC)(National Natural Science Foundation of China (NSFC)); CAMS Innovation Fund for Medical Sciences; National Microbial Resource Center; Non-profit Central Research Institute Fund of CAMS; National Key Rseesearch and Development Program of China; Chinese Arctic and Antarctic Administration and Chinese Polar Environment Comprehensive Investigation amp; Assessment Programs</t>
  </si>
  <si>
    <t>This research was supported by the National Natural Science Foundation of China (NSFC) (No. 32270013) ; CAMS Innovation Fund for Medical Sciences (Grant no. 2021-I2M-1-055) ; National Microbial Resource Center (Grant no. NMRC-2022-3) ; Non-profit Central Research Institute Fund of CAMS (Grant no. 2021-PT350-001) ; National Key Rseesearch and Development Program of China (2019YFE0120900, 2022YFC2807603) ; Chinese Arctic and Antarctic Administration and Chinese Polar Environment Comprehensive Investigation &amp; amp; Assessment Programs (CHINARE-02-01) .</t>
  </si>
  <si>
    <t>10.1016/j.envres.2023.116437</t>
  </si>
  <si>
    <t>N1GY8</t>
  </si>
  <si>
    <t>WOS:001034594000001</t>
  </si>
  <si>
    <t>Jäggi, N; Roth, ASG; Rüfenacht, M; Schönbächler, M; Galli, A</t>
  </si>
  <si>
    <t>Jaggi, Noah; Roth, Antoine S. G.; Rufenacht, Miriam; Schonbachler, Maria; Galli, Andre</t>
  </si>
  <si>
    <t>Micro-XCT chondrule classification for subsequent isotope analysis</t>
  </si>
  <si>
    <t>QUANTITATIVE-ANALYSIS; CARBONACEOUS CHONDRITES; COMPOUND CHONDRULES; ATOMIC-NUMBER; ORIGIN; CONSTRAINTS; NEBULA; MATRIX; METAL; MICROTOMOGRAPHY</t>
  </si>
  <si>
    <t>Chondrules are microscopic, recrystallized melt droplets found in chondritic meteorites. High-resolution isotope analyses of minor elements require large enough element quantities which are obtained by dissolving entire chondrules. This work emphasizes the importance of X-ray computed tomography (XCT) to detect features that can significantly affect the bulk chondrule isotope composition. It thereby expands on other works by looking into chondrules from a wide range of chondrites including CR, CV, CB, CM, L, and EL samples before turning toward complex and time-consuming chemical processing. The features considered are metal and igneous rims, compound chondrules, matrix remnants, and metal contents. In addition to the identification of these features, computed tomography prevents the inclusion of non-chondrule samples (pure matrix or metal) as well as samples where two different chondrule fragments with potentially different isotope compositions are held together by matrix. Matrix surrounding chondrules is also easily detected and the affected chondrules can be omitted or reprocessed. The results strongly encourage to perform XCT before dissolution of chondrules for isotope analysis as a non-invasive method.</t>
  </si>
  <si>
    <t>[Jaggi, Noah; Galli, Andre] Univ Bern, Phys Inst, Sidlerstr 5, CH-3012 Bern, Switzerland; [Jaggi, Noah; Roth, Antoine S. G.; Rufenacht, Miriam; Schonbachler, Maria] Swiss Fed Inst Technol, Inst Geochem Petrol, Zurich, Switzerland</t>
  </si>
  <si>
    <t>University of Bern; Swiss Federal Institutes of Technology Domain; ETH Zurich</t>
  </si>
  <si>
    <t>Jäggi, N (corresponding author), Univ Bern, Phys Inst, Sidlerstr 5, CH-3012 Bern, Switzerland.</t>
  </si>
  <si>
    <t>noah.jaeggi@unibe.ch</t>
  </si>
  <si>
    <t>Schonbachler, Maria/0000-0003-4304-214X; Jaggi, Noah Victor/0000-0002-2740-7965; Galli, Andre/0000-0003-2425-3793</t>
  </si>
  <si>
    <t>Swiss National Science Foundation [200021 L18277/1, 51NF40 182901, 51NF40 205606]; Jackson School of Geosciences (Texas) [EET 92048, QUE 97008]; NSF; NASA; Eidgenossische Technische Hochschule Zurich; Swiss National Science Foundation (SNF) [51NF40-205606, 51NF40-182901] Funding Source: Swiss National Science Foundation (SNF)</t>
  </si>
  <si>
    <t>Swiss National Science Foundation(Swiss National Science Foundation (SNSF)); Jackson School of Geosciences (Texas); NSF(National Science Foundation (NSF)); NASA(National Aeronautics &amp; Space Administration (NASA)); Eidgenossische Technische Hochschule Zurich; Swiss National Science Foundation (SNF)(Swiss National Science Foundation (SNSF))</t>
  </si>
  <si>
    <t>This work has been carried out within the framework of the National Centre of Competence in Research Planets supported by the Swiss National Science Foundation under grants 200021 L18277/1, 51NF40 182901, and 51NF40 205606. Special thanks to Romy D. Hanna from the Jackson School of Geosciences (Texas) for her repeated expert feedback, Benita Putlitz and Lukas Baumgartner from Geopolis Lausanne for their allocation of the XCT tomograph equipment and their support, Christian Liebske, Manuela Fehr (lab support), and Irene Ivanov (chondrule extraction) from ETH Zurich, Beda Hofmann, curator of the meteorite collection of the Natural History Museum of Bern for providing the Shisr 033 samples, and to the Antarctic Search for Meteorites (ANSMET) program, for supplying the EET 92048, GRA 06100.33, QUE 97008, and PCA 91020 samples.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Open access funding provided by Eidgenossische Technische Hochschule Zurich.</t>
  </si>
  <si>
    <t>10.1111/maps.14026</t>
  </si>
  <si>
    <t>WOS:001019831400001</t>
  </si>
  <si>
    <t>Sperou, ES; Crocker, DE; Borras-Chavez, R; Costa, DP; Goebel, ME; Kanatous, SB; Krause, DJ; Trumble, SJ; Kienle, SS</t>
  </si>
  <si>
    <t>Sperou, Emily S. S.; Crocker, Daniel E. E.; Borras-Chavez, Renato; Costa, Daniel P. P.; Goebel, Michael E. E.; Kanatous, Shane B. B.; Krause, Douglas J. J.; Trumble, Stephen J. J.; Kienle, Sarah S. S.</t>
  </si>
  <si>
    <t>Large and in charge: cortisol levels vary with sex, diet, and body mass in an Antarctic predator, the leopard seal</t>
  </si>
  <si>
    <t>leopard seal; marine mammals; intraspecific variation; pinniped; cortisol; physiology; body size; stable isotope</t>
  </si>
  <si>
    <t>THYROID-HORMONE CONCENTRATIONS; NORTHERN ELEPHANT SEALS; LONG-TERM STRESS; WEDDELL SEALS; STABLE-ISOTOPES; FUR SEALS; MIROUNGA-LEONINA; SERUM CHEMISTRY; PLASMA-CORTISOL; PHOCA-VITULINA</t>
  </si>
  <si>
    <t>Evaluating physiological responses in the context of a species' life history, demographics, and ecology is essential to understanding the health of individuals and populations. Here, we measured the main mammalian glucocorticoid, cortisol, in an elusive Antarctic apex predator, the leopard seal (Hydrurga leptonyx). We also examined intraspecific variation in cortisol based on life history (sex), morphometrics (body mass, body condition), and ecological traits (&amp; delta;N-15, &amp; delta;C-13). To do this, blood samples, life history traits, and morphometric data were collected from 19 individual leopard seals off the Western Antarctic Peninsula. We found that adult leopard seals have remarkably high cortisol concentrations (100.35 &amp; PLUSMN; 16.72 &amp; mu;g/dL), showing the highest circulating cortisol concentration ever reported for a pinniped: 147 &amp; mu;g/dL in an adult male. Leopard seal cortisol concentrations varied with sex, body mass, and diet. Large adult females had significantly lower cortisol (94.49 &amp; PLUSMN; 10.12 &amp; mu;g/dL) than adult males (120.85 &amp; PLUSMN; 6.20 &amp; mu;g/dL). Similarly, leopard seals with higher isotope values (i.e., adult females, &amp; delta;N-15: 11.35 &amp; PLUSMN; 0.69 &amp; PTSTHOUSND;) had lower cortisol concentrations than seals with lower isotope values (i.e., adult males, &amp; delta;N-15: 10.14 &amp; PLUSMN; 1.65 &amp; PTSTHOUSND;). Furthermore, we compared cortisol concentrations across 26 closely related Arctoid taxa (i.e., mustelids, bears, and pinnipeds) with comparable data. Leopard seals had the highest mean cortisol concentrations that were 1.25 to 50 times higher than other Arctoids. More broadly, Antarctic ice seals (Lobodontini: leopard seal, Ross seal, Weddell seal, crabeater seal) had higher cortisol concentrations compared to other pinnipeds and Arctoid species. Therefore, high cortisol is a characteristic of all lobodontines and may be a specialized adaptation within this Antarctic-dwelling clade. Together, our results highlight exceptionally high cortisol concentrations in leopard seals (and across lobodontines) and reveal high variability in cortisol concentrations among individuals from a single location. This information provides the context for understanding how leopard seal physiology changes with life history, ecology, and morphology and sets the foundation for assessing their physiology in the context of a rapidly changing Antarctic environment.</t>
  </si>
  <si>
    <t>[Sperou, Emily S. S.; Borras-Chavez, Renato; Trumble, Stephen J. J.; Kienle, Sarah S. S.] Baylor Univ, Dept Biol, Waco, TX 76706 USA; [Crocker, Daniel E. E.] Sonoma State Univ, Dept Biol, Rohnert Pk, CA USA; [Borras-Chavez, Renato] Pontificia Univ Catolica Chile, Ctr Appl Ecol &amp; Sustainabil CAPES, Dept Ecol, Santiago, Chile; [Borras-Chavez, Renato] Inst Antart Chileno INACH, Dept Projects, Punta Arenas, Chile; [Costa, Daniel P. P.; Goebel, Michael E. E.] Univ Calif Santa Cruz, Dept Ecol &amp; Evolutionary Biol, Santa Cruz, CA USA; [Goebel, Michael E. E.; Krause, Douglas J. J.] Natl Ocean &amp; Atmospher Adm NOAA Fisheries, Southwest Fisheries Sci Ctr, Antarctic Ecosyst Res Div, La Jolla, CA USA; [Kanatous, Shane B. B.] Colorado State Univ, Dept Biol, Ft Collins, CO USA</t>
  </si>
  <si>
    <t>Baylor University; California State University System; Sonoma State University; Pontificia Universidad Catolica de Chile; University of California System; University of California Santa Cruz; National Oceanic Atmospheric Admin (NOAA) - USA; Colorado State University</t>
  </si>
  <si>
    <t>Sperou, ES (corresponding author), Baylor Univ, Dept Biol, Waco, TX 76706 USA.</t>
  </si>
  <si>
    <t>emily_sperou1@baylor.edu</t>
  </si>
  <si>
    <t>Borras-Chavez, Renato/0000-0002-6415-2121; Sperou, Emily/0000-0002-6040-706X</t>
  </si>
  <si>
    <t>NSF [1644256]; ANID PIA/BASAL [FB0002]</t>
  </si>
  <si>
    <t>NSF(National Science Foundation (NSF)); ANID PIA/BASAL</t>
  </si>
  <si>
    <t>This work was funded by NSF #1644256 and the ANID PIA/BASAL FB0002.</t>
  </si>
  <si>
    <t>10.3389/fmars.2023.1179236</t>
  </si>
  <si>
    <t>L5ED6</t>
  </si>
  <si>
    <t>WOS:001023485200001</t>
  </si>
  <si>
    <t>Fons, S; Kurtz, N; Bagnardi, M</t>
  </si>
  <si>
    <t>Fons, Steven; Kurtz, Nathan; Bagnardi, Marco</t>
  </si>
  <si>
    <t>A decade-plus of Antarctic sea ice thickness and volume estimates from CryoSat-2 using a physical model and waveform fitting</t>
  </si>
  <si>
    <t>SNOW DEPTH; FREEBOARD RETRIEVAL; INTERANNUAL VARIABILITY; ALTIMETER MEASUREMENTS; CLIMATE-CHANGE; FLUCTUATIONS; BACKSCATTER; ICEBRIDGE; WEDDELL; ENVISAT</t>
  </si>
  <si>
    <t>We estimate the snow depth and snow freeboard of Antarctic sea ice using a comprehensive retrieval method (referred to as CryoSat-2 Waveform Fitting for Antarctic sea ice, or CS2WFA) consisting of a physical waveform model and a waveform-fitting process that fits modeled waveforms to CryoSat-2 data. These snow depth and snow freeboard estimates are combined with snow, sea ice, and sea water density values to calculate the sea ice thickness and volume over an 11+ year span between 2010 and 2021. We first compare our snow freeboard, snow depth, and sea ice thickness estimates to other altimetry- and ship-based observations and find good agreement overall in both along-track and monthly gridded comparisons. Some discrepancies exist in certain regions and seasons that are theorized to come from both sampling biases and the differing assumptions in the retrieval methods. We then present an 11+ year time series of sea ice thickness and volume both regionally and pan-Antarctic. This time series is used to uncover intra-decadal changes in the ice cover between 2010 and 2021, showing small, competing regional thickness changes of less than 0.5 cm yr(-1) in magnitude. Finally, we place these thickness estimates in the context of a longer-term, snow freeboard-derived, laser-radar sea ice thickness time series that began with NASA's Ice, Cloud, and land Elevation Satellite (ICESat) and continues with ICESat-2 and contend that reconciling and validating this longer-term, multi-sensor time series will be important in better understanding changes in the Antarctic sea ice cover.</t>
  </si>
  <si>
    <t>[Fons, Steven] Univ Maryland, Earth Syst Sci Interdisciplinary Ctr, College Pk, MD USA; [Fons, Steven; Kurtz, Nathan; Bagnardi, Marco] NASA Goddard Space Flight Ctr, Cryospher Sci Lab, Greenbelt, MD 20771 USA; [Bagnardi, Marco] ADNET Syst Inc, Bethesda, MD USA</t>
  </si>
  <si>
    <t>University System of Maryland; University of Maryland College Park; National Aeronautics &amp; Space Administration (NASA); NASA Goddard Space Flight Center</t>
  </si>
  <si>
    <t>Kurtz, N (corresponding author), NASA Goddard Space Flight Ctr, Cryospher Sci Lab, Greenbelt, MD 20771 USA.</t>
  </si>
  <si>
    <t>nathan.t.kurtz@nasa.gov</t>
  </si>
  <si>
    <t>Bagnardi, Marco/0000-0002-4315-0944</t>
  </si>
  <si>
    <t>10.5194/tc-17-2487-2023</t>
  </si>
  <si>
    <t>K9ZO1</t>
  </si>
  <si>
    <t>WOS:001019943900001</t>
  </si>
  <si>
    <t>Reddmann, T; Sinnhuber, M; Wissing, JM; Yakovchuk, O; Usoskin, I</t>
  </si>
  <si>
    <t>Reddmann, Thomas; Sinnhuber, Miriam; Wissing, Jan Maik; Yakovchuk, Olesya; Usoskin, Ilya</t>
  </si>
  <si>
    <t>The impact of an extreme solar event on the middle atmosphere: a case study</t>
  </si>
  <si>
    <t>ENERGETIC PARTICLE-PRECIPITATION; ION CHEMISTRY; PROTON EVENTS; MODEL; MIPAS; IONIZATION; NITROGEN; TRENDS</t>
  </si>
  <si>
    <t>A possible impact of an extreme solar particle event (ESPE) on the middle atmosphere is studied for present-day climate and geomagnetic conditions. We consider an ESPE with an occurrence probability of about 1 per millennium. In addition, we assume that the ESPE is followed by an extreme geomagnetic storm (GMS), and we compare the contribution of the two extreme events. The strongest known and best-documented ESPE of 774/5 CE is taken as a reference example and established estimates of the corresponding ionization rates are applied. The ionization rates due to the energetic particle precipitation (EPP) during an extreme GMS are upscaled from analyzed distributions of electron energy spectra of observed GMSs. The consecutive buildup of NOx and HOx by ionization is modeled in the high-top 3D chemistry circulation model KArlsruhe SImu-lation Model of the middle Atmosphere (KASIMA), using specified dynamics from ERA-Interim analyses up to the stratopause. A specific dynamical situation was chosen that includes an elevated stratosphere event dur-ing January and maximizes the vertical coupling between the northern polar mesosphere-lower thermosphere region and the stratosphere; it therefore allows us to estimate a maximum possible impact. The particle event initially produces about 65 Gmol of NOy, with 25 Gmol of excess NOy even after 1 year. The related ozone loss reaches up to 50 % in the upper stratosphere during the first weeks after the event and slowly descends to the mid-stratosphere. After about 1 year, 20 % ozone loss is still observed in the northern stratosphere. The GMS causes strong ozone reduction in the mesosphere but plays only a minor role in the reduction in total ozone. In the Southern Hemisphere (SH), the long-lived NOy in the polar stratosphere, which is produced almost solely by the ESPE, is transported into the Antarctic polar vortex, where it experiences strong denitrification into the tro-posphere. For this special case, we estimate a NO3 washout that could produce a measurable signal in ice cores. The reduction in total ozone causes an increase of the UV erythema dose of less than 5 %, which maximizes in spring for northern latitudes of 30 degrees and in summer for northern latitudes of about 60 degrees.</t>
  </si>
  <si>
    <t>[Reddmann, Thomas; Sinnhuber, Miriam] Karlsruhe Inst Technol, Inst Meteorol &amp; Climate Res, Karlsruhe, Germany; [Wissing, Jan Maik; Yakovchuk, Olesya] Univ Rostock, Inst Phys, Rostock, Germany; [Usoskin, Ilya] Univ Oulu, Space Phys &amp; Astron Res Unit, Oulu, Finland; [Usoskin, Ilya] Univ Oulu, Sodankyla Geophys Observ, Oulu, Finland</t>
  </si>
  <si>
    <t>Helmholtz Association; Karlsruhe Institute of Technology; University of Rostock; University of Oulu; University of Oulu</t>
  </si>
  <si>
    <t>Reddmann, T (corresponding author), Karlsruhe Inst Technol, Inst Meteorol &amp; Climate Res, Karlsruhe, Germany.</t>
  </si>
  <si>
    <t>thomas.reddmann@kit.edu</t>
  </si>
  <si>
    <t>; Usoskin, Ilya/E-5089-2014; Sinnhuber, Miriam/A-7252-2013</t>
  </si>
  <si>
    <t>Reddmann, Thomas/0000-0003-1733-7016; Usoskin, Ilya/0000-0001-8227-9081; Sinnhuber, Miriam/0000-0002-3527-9051</t>
  </si>
  <si>
    <t>German Federal Ministry of Education and Research within the research program ROMIC-2 [01LG1906D]; Academy of Finland [321882]; German Science Foundation (DFG) [WI4417/2-1]; German Aerospace Center (DLR)</t>
  </si>
  <si>
    <t>German Federal Ministry of Education and Research within the research program ROMIC-2; Academy of Finland(Research Council of Finland); German Science Foundation (DFG)(German Research Foundation (DFG)); German Aerospace Center (DLR)(Helmholtz AssociationGerman Aerospace Centre (DLR))</t>
  </si>
  <si>
    <t>This work was supported by the German Federal Ministry of Education and Research within the research program ROMIC-2 (project SOLCHECK, grant no. 01LG1906D)and by the Academy of Finland (project ESPERA, grant no.321882). The AIMOS model is funded by the German Science Foundation (DFG project no. WI4417/2-1). Jan Maik Wissing also acknowledges support by the German Aerospace Center (DLR).</t>
  </si>
  <si>
    <t>10.5194/acp-23-6989-2023</t>
  </si>
  <si>
    <t>K7SH6</t>
  </si>
  <si>
    <t>WOS:001018396500001</t>
  </si>
  <si>
    <t>Halici, MG; Sochting, U; Yigit, MK; Arup, U</t>
  </si>
  <si>
    <t>Halici, Mehmet Goekhan; Sochting, Ulrik; Yigit, Merve Kahraman; Arup, Ulf</t>
  </si>
  <si>
    <t>Teuvoahtiana meridionalis, a new species from Patagonia and Antarctica</t>
  </si>
  <si>
    <t>NOVA HEDWIGIA</t>
  </si>
  <si>
    <t>Biodiversity; lichenised fungi; Xanthorioideae; Teloschistaceae</t>
  </si>
  <si>
    <t>LICHENISED FUNGUS; TELOSCHISTACEAE; ASCOMYCOTA; GENUS; PRIMERS; IDENTIFICATION; AMPLIFICATION; BIOGEOGRAPHY; RECORD</t>
  </si>
  <si>
    <t>The new species Teuvoahtiana meridionalis is described from Antarctica and Southern South America. Even though the new species is morphologically and chemically variable, it is molecularly monophyletic and located in the genus Teuvoahtiana in the subfamily Xanthorioideae. The genetic variation could not be correlated to the variation in any other characters that could support any further division of the species. Teuvoahtiana, that includes three other species, has a varied morphology and is in need of further studies.</t>
  </si>
  <si>
    <t>[Halici, Mehmet Goekhan; Yigit, Merve Kahraman] Erciyes Univ, Fen Fakultesi, Biyoloji Bolumu, TR-38039 Kayseri, Turkiye; [Sochting, Ulrik] Univ Copenhagen, Dept Biol, Sect Ecol &amp; Evolut, Univ pk 15, DK-2100 Copenhagen, Denmark; [Arup, Ulf] Lund Univ, Biol Museum, S-22100 Lund, Sweden</t>
  </si>
  <si>
    <t>Erciyes University; University of Copenhagen; Lund University</t>
  </si>
  <si>
    <t>Halici, MG (corresponding author), Erciyes Univ, Fen Fakultesi, Biyoloji Bolumu, TR-38039 Kayseri, Turkiye.</t>
  </si>
  <si>
    <t>mghalici@gmail.com</t>
  </si>
  <si>
    <t>Kahraman Yiğit, Merve/AAW-5674-2021; Sochting, Ulrik/M-2886-2014</t>
  </si>
  <si>
    <t>Sochting, Ulrik/0000-0001-7122-9425</t>
  </si>
  <si>
    <t>Peter Convey of the British Antarctic Survey mediated a visit of US; Sancho, Madrid through the Spanish grant [CTM2015-64728-C2-1-R]; MINECO/FEDER, UE; Carlsberg Foundation [2008_01_0645]; Erciyes University; Scientific and Technological Research Coun-cil of Tuuml;rkiye-TUuml;BITAK [118Z587]; Turkish Academy of Science</t>
  </si>
  <si>
    <t>Peter Convey of the British Antarctic Survey mediated a visit of US; Sancho, Madrid through the Spanish grant; MINECO/FEDER, UE(Spanish Government); Carlsberg Foundation(Carlsberg Foundation); Erciyes University(Erciyes University); Scientific and Technological Research Coun-cil of Tuuml;rkiye-TUuml;BITAK; Turkish Academy of Science(Turkish Academy of Sciences)</t>
  </si>
  <si>
    <t>Peter Convey of the British Antarctic Survey mediated a visit of US to the BAS base at Rothera Point, Antarctica. Field work by US in Livingston Island and Patagonia was sup-ported by Leo Garcia Sancho, Madrid through the Spanish grant CTM2015-64728-C2-1-R (MINECO/FEDER, UE) and the Carlsberg Foundation (2008_01_0645) . MajbritZeuthen Sogaard collected and performed thorough studies of the Patagonian specimens. They are all warmly thanked. MGH thanks Erciyes University for their financial support to conduct the field work on the James Ross Island, Antarctica, and ITU Polrec for their support. MGH is also thankful for the infrastructure and facilities ofJ.G. Mendel station. This work was financially supported by The Scientific and Technological Research Coun-cil of Turkiye-TUBITAK (Project Number 118Z587) and Turkish Academy of Science (TUBA) .</t>
  </si>
  <si>
    <t>GEBRUDER BORNTRAEGER</t>
  </si>
  <si>
    <t>JOHANNESSTR 3A, D-70176 STUTTGART, GERMANY</t>
  </si>
  <si>
    <t>0029-5035</t>
  </si>
  <si>
    <t>2363-7188</t>
  </si>
  <si>
    <t>Nova Hedwigia</t>
  </si>
  <si>
    <t>10.1127/nova_hedwigia/2023/0736</t>
  </si>
  <si>
    <t>Q4NZ3</t>
  </si>
  <si>
    <t>WOS:001013887000001</t>
  </si>
  <si>
    <t>Macfarlane, AR; Schneebeli, M; Dadic, R; Tavri, A; Immerz, A; Polashenski, C; Krampe, D; Clemens-Sewall, D; Wagner, DN; Perovich, DK; Henna-Reetta, H; Raphael, I; Matero, I; Regnery, J; Smith, MM; Nicolaus, M; Jaggi, M; Oggier, M; Webster, MA; Lehning, M; Kolabutin, N; Itkin, P; Naderpour, R; Pirazzini, R; Hämmerle, S; Arndt, S; Fons, S</t>
  </si>
  <si>
    <t>Macfarlane, Amy R.; Schneebeli, Martin; Dadic, Ruzica; Tavri, Aikaterini; Immerz, Antonia; Polashenski, Chris; Krampe, Daniela; Clemens-Sewall, David; Wagner, David N.; Perovich, Donald K.; Henna-Reetta, Hannula; Raphael, Ian; Matero, Ilkka; Regnery, Julia; Smith, Madison M.; Nicolaus, Marcel; Jaggi, Matthias; Oggier, Marc; Webster, Melinda A.; Lehning, Michael; Kolabutin, Nikolai; Itkin, Polona; Naderpour, Reza; Pirazzini, Roberta; Hammerle, Stefan; Arndt, Stefanie; Fons, Steven</t>
  </si>
  <si>
    <t>A Database of Snow on Sea Ice in the Central Arctic Collected during the MOSAiC expedition</t>
  </si>
  <si>
    <t>SURFACE-ROUGHNESS; SCALE; MICROSTRUCTURE; 1ST-YEAR; DENSITY</t>
  </si>
  <si>
    <t>Snow plays an essential role in the Arctic as the interface between the sea ice and the atmosphere. Optical properties, thermal conductivity and mass distribution are critical to understanding the complex Arctic sea ice system's energy balance and mass distribution. By conducting measurements from October 2019 to September 2020 on the Multidisciplinary drifting Observatory for the Study of Arctic Climate (MOSAiC) expedition, we have produced a dataset capturing the year-long evolution of the physical properties of the snow and surface scattering layer, a highly porous surface layer on Arctic sea ice that evolves due to preferential melt at the ice grain boundaries. The dataset includes measurements of snow during MOSAiC. Measurements included profiles of depth, density, temperature, snow water equivalent, penetration resistance, stable water isotope, salinity and microcomputer tomography samples. Most snowpit sites were visited and measured weekly to capture the temporal evolution of the physical properties of snow. The compiled dataset includes 576 snowpits and describes snow conditions during the MOSAiC expedition.</t>
  </si>
  <si>
    <t>[Macfarlane, Amy R.; Schneebeli, Martin; Dadic, Ruzica; Wagner, David N.; Jaggi, Matthias; Lehning, Michael; Naderpour, Reza] WSL Inst Snow &amp; Avalanche Res SLF, Davos, Switzerland; [Dadic, Ruzica] Victoria Univ Wellington, Wellington, New Zealand; [Tavri, Aikaterini] Univ Victoria, Dept Geog, Victoria, BC, Canada; [Immerz, Antonia; Krampe, Daniela; Regnery, Julia; Nicolaus, Marcel; Arndt, Stefanie] Alfred Wegener Inst Helmholtz Zenutrum Polar &amp; Me, Bremerhaven, Germany; [Polashenski, Chris; Clemens-Sewall, David; Perovich, Donald K.; Raphael, Ian] Dartmouth Coll, Thayer Sch Engn, Hanover, NH USA; [Wagner, David N.; Lehning, Michael] Ecole Polytech Fed Lausanne, Sch Architecture Civil &amp; Environm Engn, CRYOS, Lausanne, Switzerland; [Henna-Reetta, Hannula; Pirazzini, Roberta] Finnish Meteorol Inst, Helsinki, Finland; [Matero, Ilkka] Svalbard Integrated Arctic Earth Observing Syst, POB 156, N-9171 Longyearbyen, Norway; [Smith, Madison M.] Woods Hole Oceanog Inst, Woods Hole, MA USA; [Oggier, Marc; Webster, Melinda A.] Univ Alaska Fairbanks, Int Arctic Res Ctr, Fairbanks, AK USA; [Kolabutin, Nikolai] Arctic &amp; Antarctic Res Inst, AARI, St Petersburg, Russia; [Itkin, Polona] UiT Arctic Univ Norway, Tromso, Norway; [Hammerle, Stefan] SCANCO Med AG, Wangen Bruttisellen, Switzerland; [Fons, Steven] NASA Goddard Space Flight Ctr, Cryospher Sci Lab, Greenbelt, MD USA; [Fons, Steven] Univ Maryland, Earth Syst Sci Interdisciplinary Ctr, College Pk, MD USA</t>
  </si>
  <si>
    <t>Swiss Federal Institutes of Technology Domain; Swiss Federal Institute for Forest, Snow &amp; Landscape Research; Victoria University Wellington; University of Victoria; Dartmouth College; Swiss Federal Institutes of Technology Domain; Ecole Polytechnique Federale de Lausanne; Finnish Meteorological Institute; Woods Hole Oceanographic Institution; University of Alaska System; University of Alaska Fairbanks; Arctic &amp; Antarctic Research Institute; UiT The Arctic University of Tromso; National Aeronautics &amp; Space Administration (NASA); NASA Goddard Space Flight Center; University System of Maryland; University of Maryland College Park</t>
  </si>
  <si>
    <t>Macfarlane, AR; Schneebeli, M; Dadic, R; Wagner, DN (corresponding author), WSL Inst Snow &amp; Avalanche Res SLF, Davos, Switzerland.;Dadic, R (corresponding author), Victoria Univ Wellington, Wellington, New Zealand.;Tavri, A (corresponding author), Univ Victoria, Dept Geog, Victoria, BC, Canada.;Wagner, DN (corresponding author), Ecole Polytech Fed Lausanne, Sch Architecture Civil &amp; Environm Engn, CRYOS, Lausanne, Switzerland.</t>
  </si>
  <si>
    <t>amyrmacfarlane@gmail.com; schneebeli@slf.ch; ruzica.dadic@gmail.com; tavri.katia@gmail.com; david.wagner@slf.ch</t>
  </si>
  <si>
    <t>Schneebeli, Martin/B-1063-2008; Smith, Madison/JME-8685-2023; Macfarlane, Amy/JJF-4792-2023; Nicolaus, Marcel/A-3658-2013</t>
  </si>
  <si>
    <t>Schneebeli, Martin/0000-0003-2872-4409; Macfarlane, Amy/0000-0002-1638-8885; Nicolaus, Marcel/0000-0003-0903-1746; Dadic, Ruzica/0000-0003-1303-1896; Krampe, Daniela/0000-0003-0633-5023</t>
  </si>
  <si>
    <t>Scanco Medical AG [730965]; European Union [730965]; WSL Institute for Snow and Avalanche Research [SLF. WSL_201812N1678]; National Science Foundation [2138786]; Snow Accumulation in Extreme Environments Project [179130]</t>
  </si>
  <si>
    <t>Scanco Medical AG; European Union(European Union (EU)); WSL Institute for Snow and Avalanche Research; National Science Foundation(National Science Foundation (NSF)); Snow Accumulation in Extreme Environments Project</t>
  </si>
  <si>
    <t>Datasets used in this manuscript were produced as part of the international Multidisciplinary drifting Observatory for the Study of the Arctic Climate (MOSAiC) with the tag MOSAiC20192020 and the Project_ID: AWI_PS122_00. We thank all people involved in the expedition of the Research Vessel Polarstern56 during MOSAiC in 2019-2020 as listed in Nixdorf et al.57. We would like to thank Scanco Medical AG for lending and supporting the use of the Micro-CT9034 throughout the MOSAiC expedition. We would like to thank the entire data team at AWI for such amazing support at every stage of this process, from data curation to publishing. We would also like to thank Daniela Ransby and the Pangaea publishing team for responding to queries so quickly and assisting the publication of these datasets in such an efficient way. Swiss Polar Institute (SPI reference DIRCR-2018-003) Funder ID: https://doi.org/10.13039/501100015594. European Union's Horizon 2020 research and innovation program projects ARICE (grant 730965) for berth fees associated with the participation of the DEARice project. WSL Institute for Snow and Avalanche Research SLF. WSL_201812N1678. Funder ID: https://doi.org/10.13039/501100015742. M.A.W conducted this work under the National Science Foundation Project 2138786. D.N.W and M.L: From Cloud to Ground: Snow Accumulation in Extreme Environments Project number: 179130.</t>
  </si>
  <si>
    <t>JUN 22</t>
  </si>
  <si>
    <t>10.1038/s41597-023-02273-1</t>
  </si>
  <si>
    <t>K6RP8</t>
  </si>
  <si>
    <t>WOS:001017696100008</t>
  </si>
  <si>
    <t>Talalay, PG</t>
  </si>
  <si>
    <t>Talalay, Pavel G.</t>
  </si>
  <si>
    <t>Deep drilling in Antarctic ice: Methods and perspectives</t>
  </si>
  <si>
    <t>EARTH-SCIENCE REVIEWS</t>
  </si>
  <si>
    <t>Antarctic ice sheet; Ice -drilling technology; Deep drilling; Low -temperature drilling fluid; Ice creep</t>
  </si>
  <si>
    <t>HOT-WATER DRILL; WEST ANTARCTICA; SUBGLACIAL LAKE; VOSTOK STATION; CORING SYSTEM; ACCESS; PROBE; DOME; EXPLORATION; SHEETS</t>
  </si>
  <si>
    <t>&gt;98% of Antarctica is covered by ice sheet with an average thickness of 2126 m. The maximum thickness is 4897 m. Several scientific deep-drilling expeditions are being conducted in Antarctica, including studies on the evolution of Earth's paleoclimate, searches for microbiological life inhabiting deep ice, estimates of Antarctic geothermal heat flux, and observations of subglacial environments. Such operations are complicated by extremely harsh environments; thus, special purpose-built drilling equipment and technology have been designed, and conventional drilling rigs have been heavily modified. Electrothermal and electromechanical drills are suspended on cables if continuous core sampling is required, and hot-water drilling systems for non-core boring are routinely used to drill deep boreholes in the Antarctic ice. The depth of the deepest hole was 3769.3 m at the Vostok Station. Projects with cable-suspended drills require a long time to complete. Hot-water drilling systems are much faster but are very heavy and bulky and consume a large amount of power. To develop lighter and energy-efficient drilling technologies, ice-drilling communities are continuously investigating inno-vative ice-drilling systems. This paper summarizes the current state of knowledge with respect to the design and performance of various tools and drills for deep drilling in Antarctic ice and presents prospects for improving existing drilling methods and developing new ones.</t>
  </si>
  <si>
    <t>[Talalay, Pavel G.] China Univ Geosci, Sch Engn &amp; Technol, 29 Xueyuan Rd, Beijing 100083, Peoples R China; [Talalay, Pavel G.] Jilin Univ, Polar Res Ctr, 938 Ximinzhu St, Changchun 130021, Peoples R China</t>
  </si>
  <si>
    <t>China University of Geosciences; Jilin University</t>
  </si>
  <si>
    <t>Talalay, PG (corresponding author), China Univ Geosci, Sch Engn &amp; Technol, 29 Xueyuan Rd, Beijing 100083, Peoples R China.</t>
  </si>
  <si>
    <t>ptalalay@yahoo.com</t>
  </si>
  <si>
    <t>Talalay, Pavel/AAH-2908-2020</t>
  </si>
  <si>
    <t>Talalay, Pavel/0000-0002-8230-4600</t>
  </si>
  <si>
    <t>National Key Research and Development Program of the Ministry of Science and Technology of China [2021YFC2801400]</t>
  </si>
  <si>
    <t>National Key Research and Development Program of the Ministry of Science and Technology of China</t>
  </si>
  <si>
    <t>This research was funded by grant from the National Key Research and Development Program of the Ministry of Science and Technology of China (project no. 2021YFC2801400) . Author is grateful to anonymous reviewer for editing of the manuscript and insightful suggestions and Mikhail Sysoev for considerable assistance in preparing illustrations for this paper.</t>
  </si>
  <si>
    <t>0012-8252</t>
  </si>
  <si>
    <t>1872-6828</t>
  </si>
  <si>
    <t>EARTH-SCI REV</t>
  </si>
  <si>
    <t>Earth-Sci. Rev.</t>
  </si>
  <si>
    <t>10.1016/j.earscirev.2023.104471</t>
  </si>
  <si>
    <t>M7XO7</t>
  </si>
  <si>
    <t>WOS:001032311400001</t>
  </si>
  <si>
    <t>Ben-Asher, M; Mushkin, A; Lensky, NG; Amit, R; Eppes, MC; Ming, D; Shelef, E; Sletten, RS</t>
  </si>
  <si>
    <t>Ben-Asher, M.; Mushkin, A.; Lensky, N. G.; Amit, R.; Eppes, M. C.; Ming, D. W.; Shelef, E.; Sletten, R. S.</t>
  </si>
  <si>
    <t>Salt deliquescence along boulder cracks in the Antarctic Dry Valleys: An overlooked source of moisture for rock weathering processes</t>
  </si>
  <si>
    <t>GEOMORPHOLOGY</t>
  </si>
  <si>
    <t>Salt deliquescence; Subcritical cracking; Salt shattering; Antarctic Dry Valleys</t>
  </si>
  <si>
    <t>SOUTHERN VICTORIA LAND; RELATIVE-HUMIDITY; FRACTURE-TOUGHNESS; MCMURDO REGION; WRIGHT VALLEY; GROWTH; ORIGIN; HYDRATION; CHLORIDE; CALCIUM</t>
  </si>
  <si>
    <t>Cracking is a primary rock-weathering mechanism in arid environments, where dry conditions typically limit the efficacy of water-driven weathering processes. Here, we present results from a field-based experiment in the hyper-arid and frigid Antarctic Dry Valleys (ADV) that documented recurring periods of transient accumulation of liquid water along rock cracks during otherwise dry conditions. This moisture was likely sourced from the deliquescence of hygroscopic salts during sub-saturated humidity conditions. Analysis of meteorological data from 17 stations scattered throughout the ADV revealed that near-surface atmospheric conditions across one of Earth's driest environments can annually support tens of deliquescence-efflorescence cycles of hygroscopic salts, such as, CaCl2, NaNO3, NaCl, and MgCl2. This deliquesced moisture may have an important role in the cracking processes of ADV rocks. In a broader context, the results from the ADV suggest that deliquesced atmospheric humidity may be an overlooked source of moisture available for rock weathering processes in otherwise extremely dry deserts on Earth and possibly Mars.</t>
  </si>
  <si>
    <t>[Ben-Asher, M.] Univ Savoie Mont Blanc, CNRS, EDYTEM Lab, F-73376 Le Bourget du lac, France; [Ben-Asher, M.; Mushkin, A.; Lensky, N. G.; Amit, R.] Geol Survey Israel, IL-9550161 Jerusalem, Israel; [Eppes, M. C.] Univ N Carolina, Dept Geog &amp; Earth Sci, Charlotte, NC 28223 USA; [Ming, D. W.] NASA Johnson Space Ctr, Houston, TX USA; [Shelef, E.] Univ Pittsburgh, Geol &amp; Environm Sci, Pittsburgh, PA USA; [Sletten, R. S.] Univ Washington, Dept Earth &amp; Space Sci, Seattle, WA 98195 USA; [Lensky, N. G.] Hebrew Univ Jerusalem, Inst Earth Sci, Jerusalem, Israel</t>
  </si>
  <si>
    <t>Centre National de la Recherche Scientifique (CNRS); Universite Savoie Mont Blanc; Geological Survey Israel; University of North Carolina; University of North Carolina Charlotte; National Aeronautics &amp; Space Administration (NASA); NASA Johnson Space Center; Pennsylvania Commonwealth System of Higher Education (PCSHE); University of Pittsburgh; University of Washington; University of Washington Seattle; Hebrew University of Jerusalem</t>
  </si>
  <si>
    <t>Ben-Asher, M (corresponding author), Univ Savoie Mont Blanc, CNRS, EDYTEM Lab, F-73376 Le Bourget du lac, France.</t>
  </si>
  <si>
    <t>matan.ben-asher@univ-smb.fr</t>
  </si>
  <si>
    <t>, Nadav/0000-0002-4726-1668</t>
  </si>
  <si>
    <t>U.S.-Israel Binational Science Foundation (BSF) [2018610]; NSF EAR Award [1839148]; NASA [80NSSC17K0715]; NSF OPP [1643550]</t>
  </si>
  <si>
    <t>U.S.-Israel Binational Science Foundation (BSF)(US-Israel Binational Science Foundation); NSF EAR Award; NASA(National Aeronautics &amp; Space Administration (NASA)); NSF OPP(National Science Foundation (NSF)NSF - Directorate for Geosciences (GEO))</t>
  </si>
  <si>
    <t>The work was funded by U.S.-Israel Binational Science Foundation (BSF) Award #2018610, NSF EAR Award #1839148, NASA #80NSSC17K0715, and NSF OPP #1643550. We thank Jennifer Lamp for sharing data and insights and Navot Morag for his assistance in the X-ray diffraction analysis. We also thank Oliver Sass and an anonymous reviewer for their constructive reviews.</t>
  </si>
  <si>
    <t>0169-555X</t>
  </si>
  <si>
    <t>1872-695X</t>
  </si>
  <si>
    <t>Geomorphology</t>
  </si>
  <si>
    <t>10.1016/j.geomorph.2023.108800</t>
  </si>
  <si>
    <t>M1EY0</t>
  </si>
  <si>
    <t>WOS:001027663000001</t>
  </si>
  <si>
    <t>Terekhov, A; Prokhorova, U; Verkulich, S; Demidov, V; Sidorova, O; Anisimov, M; Romashova, K</t>
  </si>
  <si>
    <t>Terekhov, Anton; Prokhorova, Uliana; Verkulich, Sergey; Demidov, Vasiliy; Sidorova, Olga; Anisimov, Mikhail; Romashova, Kseniia</t>
  </si>
  <si>
    <t>Two decades of mass-balance observations on Aldegondabreen, Spitsbergen: interannual variability and sensitivity to climate change</t>
  </si>
  <si>
    <t>Arctic glaciology; climate change; glacier mass balance; glacier monitoring; ice/atmosphere interactions</t>
  </si>
  <si>
    <t>SVALBARD GLACIER; WESTERN PART; ICE CAPS; REANALYSIS; MELT</t>
  </si>
  <si>
    <t>Aldegondabreen is a relatively small (5.3 km(2)) land-terminating glacier located in Nordeskiold Land of Svalbard, similar to 10 km southwest of Barentsburg. Cumulative mass balance during 2002-20 equalled -21.79 m w.e., which corresponds to 37% of the total mass loss. The annual mass balance (B-a) varied from -0.24 to -2.19 m w.e., while the winter mass balance (B-w) ranged between 0.36 and 0.85 m w.e. B-a and B-w were strongly correlated with the positive degree-day sums and solid precipitation amounts, respectively, measured at the Barentsburg weather station. There was also a strong correlation (r = 0.76) between B-a and B-w, which shows that winter accumulation amplifies the consecutive summer ice melt by changing the surface albedo. The trend in both observational series is not detectable because the period from 2005 to 2013 was characterized by relatively high B-w and not very negative B-a values. This was also observed on the other Svalbard glaciers, and was related to prevailing north-westerly flows over Svalbard during the summer. Therefore, the decadal periodicity of the Aldegondabreen mass balance follows general archipelago patterns that are determined by regional-scale factors. Thus, the surface mass-balance time series, which is now the longest one in the central part of the Spitsbergen Island, is representative for the archipelago.</t>
  </si>
  <si>
    <t>[Terekhov, Anton; Verkulich, Sergey; Demidov, Vasiliy; Anisimov, Mikhail] Arctic &amp; Antarctic Res Inst, Geog Polar Reg Dept, St Petersburg, Russia; [Prokhorova, Uliana] Arctic &amp; Antarctic Res Inst, Ocean Atmosphere Interact Dept, St Petersburg, Russia; [Sidorova, Olga] Arctic &amp; Antarctic Res Inst, Lab Expt Climatol Arctic, St Petersburg, Russia; [Romashova, Kseniia] Arctic &amp; Antarctic Res Inst, Hydrol River Deltas &amp; Water Resources Dept, St Petersburg, Russia</t>
  </si>
  <si>
    <t>Arctic &amp; Antarctic Research Institute; Arctic &amp; Antarctic Research Institute; Arctic &amp; Antarctic Research Institute; Arctic &amp; Antarctic Research Institute</t>
  </si>
  <si>
    <t>Terekhov, A (corresponding author), Arctic &amp; Antarctic Res Inst, Geog Polar Reg Dept, St Petersburg, Russia.</t>
  </si>
  <si>
    <t>antonvterekhov@gmail.com</t>
  </si>
  <si>
    <t>Terekhov, Anton/S-1329-2016</t>
  </si>
  <si>
    <t>Project 'Monitoring of State and Pollution of the Environment, Including the Cryosphere, in the Arctic Basin and in the Area of Scientific Station Ice Base Cape Baranov, Hydrometeorological Observatory of Tiksi and Russian Scientific Centre on Spitsbergen' [5.1.4]; Polar Geospatial Center under NSF-OPP awards [1043681, 1559691, 1542736]</t>
  </si>
  <si>
    <t>Project 'Monitoring of State and Pollution of the Environment, Including the Cryosphere, in the Arctic Basin and in the Area of Scientific Station Ice Base Cape Baranov, Hydrometeorological Observatory of Tiksi and Russian Scientific Centre on Spitsbergen'; Polar Geospatial Center under NSF-OPP awards</t>
  </si>
  <si>
    <t>This study was funded by Project 5.1.4 'Monitoring of State and Pollution of the Environment, Including the Cryosphere, in the Arctic Basin and in the Area of Scientific Station Ice Base Cape Baranov, Hydrometeorological Observatory of Tiksi and Russian Scientific Centre on Spitsbergen', within the Plan NITR of Roshydromet 2020-24. The authors are grateful to the Russian Arctic Expedition on Svalbard (Arctic and Antarctic Research Institute, Saint Petersburg, Russia) for assisting with logistics, providing necessary equipment and offering assistance in the field. The ArcticDEM strip used in the study was provided by the Polar Geospatial Center under NSF-OPP awards 1043681, 1559691 and 1542736.</t>
  </si>
  <si>
    <t>2023 JUN 22</t>
  </si>
  <si>
    <t>PII S026030552300040X</t>
  </si>
  <si>
    <t>10.1017/aog.2023.40</t>
  </si>
  <si>
    <t>K1WD3</t>
  </si>
  <si>
    <t>WOS:001014407100001</t>
  </si>
  <si>
    <t>Fretwell, PT; Cubaynes, HC; Shpak, OV</t>
  </si>
  <si>
    <t>Fretwell, Peter T.; Cubaynes, Hannah C.; Shpak, Olga V.</t>
  </si>
  <si>
    <t>Satellite image survey of beluga whales in the southern Kara Sea</t>
  </si>
  <si>
    <t>Baydaratskaya Inlet; beluga; Delphinapterus leucas; imagery; Kara Sea; VHR; whale</t>
  </si>
  <si>
    <t>DELPHINAPTERUS-LEUCAS; BARENTS</t>
  </si>
  <si>
    <t>The use of satellite imagery to find, count and monitor whales in remote and hard to access areas has shown some promise, but few satellite studies have, as yet, provided substantial conservation outcomes. Recent studies have shown the ability of very high-resolution satellites to detect and count previously surveyed populations of belugas and narwhals in Canada. Here we describe the detection of a large aggregation of a poorly surveyed population of belugas in the southern Kara Sea, Russia, in a region where Soviet whaling is known to have had a heavy toll on belugas. We counted over 1,100 surface belugas using very high-resolution satellite imagery. As only an unknown portion of the belugas can be seen on the surface, accurately converting the surface count to an abundance estimate will need further study, but using the analog of aerial surveys we estimate that this aggregation is between similar to 1,150-2,870 individuals. Although the species is not currently considered endangered, concern over belugas future population trends is increasing, as the species is reliant on Arctic sea ice, which is rapidly declining due to climate change. This study shows the utility of satellite imagery to discover and monitor new and little-known cetacean populations.</t>
  </si>
  <si>
    <t>[Fretwell, Peter T.; Cubaynes, Hannah C.] British Antarctic Survey, Cambridge, England; [Fretwell, Peter T.] British Antarctic Survey, High Cross,Madingley Rd, Cambridge CB3 0ET, England</t>
  </si>
  <si>
    <t>UK Research &amp; Innovation (UKRI); Natural Environment Research Council (NERC); NERC British Antarctic Survey; UK Research &amp; Innovation (UKRI); Natural Environment Research Council (NERC); NERC British Antarctic Survey</t>
  </si>
  <si>
    <t>Fretwell, PT (corresponding author), British Antarctic Survey, High Cross,Madingley Rd, Cambridge CB3 0ET, England.</t>
  </si>
  <si>
    <t>MAXAR Technologies/DigitalGlobe Foundation; British Antarctic Survey, Natural Environment Research Council</t>
  </si>
  <si>
    <t>We would like to acknowledge imagery support from MAXAR Technologies/DigitalGlobe Foundation for the three VHR images used in this study and core funding from British Antarctic Survey, Natural Environment Research Council, as part of their Wildlife from Space Project. Finally, we would like to thank the reviewers of the paper who have given their time and energy and whose helpful comments have improved and enhanced the manuscript.</t>
  </si>
  <si>
    <t>10.1111/mms.13044</t>
  </si>
  <si>
    <t>WOS:001014087500001</t>
  </si>
  <si>
    <t>Brzelinski, S; Bornemann, A; Liebrand, D; van Peer, TE; Wilson, PA; Friedrich, O</t>
  </si>
  <si>
    <t>Brzelinski, Swaantje; Bornemann, Andre; Liebrand, Diederik; van Peer, Tim E.; Wilson, Paul A.; Friedrich, Oliver</t>
  </si>
  <si>
    <t>Large obliquity-paced Antarctic ice-volume fluctuations suggest melting by atmospheric and ocean warming during late Oligocene</t>
  </si>
  <si>
    <t>OFFSHORE WILKES LAND; ORBITALLY-INDUCED OSCILLATIONS; SHEET VARIABILITY; CLIMATE RESPONSE; MG/CA; SEA; INSIGHTS; PALEOCEANOGRAPHY; TEMPERATURE; GLACIATION</t>
  </si>
  <si>
    <t>The late Oligocene (similar to 27.8-23 My ago) offers an opportunity to study past climate variability under high-CO2, warmer-than-present and the unipolar (Antarctic) glaciated state. Here, we present new high-resolution geochemical records from exquisitely well-preserved benthic foraminifera for the late Oligocene, an interval for which Antarctic ice-sheet size and stability are debated. Our records indicate four obliquity-paced glacial-interglacial cycles with ice-volume changes of up to similar to 70% of the modern Antarctic ice-sheet. The amplitude of ice-volume change during these late Oligocene glacial-interglacial cycles is comparable to that of the late Pliocene and early Pleistocene. Ice-volume estimates for interglacials are small enough to be accommodated by a land-based Antarctic ice-sheet but, for three of the four glacials studied, our calculations imply that ice sheets likely advanced beyond the Antarctic coastline onto the shelves. Our findings suggest an Antarctic ice-sheet vulnerable to melting driven by both bottom-up (ocean) and top-down (atmospheric) warming under late Oligocene warmer-than-present climate conditions.</t>
  </si>
  <si>
    <t>[Brzelinski, Swaantje; Friedrich, Oliver] Heidelberg Univ, Inst Earth Sci, Heidelberg, Germany; [Bornemann, Andre] Bundesanstalt Geowissensch &amp; Rohstoffe, Hannover, Germany; [Liebrand, Diederik; van Peer, Tim E.; Wilson, Paul A.] Univ Southampton, Natl Oceanog Ctr Southampton, Waterfront Campus, Southampton, England; [Liebrand, Diederik] Univ Manchester, Dept Earth &amp; Environm Sci, Manchester, England; [van Peer, Tim E.] Univ Leicester, Sch Geog Geol &amp; Environm, Leicester, England</t>
  </si>
  <si>
    <t>Ruprecht Karls University Heidelberg; NERC National Oceanography Centre; University of Southampton; University of Manchester; University of Leicester</t>
  </si>
  <si>
    <t>Brzelinski, S (corresponding author), Heidelberg Univ, Inst Earth Sci, Heidelberg, Germany.</t>
  </si>
  <si>
    <t>swaantje.brzelinski@gmail.com</t>
  </si>
  <si>
    <t>; van Peer, Tim/R-8157-2016</t>
  </si>
  <si>
    <t>Bornemann, Andre/0000-0003-4341-2366; Wilson, Paul/0000-0001-6425-8906; Friedrich, Oliver/0000-0002-6046-7513; van Peer, Tim/0000-0003-3516-4198</t>
  </si>
  <si>
    <t>German Research Foundation [FR2544/12, FR2544/17, BO2505/9]; Natural Environment Research Council (NERC) [NE/R018235/1, NE/T012285/1, NE/K014137/1]; NERC [NE/D006465/1]; Royal Society</t>
  </si>
  <si>
    <t>German Research Foundation(German Research Foundation (DFG)); Natural Environment Research Council (NERC)(UK Research &amp; Innovation (UKRI)Natural Environment Research Council (NERC)); NERC(UK Research &amp; Innovation (UKRI)Natural Environment Research Council (NERC)); Royal Society(Royal Society)</t>
  </si>
  <si>
    <t>We thank B. Hennrich, F. Kerschhofer, and P. Geppert for laboratory assistance, A. Bahr for his support in statistical analyses, C. Scholz and S. Rheinberger for support during ICP-OES measurements, and B. Knape, M. Greule and F. Keppler for support during stable isotope measurements. We thank the Captain, crew, JRSO technical staff, and shipboard scientists onboard the R/V JOIDES Resolution during IODP Expedition 342. This research used samples provided by the Integrated Ocean Drilling Programme (IODP). Funding for this study was provided by the German Research Foundation (grants FR2544/12 and FR2544/17 to S.B. and O.F.; BO2505/9 to A.B.), the Natural Environment Research Council (NERC) (grants NE/R018235/1 and NE/T012285/1 to T.E.v.P.; NE/K014137/1 to D.L.). P.A.W. acknowledges funding from NERC (grant NE/D006465/1) and the Royal Society (Wolfson Merit Award).</t>
  </si>
  <si>
    <t>10.1038/s43247-023-00864-9</t>
  </si>
  <si>
    <t>J9OJ9</t>
  </si>
  <si>
    <t>gold, Green Accepted, Green Published</t>
  </si>
  <si>
    <t>WOS:001012844400001</t>
  </si>
  <si>
    <t>Rigual-Hernández, AS; Langer, G; Sierro, FJ; Bostock, H; Sánchez-Santos, JM; Nodder, SD; Trull, TW; Ballegeer, AM; Moy, AD; Eriksen, R; Makowka, L; Béjard, TM; Rigal-Muñoz, FH; Hernández-Martín, A; Zorita-Viota, M; Flores, JA</t>
  </si>
  <si>
    <t>Rigual-Hernandez, Andres S.; Langer, Gerald; Sierro, Francisco Javier; Bostock, Helen; Sanchez-Santos, Jose Manuel; Nodder, Scott Davidson; Trull, Tom W.; Ballegeer, Anne Marie; Moy, Andrew D.; Eriksen, Ruth; Makowka, Laura; Bejard, Thibauld M.; Rigal-Munoz, Francisco Henri; Hernandez-Martin, Alberto; Zorita-Viota, Maria; Flores, Jose Abel</t>
  </si>
  <si>
    <t>Reduction in size of the calcifying phytoplankton Calcidiscus leptoporus to environmental changes between the Holocene and modern Subantarctic Southern Ocean</t>
  </si>
  <si>
    <t>Southern Ocean; coccolithophores; Calcidiscus leptoporus; ocean acidification; environmental change; sediment trap experiment; industrial era; Holocene</t>
  </si>
  <si>
    <t>ORGANIC-CARBON FLUXES; POLAR FRONTAL ZONES; EMILIANIA-HUXLEYI; CALCITE PRODUCTION; PACIFIC SECTOR; REDUCED CALCIFICATION; OPTICAL-PROPERTIES; AUSTRALIAN SECTOR; HEMISPHERE STRAIN; EXPORT PRODUCTION</t>
  </si>
  <si>
    <t>The Subantarctic Zone of the Southern Ocean plays a disproportionally large role on the Earth system. Model projections predict rapid environmental change in the coming decades, including ocean acidification, warming, and changes in nutrient supply which pose a serious risk for marine ecosystems. Yet despite the importance of the Subantarctic Zone, annual and inter-annual time series are extremely rare, leading to important uncertainties about the current state of its ecosystems and hindering predictions of future response to climate change. Moreover, as the longest observational time series available are only a few decades long, it remains unknown whether marine pelagic ecosystems have already responded to ongoing environmental change during the industrial era. Here, we take advantage of multiple sampling efforts - monitoring of surface layer water properties together with sediment trap, seafloor sediment and sediment core sampling - to reconstruct the modern and pre-industrial state of the keystone calcifying phytoplankton Calcidiscus leptoporus, central to the global marine carbonate cycle. Morphometric measurements reveal that modern C. leptoporus coccoliths are 15% lighter and 25% smaller than those preserved in the underlying Holocene-aged sediments. The cumulative effect of multiple environmental factors appears responsible for the coccolith size variations since the Last Deglaciation, with warming and ocean acidification most likely playing a predominant role during the industrial era. Notably, extrapolation of our results suggests a future reduction in cell and coccolith size which will have a negative impact on the efficiency of the biological pump in the Southern Ocean through a reduction of carbonate ballasting. Lastly, our results tentatively suggest that C. leptoporus coccolith size could be used as a palaeo-proxy for growth rate. Future culture experiments will be needed to test this hypothesis.</t>
  </si>
  <si>
    <t>[Rigual-Hernandez, Andres S.; Sierro, Francisco Javier; Makowka, Laura; Bejard, Thibauld M.; Rigal-Munoz, Francisco Henri; Hernandez-Martin, Alberto; Zorita-Viota, Maria; Flores, Jose Abel] Univ Salamanca, Dept Geol, Area Paleontol, Salamanca, Spain; [Langer, Gerald] Autonomous Univ Barcelona, Inst Ciencia &amp; Tecnol Ambientals, Bellaterra, Spain; [Bostock, Helen] Univ Queensland, Sch Earth &amp; Environm Sci, Brisbane, Qld, Australia; [Sanchez-Santos, Jose Manuel] Univ Salamanca, Dept Estadist, Salamanca, Spain; [Nodder, Scott Davidson] Natl Inst Water &amp; Atmospher Res, Wellington, New Zealand; [Trull, Tom W.; Eriksen, Ruth] CSIRO, Oceans &amp; Atmosphere, Hobart, Tas, Australia; [Trull, Tom W.; Moy, Andrew D.] Univ Tasmania, Inst Marine &amp; Antarctic Studies, Australian Antarctic Program Partnership, Hobart, Tas, Australia; [Ballegeer, Anne Marie] Univ Salamanca, Dept Didact Matemat &amp; Ciencias Expt, Salamanca, Spain; [Moy, Andrew D.] Australian Antarctic Div, Kingston, Tas, Australia; [Eriksen, Ruth] Univ Tasmania, Inst Marine &amp; Antarctic Studies, Hobart, Tas, Australia</t>
  </si>
  <si>
    <t>University of Salamanca; Autonomous University of Barcelona; University of Queensland; University of Salamanca; National Institute of Water &amp; Atmospheric Research (NIWA) - New Zealand; Commonwealth Scientific &amp; Industrial Research Organisation (CSIRO); University of Tasmania; University of Salamanca; Australian Antarctic Division; University of Tasmania</t>
  </si>
  <si>
    <t>Rigual-Hernández, AS (corresponding author), Univ Salamanca, Dept Geol, Area Paleontol, Salamanca, Spain.</t>
  </si>
  <si>
    <t>arigual@usal.es</t>
  </si>
  <si>
    <t>; Bostock, Helen/A-6834-2013; Eriksen, Ruth/J-7760-2014</t>
  </si>
  <si>
    <t>Langer, Gerald/0000-0002-7211-4889; Bostock, Helen/0000-0002-8903-8958; Eriksen, Ruth/0000-0002-5184-2465</t>
  </si>
  <si>
    <t>10.3389/fmars.2023.1159884</t>
  </si>
  <si>
    <t>L0BX8</t>
  </si>
  <si>
    <t>WOS:001020005700001</t>
  </si>
  <si>
    <t>Jones, DC; Sonnewald, M; Zhou, SJ; Hausmann, U; Meijers, AJS; Rosso, I; Boehme, L; Meredith, MP; Garabato, ACN</t>
  </si>
  <si>
    <t>Jones, Dani C.; Sonnewald, Maike; Zhou, Shenjie; Hausmann, Ute; Meijers, Andrew J. S.; Rosso, Isabella; Boehme, Lars; Meredith, Michael P.; Garabato, Alberto C. Naveira C.</t>
  </si>
  <si>
    <t>Unsupervised classification identifies coherent thermohaline structures in the Weddell Gyre region</t>
  </si>
  <si>
    <t>ANTARCTIC CIRCUMPOLAR CURRENT; BOTTOM WATER; MIXED-LAYER; SEA-ICE; CIRCULATION; DEEP; TRANSPORT; FRONTS; CONVECTION; EXPORT</t>
  </si>
  <si>
    <t>The Weddell Gyre is a major feature of the Southern Ocean and an important component of the planetary climate system; it regulates air-sea exchanges, controls the formation of deep and bottom waters, and hosts upwelling of relatively warm subsurface waters. It is characterised by low sea surface temperatures, ubiquitous sea ice formation, and widespread salt stratification that stabilises the water column. Observing the Weddell Gyre is challenging, as it is extremely remote and largely covered with sea ice. At present, it is one of the most poorly sampled regions of the global ocean, highlighting the need to extract as much value as possible from existing observations. Here, we apply a profile classification model (PCM), which is an unsupervised classification technique, to a Weddell Gyre profile dataset to identify coherent regimes in temperature and salinity. We find that, despite not being given any positional information, the PCM identifies four spatially coherent thermohaline domains that can be described as follows: (1) a circumpolar class, (2) a transition region between the circumpolar waters and the Weddell Gyre, (3) a gyre edge class with northern and southern branches, and (4) a gyre core class. PCM highlights, in an objective and interpretable way, both expected and underappreciated structures in the Weddell Gyre dataset. For instance, PCM identifies the inflow of Circumpolar Deep Water (CDW) across the eastern boundary, the presence of the Weddell-Scotia Confluence waters, and structured spatial variability in mixing between Winter Water and CDW. PCM offers a useful complement to existing expertise-driven approaches for characterising the physical configuration and variability of oceanographic regions, helping to identify coherent thermohaline structures and the boundaries between them.</t>
  </si>
  <si>
    <t>[Jones, Dani C.; Zhou, Shenjie; Hausmann, Ute; Meijers, Andrew J. S.; Meredith, Michael P.] British Antarctic Survey, NERC, UKRI, Cambridge, England; [Sonnewald, Maike] Princeton Univ, Program Atmospher &amp; Ocean Sci, Princeton, NJ USA; [Sonnewald, Maike] NOAA Geophys Fluid Dynam Lab, Princeton, NJ USA; [Sonnewald, Maike] Univ Washington, Sch Oceanog, Seattle, WA USA; [Rosso, Isabella] UCSD, Scripps Inst Oceanog, La Jolla, CA USA; [Rosso, Isabella] GeoOpt Switzerland SA, Lausanne, Switzerland; [Boehme, Lars] Univ St Andrews, SMRU, St Andrews, Scotland; [Garabato, Alberto C. Naveira C.] Univ Southampton, Natl Oceanog Ctr, Ocean &amp; Earth Sci, Southampton, England</t>
  </si>
  <si>
    <t>UK Research &amp; Innovation (UKRI); Natural Environment Research Council (NERC); NERC British Antarctic Survey; National Oceanic Atmospheric Admin (NOAA) - USA; Princeton University; National Oceanic Atmospheric Admin (NOAA) - USA; University of Washington; University of Washington Seattle; University of California System; University of California San Diego; Scripps Institution of Oceanography; University of St Andrews; NERC National Oceanography Centre; University of Southampton</t>
  </si>
  <si>
    <t>Jones, DC (corresponding author), British Antarctic Survey, NERC, UKRI, Cambridge, England.</t>
  </si>
  <si>
    <t>dannes@bas.ac.uk</t>
  </si>
  <si>
    <t>Hausmann, Ute/0000-0003-2753-5710; Zhou, Shenjie/0000-0002-9124-6270; Jones, Dani/0000-0002-8701-4506; Sonnewald, Maike/0000-0002-5136-9604</t>
  </si>
  <si>
    <t>10.5194/os-19-857-2023</t>
  </si>
  <si>
    <t>J5XV8</t>
  </si>
  <si>
    <t>WOS:001010353600001</t>
  </si>
  <si>
    <t>Rodrigues, LAC; Mendonça, CBF; Licínio, MVVJ; Agostini, KD; Alencar, AS; Gonçalves-Esteves, V</t>
  </si>
  <si>
    <t>Rodrigues, Luiz Antonio Costa; Mendonca, Claudia Barbieri Ferreira; Licinio, Marcus Vinicius Vaughan Jennings; Agostini, Kamila da Matta; Alencar, Alexandre Santos; Goncalves-Esteves, Vania</t>
  </si>
  <si>
    <t>Diversity of pollen grains transported from South America to the Antarctic Peninsula through atmospheric dispersal</t>
  </si>
  <si>
    <t>Biomarker; Palynology; Palynomorphs; Proxy</t>
  </si>
  <si>
    <t>PLANT ECOLOGY; LEGUMINOSAE; SPORES; CLASSIFICATION</t>
  </si>
  <si>
    <t>The geographical isolation of Antarctica and the low temperatures resulting from the Antarctic albedo and the Circumpolar Current are key factors determining the influence of the continent on global climate regulation and ecosystem conservation. This study aimed to identify the feasibility of using pollen grains as biomarkers of atmospheric transport between South America and Antarctica. For this, snow samples were collected at three different sites on Joinville Island, in 2005. Samples were collected by the Laboratory of Radioecology and Global Change of the Rio de Janeiro State University and analyzed palynologically at the alvaro Xavier Moreira Laboratory of Palynology of the National Museum, Federal University of Rio de Janeiro, Brazil. Palynological analysis revealed the presence of spores from Blechnaceae, pollen grains (Cyperaceae, Apocynaceae, Asteraceae, Moraceae, Leguminosae, Rubiaceae Oreopolus glacialis (Poepp.) Ricardi, Passifloraceae, Ruscaceae, Urticaceae, Winteraceae and non-pollen palynomorphs. It was found that the recorded taxa occur in South America. The Hybrid Single-Particle Lagrangian Integrated Trajectory model was applied to investigate which air masses potentially pass through the sampling sites on Joinville Island and assess associations between the biogeography of recorded species and air mass trajectories. Biogeographical analysis indicated that the Andes serve as a heat source for pollen transport, confirming the feasibility of using pollen grains as biomarkers of atmospheric transport. The results obtained will be of great importance for researchers interested in palynology, aeropalynology, and biomarkers of atmospheric transport.</t>
  </si>
  <si>
    <t>[Rodrigues, Luiz Antonio Costa; Mendonca, Claudia Barbieri Ferreira; Agostini, Kamila da Matta; Goncalves-Esteves, Vania] Univ Fed Rio De Janeiro, Dept Bot, Lab Palynol, Museu Nacl, BR-20940040 Rio De Janeiro, RJ, Brazil; [Licinio, Marcus Vinicius Vaughan Jennings] Univ Fed Espirito Santo, Vitoria, ES, Brazil; [Alencar, Alexandre Santos] Univ Veiga Almeida, BR-20271020 Rio De Janeiro, RJ, Brazil</t>
  </si>
  <si>
    <t>Universidade Federal do Rio de Janeiro; Universidade Federal do Espirito Santo; Universidade Veiga de Almeida (UVA)</t>
  </si>
  <si>
    <t>Mendonça, CBF (corresponding author), Univ Fed Rio De Janeiro, Dept Bot, Lab Palynol, Museu Nacl, BR-20940040 Rio De Janeiro, RJ, Brazil.</t>
  </si>
  <si>
    <t>cb.mendonca@gmail.com</t>
  </si>
  <si>
    <t>Costa Rodrigues, Luiz Antonio/J-5841-2018; Goncalves-Esteves, Vania/I-5572-2012; Mendonca, Claudia Barbieri F./L-9261-2013</t>
  </si>
  <si>
    <t>Costa Rodrigues, Luiz Antonio/0000-0003-0025-4177; Goncalves-Esteves, Vania/0000-0002-2803-6027; Mendonca, Claudia Barbieri F./0000-0003-4219-6147; Alencar, Alexandre/0000-0002-8104-1781</t>
  </si>
  <si>
    <t>Brazilian National Council for Scientific and Technological Development (CNPq) [444 200.090/2019]; Rio de Janeiro Research Foundation (FAPERJ); Rio de Janeiro State Research Support Foundation; National Institute of Science and Technology of the Cryosphere; [422903/2018-3]</t>
  </si>
  <si>
    <t>Brazilian National Council for Scientific and Technological Development (CNPq)(Conselho Nacional de Desenvolvimento Cientifico e Tecnologico (CNPQ)); Rio de Janeiro Research Foundation (FAPERJ)(Fundacao Carlos Chagas Filho de Amparo a Pesquisa do Estado do Rio De Janeiro (FAPERJ)); Rio de Janeiro State Research Support Foundation; National Institute of Science and Technology of the Cryosphere;</t>
  </si>
  <si>
    <t>V. Goncalves-Esteves and C. B. F. Mendonca are grateful to the Brazilian National Council for Scientific and Technological Development (CNPq) for the research grants and research development aid (2018 Universal Call, process no. 422903/2018-3) awarded to the first author. All authors extend their thanks to the Rio de Janeiro Research Foundation (FAPERJ) for funding provided through the Emergency Aid to the National Museum (process no. 444 200.090/2019). We also thank Noemia R. Goncalves, from the Laboratory of Cellular Ultrastructure, Institute of Biophysics, Federal University of Rio de Janeiro (UFRJ), for the technical support with SEM analysis. We thank the Rio de Janeiro State Research Support Foundation and the National Institute of Science and Technology of the Cryosphere for the financial support and the Laboratory of Radioecology and Global Change of the Rio de Janeiro State University for collecting the material and reviewing data from the Antarctic continent.</t>
  </si>
  <si>
    <t>10.1007/s00300-023-03165-1</t>
  </si>
  <si>
    <t>L5PL1</t>
  </si>
  <si>
    <t>WOS:001014456800002</t>
  </si>
  <si>
    <t>Zannotti, M; Ramasamy, KP; Loggi, V; Vassallo, A; Pucciarelli, S; Giovannetti, R</t>
  </si>
  <si>
    <t>Zannotti, Marco; Ramasamy, Kesava Priyan; Loggi, Valentina; Vassallo, Alberto; Pucciarelli, Sandra; Giovannetti, Rita</t>
  </si>
  <si>
    <t>Hydrocarbon degradation strategy and pyoverdine production using the salt tolerant Antarctic bacterium Marinomonas sp. ef1.</t>
  </si>
  <si>
    <t>RSC ADVANCES</t>
  </si>
  <si>
    <t>BIOLOGICAL RECOGNITION ELEMENT; COORDINATION PROPERTIES; PSEUDOMONAS-AERUGINOSA; FLUORESCENT PSEUDOMONAS; MASS-SPECTROMETRY; IRON TRANSPORT; SIDEROPHORE; BIOSYNTHESIS; PURIFICATION; OIL</t>
  </si>
  <si>
    <t>One of the most concerning environmental problems is represented by petroleum and its derivatives causing contamination of aquatic and underground environments. In this work, the degradation treatment of diesel using Antarctic bacteria is proposed. Marinomonas sp. ef1 is a bacterial strain isolated from a consortium associated with the Antarctic marine ciliate Euplotes focardii. Its potential in the degradation of hydrocarbons commonly present in diesel oil were studied. The bacterial growth was evaluated in culturing conditions that resembled the marine environment with 1% (v/v) of either diesel or biodiesel added; in both cases, Marinomonas sp. ef1 was able to grow. The chemical oxygen demand measured after the incubation of bacteria with diesel decreased, demonstrating the ability of bacteria to use diesel hydrocarbons as a carbon source and degrade them. The metabolic potential of Marinomonas to degrade aromatic compounds was supported by the identification in the genome of sequences encoding various enzymes involved in benzene and naphthalene degradation. Moreover, in the presence of biodiesel, a fluorescent yellow pigment was produced; this was isolated, purified and characterized by UV-vis and fluorescence spectroscopy, leading to its identification as a pyoverdine. These results suggest that Marinomonas sp. ef1 can be used in hydrocarbon bioremediation and in the transformation of these pollutants in molecules of interest.</t>
  </si>
  <si>
    <t>[Zannotti, Marco; Loggi, Valentina; Giovannetti, Rita] Univ Camerino, Sch Sci &amp; Technol, Chem Interdisciplinary Project, Chem Div, I-62032 Camerino, Italy; [Ramasamy, Kesava Priyan] Umea Univ, Dept Ecol &amp; Environm Sci, S-90187 Umea, Sweden; [Vassallo, Alberto; Pucciarelli, Sandra] Univ Camerino, Sch Biosci &amp; Vet Med, Biosci &amp; Biotechnol Div, I-62032 Camerino, Italy; [Zannotti, Marco; Pucciarelli, Sandra; Giovannetti, Rita] IridES Srl, Via Via Gentile 3 Da Varano 1, I-62032 Camerino, Italy</t>
  </si>
  <si>
    <t>University of Camerino; Umea University; University of Camerino</t>
  </si>
  <si>
    <t>Zannotti, M; Giovannetti, R (corresponding author), Univ Camerino, Sch Sci &amp; Technol, Chem Interdisciplinary Project, Chem Div, I-62032 Camerino, Italy.;Zannotti, M; Giovannetti, R (corresponding author), IridES Srl, Via Via Gentile 3 Da Varano 1, I-62032 Camerino, Italy.</t>
  </si>
  <si>
    <t>marco.zannotti@unicam.it; rita.giovannetti@unicam.it</t>
  </si>
  <si>
    <t>Giovannetti, Rita/C-8941-2018</t>
  </si>
  <si>
    <t>Giovannetti, Rita/0000-0001-8099-6028; Vassallo, Alberto/0000-0003-3505-1097; Zannotti, Marco/0000-0003-2527-9856</t>
  </si>
  <si>
    <t>2046-2069</t>
  </si>
  <si>
    <t>RSC ADV</t>
  </si>
  <si>
    <t>RSC Adv.</t>
  </si>
  <si>
    <t>10.1039/d3ra02536e</t>
  </si>
  <si>
    <t>Chemistry, Multidisciplinary</t>
  </si>
  <si>
    <t>K4GW2</t>
  </si>
  <si>
    <t>WOS:001016048500001</t>
  </si>
  <si>
    <t>Kalra, I; Wang, X; Zhang, R; Morgan-Kiss, R</t>
  </si>
  <si>
    <t>Kalra, Isha; Wang, Xin; Zhang, Ru; Morgan-Kiss, Rachael</t>
  </si>
  <si>
    <t>High salt-induced PSI-supercomplex is associated with high CEF and attenuation of state transitions</t>
  </si>
  <si>
    <t>Acclimation; Antarctica; Chlamydomonas; Cyclic electron flow; PSI-supercomplex; Salinity; State transitions</t>
  </si>
  <si>
    <t>CYCLIC ELECTRON FLOW; PHOTOSYSTEM-I; CHLAMYDOMONAS-REINHARDTII; ANTARCTIC PSYCHROPHILE; ENERGY-DISTRIBUTION; GREEN-ALGA; STRESS; PHOTOSYNTHESIS; ACCLIMATION; DUNALIELLA</t>
  </si>
  <si>
    <t>While PSI-driven cyclic electron flow (CEF) and assembly of thylakoid supercomplexes have been described in model organisms like Chlamydomonas reinhardtii, open questions remain regarding their contributions to survival under long-term stress. The Antarctic halophyte, C. priscuii UWO241 (UWO241), possesses constitutive high CEF rates and a stable PSI-supercomplex as a consequence of adaptation to permanent low temperatures and high salinity. To understand whether CEF represents a broader acclimation strategy to short- and long-term stress, we compared high salt acclimation between the halotolerant UWO241, the salt-sensitive model, C. reinhardtii, and a moderately halotolerant Antarctic green alga, C. sp. ICE-MDV (ICE-MDV). CEF was activated under high salt and associated with increased non-photochemical quenching in all three Chlamydomonas species. Furthermore, high salt-acclimated cells of either strain formed a PSI-supercomplex, while state transition capacity was attenuated. How the CEF-associated PSI-supercomplex interferes with state transition response is not yet known. We present a model for interaction between PSI-supercomplex formation, state transitions, and the important role of CEF for survival during long-term exposure to high salt.</t>
  </si>
  <si>
    <t>[Kalra, Isha; Wang, Xin; Morgan-Kiss, Rachael] Miami Univ, Dept Microbiol, Oxford, OH 45056 USA; [Zhang, Ru] Donald Danforth Plant Sci Ctr, St Louis, MO 63132 USA; [Kalra, Isha] Univ Southern Calif, Dept Biol, Los Angeles, CA 90089 USA</t>
  </si>
  <si>
    <t>University System of Ohio; Miami University; Donald Danforth Plant Science Center; University of Southern California</t>
  </si>
  <si>
    <t>Kalra, I (corresponding author), Miami Univ, Dept Microbiol, Oxford, OH 45056 USA.;Kalra, I (corresponding author), Univ Southern Calif, Dept Biol, Los Angeles, CA 90089 USA.</t>
  </si>
  <si>
    <t>ishakalr@usc.edu; morganr2@miamioh.edu</t>
  </si>
  <si>
    <t>Zhang, Ru/Q-1313-2016</t>
  </si>
  <si>
    <t>SCELC, Statewide California Electronic Library Consortium; U.S. DOE [DE-SC0019138, DE-SC0019464]; U.S. Department of Energy (DOE) [DE-SC0019464, DE-SC0019138] Funding Source: U.S. Department of Energy (DOE)</t>
  </si>
  <si>
    <t>SCELC, Statewide California Electronic Library Consortium; U.S. DOE(United States Department of Energy (DOE)); U.S. Department of Energy (DOE)(United States Department of Energy (DOE))</t>
  </si>
  <si>
    <t>&amp; nbsp;Open access funding provided by SCELC, Statewide California Electronic Library Consortium. Funding was provided by U.S. DOE Grants DE-SC0019138 (RMK, IK, XW) and DE-SC0019464 (RZ).</t>
  </si>
  <si>
    <t>2-3</t>
  </si>
  <si>
    <t>10.1007/s11120-023-01032-y</t>
  </si>
  <si>
    <t>Q7NZ9</t>
  </si>
  <si>
    <t>hybrid, Green Submitted, Green Published</t>
  </si>
  <si>
    <t>WOS:001014448700001</t>
  </si>
  <si>
    <t>Maeng, H; Fryzlewicz, P</t>
  </si>
  <si>
    <t>Maeng, Hyeyoung; Fryzlewicz, Piotr</t>
  </si>
  <si>
    <t>Detecting linear trend changes in data sequences</t>
  </si>
  <si>
    <t>STATISTICAL PAPERS</t>
  </si>
  <si>
    <t>Change-point detection; Bottom-up algorithms; Piecewise-linear signal; Wavelets</t>
  </si>
  <si>
    <t>We propose TrendSegment, a methodology for detecting multiple change-points corresponding to linear trend changes in one dimensional data. A core ingredient of TrendSegment is a new Tail-Greedy Unbalanced Wavelet transform: a conditionally orthonormal, bottom-up transformation of the data through an adaptively constructed unbalanced wavelet basis, which results in a sparse representation of the data. Due to its bottom-up nature, this multiscale decomposition focuses on local features in its early stages and on global features next which enables the detection of both long and short linear trend segments at once. To reduce the computational complexity, the proposed method merges multiple regions in a single pass over the data. We show the consistency of the estimated number and locations of change-points. The practicality of our approach is demonstrated through simulations and two real data examples, involving Iceland temperature data and sea ice extent of the Arctic and the Antarctic. Our methodology is implemented in the R package trendsegmentR, available from CRAN.</t>
  </si>
  <si>
    <t>[Maeng, Hyeyoung] Univ Durham, Dept Math Sci, Stockton Rd, Durham DH1 3LE, England; [Fryzlewicz, Piotr] London Sch Econ, Dept Stat, Houghton St, London WC2A 2AE, England</t>
  </si>
  <si>
    <t>Durham University; University of London; London School Economics &amp; Political Science</t>
  </si>
  <si>
    <t>Maeng, H (corresponding author), Univ Durham, Dept Math Sci, Stockton Rd, Durham DH1 3LE, England.</t>
  </si>
  <si>
    <t>hyeyoung.maeng@durham.ac.uk</t>
  </si>
  <si>
    <t>Fryzlewicz, Piotr/P-3532-2018; Maeng, Hyeyoung/JFA-2315-2023</t>
  </si>
  <si>
    <t>Maeng, Hyeyoung/0000-0001-7835-5862</t>
  </si>
  <si>
    <t>EPSRC [EP/V053639/1] Funding Source: UKRI</t>
  </si>
  <si>
    <t>EPSRC(UK Research &amp; Innovation (UKRI)Engineering &amp; Physical Sciences Research Council (EPSRC))</t>
  </si>
  <si>
    <t>0932-5026</t>
  </si>
  <si>
    <t>1613-9798</t>
  </si>
  <si>
    <t>STAT PAP</t>
  </si>
  <si>
    <t>Stat. Pap.</t>
  </si>
  <si>
    <t>10.1007/s00362-023-01458-5</t>
  </si>
  <si>
    <t>Statistics &amp; Probability</t>
  </si>
  <si>
    <t>K1YH8</t>
  </si>
  <si>
    <t>WOS:001014463600001</t>
  </si>
  <si>
    <t>Green, KM; Virdee, MK; Cubaynes, HC; Aviles-Rivero, AI; Fretwell, PT; Gray, PC; Johnston, DW; Schonlieb, CB; Torres, LG; Jackson, JA</t>
  </si>
  <si>
    <t>Green, Katherine M.; Virdee, Mala K.; Cubaynes, Hannah C.; Aviles-Rivero, Angelica I.; Fretwell, Peter T.; Gray, Patrick C.; Johnston, David W.; Schonlieb, Carola-Bibiane; Torres, Leigh G.; Jackson, Jennifer A.</t>
  </si>
  <si>
    <t>Gray whale detection in satellite imagery using deep learning</t>
  </si>
  <si>
    <t>CNN; Eschrichtius robustus; gray whale; machine learning; remote sensing; VHR satellite imagery</t>
  </si>
  <si>
    <t>OBJECT DETECTION; POPULATION</t>
  </si>
  <si>
    <t>The combination of very high resolution (VHR) satellite remote sensing imagery and deep learning via convolutional neural networks provides opportunities to improve global whale population surveys through increasing efficiency and spatial coverage. Many whale species are recovering from commercial whaling and face multiple anthropogenic threats. Regular, accurate population surveys are therefore of high importance for conservation efforts. In this study, a state-of-the-art object detection model (YOLOv5) was trained to detect gray whales (Eschrichtius robustus) in VHR satellite images, using training data derived from satellite images spanning different sea states in a key breeding habitat, as well as aerial imagery collected by unoccupied aircraft systems. Varying combinations of aerial and satellite imagery were incorporated into the training set. Mean average precision, whale precision, and recall ranged from 0.823 to 0.922, 0.800 to 0.939, and 0.843 to 0.889, respectively, across eight experiments. The results imply that including aerial imagery in the training data did not substantially impact model performance, and therefore, expansion of representative satellite datasets should be prioritized. The accuracy of the results on real-world data, along with short training times, indicates the potential of using this method to automate whale detection for population surveys.</t>
  </si>
  <si>
    <t>[Green, Katherine M.; Cubaynes, Hannah C.; Fretwell, Peter T.; Jackson, Jennifer A.] British Antarctic Survey, Cambridge, England; [Green, Katherine M.; Virdee, Mala K.] Univ Cambridge, Dept Comp Sci &amp; Technol, Cambridge, England; [Aviles-Rivero, Angelica I.] Univ Cambridge, Dept Appl Math Theoret Phys, Cambridge, England; [Gray, Patrick C.] Duke Univ, Marine Lab, Durham, NC USA; [Torres, Leigh G.] Oregon State Univ, Marine Mammal Inst, Corvallis, OR USA</t>
  </si>
  <si>
    <t>UK Research &amp; Innovation (UKRI); Natural Environment Research Council (NERC); NERC British Antarctic Survey; University of Cambridge; University of Cambridge; Duke University; Oregon State University</t>
  </si>
  <si>
    <t>Green, KM (corresponding author), British Antarctic Survey, Cambridge, England.</t>
  </si>
  <si>
    <t>kmmg2@cam.ac.uk</t>
  </si>
  <si>
    <t>Jackson, Jennifer A/E-7997-2013</t>
  </si>
  <si>
    <t>Johnston, David/0000-0003-2424-036X; Jackson, Jennifer/0000-0003-4158-1924; Green, Katherine/0000-0003-4664-3354</t>
  </si>
  <si>
    <t>British Antarctic Survey; UK Research and Innovation [EP/S022961/1]</t>
  </si>
  <si>
    <t>British Antarctic Survey; UK Research and Innovation(UK Research &amp; Innovation (UKRI))</t>
  </si>
  <si>
    <t>The study was funded by British Antarctic Survey and UK Research and Innovation (EP/S022961/1).</t>
  </si>
  <si>
    <t>10.1002/rse2.352</t>
  </si>
  <si>
    <t>CK3N7</t>
  </si>
  <si>
    <t>WOS:001013988400001</t>
  </si>
  <si>
    <t>Romero, E; Tenorio-Fernandez, L; Portela, E; Montes-Aréchiga, J; Sánchez-Velasco, L</t>
  </si>
  <si>
    <t>Romero, Emmanuel; Tenorio-Fernandez, Leonardo; Portela, Esther; Montes-Arechiga, Jorge; Sanchez-Velasco, Laura</t>
  </si>
  <si>
    <t>Improving the thermocline calculation over the global ocean</t>
  </si>
  <si>
    <t>MIXED-LAYER; ARGO DATA; DEPTH</t>
  </si>
  <si>
    <t>According to the typical thermal structure of the ocean, the water column can be divided into three layers: the mixed layer, the thermocline and the deep layer. In this study, we provide a new methodology, based on a function adjustment to the temperature profile, to locate the minimum and maximum depths of the strongest thermocline. We first validated our methodology by comparing the mixed layer depth obtained with the method proposed here with three other methods from previous studies. Since we found a very good agreement between the four methods we used the function adjustment to compute the monthly climatologies of the maximum thermocline depth and the thermocline thickness and strength in the global ocean. We also provide an assessment of the regions of the ocean where our adjustment is valid, i.e., where the thermal structure of the ocean follows the three-layer structure. However, there are ocean regions where the water column cannot be separated into three layers due to the dynamic processes that alter it. This assessment highlights the limitations of the existing methods to accurately determine the mixed layer depth and the thermocline depth in oceanic regions that are particularly turbulent such as the Southern Ocean and the northern North Atlantic, among others. The method proposed here has shown to be robust and easy to apply.</t>
  </si>
  <si>
    <t>[Romero, Emmanuel; Tenorio-Fernandez, Leonardo; Sanchez-Velasco, Laura] Inst Politecn Nacl, Ctr Interdisciplinario Ciencias Marinas IPN CICIM, Dept Oceanol, Av IPN S-N, La Paz 23096, Bcs, Mexico; [Tenorio-Fernandez, Leonardo] Consejo Nacl Humanidades Ciencia &amp; Tecnol, CONAHCyT, Ave Insurgentes Sur 1582, Mexico City 03940, DF, Mexico; [Portela, Esther] Univ East Anglia, Sch Environm Sci, Norwich, England; [Portela, Esther] Univ Brest, Lab Oceanog Phys &amp; Spatiale, CNRS, IRD,Ifremer, Plouzane, France; [Portela, Esther] Univ Tasmania, Inst Marine &amp; Antarctic Studies, Hobart 7001, Australia; [Montes-Arechiga, Jorge] Univ Guadalajara, Dept Fis, Gral Marcelino Garcia Barragan 1421, Guadalajara 44430, Jal, Mexico</t>
  </si>
  <si>
    <t>Instituto Politecnico Nacional - Mexico; University of East Anglia; Centre National de la Recherche Scientifique (CNRS); Ifremer; Universite de Bretagne Occidentale; Institut de Recherche pour le Developpement (IRD); University of Tasmania; Universidad de Guadalajara</t>
  </si>
  <si>
    <t>Tenorio-Fernandez, L (corresponding author), Inst Politecn Nacl, Ctr Interdisciplinario Ciencias Marinas IPN CICIM, Dept Oceanol, Av IPN S-N, La Paz 23096, Bcs, Mexico.</t>
  </si>
  <si>
    <t>ltenoriof@ipn.mx</t>
  </si>
  <si>
    <t>Romero, Emmanuel/JMC-2193-2023; Montes Arechiga, Jorge Manuel/F-1900-2018; Sanchez-Velasco, Laura/Q-9057-2018</t>
  </si>
  <si>
    <t>Romero, Emmanuel/0000-0001-9627-6770; Portela Rodriguez, Esther/0000-0003-4044-4581; Montes Arechiga, Jorge Manuel/0000-0001-6506-1769; Sanchez-Velasco, Laura/0000-0002-3446-9638</t>
  </si>
  <si>
    <t>CONACYT [780669]</t>
  </si>
  <si>
    <t>CONACYT(Consejo Nacional de Ciencia y Tecnologia (CONACyT))</t>
  </si>
  <si>
    <t>AcknowledgementsWe are grateful to CONACYT for granting scholarship no. 780669 to Emmanuel Romero. We appreciate that these data were collected and made freely available by the international Argo program. We also thank the Centro Interdisciplinario de Ciencias Marinas (CICIMAR) for their institutional support and acknowledge the critical comments from the reviewers.</t>
  </si>
  <si>
    <t>10.5194/os-19-887-2023</t>
  </si>
  <si>
    <t>J5XJ5</t>
  </si>
  <si>
    <t>WOS:001010341300001</t>
  </si>
  <si>
    <t>Justiniano, CAB; Oriolo, S; Basei, MAS</t>
  </si>
  <si>
    <t>Justiniano, Carlos A. Ballivian; Oriolo, Sebastian; Basei, Miguel A. S.</t>
  </si>
  <si>
    <t>Coupled U-Pb and Lu-Hf zircon data of Late Devonian magmatism from Bajo de La Leona (Deseado Massif, Argentina): Tracking the southernmost exposure of the Devonian magmatic arc of Patagonia</t>
  </si>
  <si>
    <t>Devonian magmatic arc; Rio Deseado Complex; Santa Cruz province; Southern Patagonia</t>
  </si>
  <si>
    <t>SM-ND; ANTARCTIC PENINSULA; MANTLE SOURCES; SHRIMP AGES; CRUSTAL; EVOLUTION; ROCKS; DISCRIMINATION; COLLISION; BASEMENT</t>
  </si>
  <si>
    <t>In Bajo de La Leona, located in the eastern Deseado Massif, pre-Permian basement rocks of the Rio Deseado Complex crop out. They consist of high- to medium-grade metamorphic rocks intruded by two Paleozoic granitoids, namely the Mina de La Leona Granite and the Laguna Larga Granite. The latter is the main goal of this work. It is a calc-alkaline to high-K calc-alkaline, ferroan, calcic to alkali-calcic, and mainly peraluminous monzoleucogranite which plots within the I &amp; S-type and volcanic-arc fields of the tectonic discrimination diagrams. Its trace elements composition (e.g., Sr/Y, LaN/YbN, Sm/Yb, Eu/Eu*, Dy/Dy*, Dy/Yb) suggests plagioclase &amp; PLUSMN; clinopyroxene fractionation in a shallow source at low pressures. Assimilation could have played a role in magma differentiation, thus the magmatic development of the Laguna Larga Granite is likely a consequence of assimilation-fractional crystallization (AFC) processes. Coupled LA-ICP-MS U-Pb and Lu-Hf zircon data for the studied granite, as well as Sm-Nd whole-rock data, are here presented for the first time. A Famennian U-Pb zircon crystallization age of 361.9 &amp; PLUSMN; 1.7 Ma was obtained, together with &amp; epsilon;Hf(t) zircon values from -15 to +6 with TDM-Hf model ages between 2.0 and 0.9 Ga. A thin crust, as suggested by low values of thickness proxies such as Sr/Y (1.06-1.83) and LaN/YbN (3.97-4.96), would allow emplacement of juvenile mantle-derived material, giving rise to the suprachondritic &amp; epsilon;Hf(t) values. A mantle-derived source is also suggested by a suprachondritic &amp; epsilon;Nd(t) whole-rock value of +2.34 (TDM-Nd = 0.93 Ga). On the other hand, the subchondritic &amp; epsilon;Hf(t) values could be related to wall rock assimilation. In a regional context, the obtained results for the Laguna Larga Granite allow to correlate it with coeval rocks from northern Patagonia (e.g., San Martin de los Andes batholith, Paleozoic Central Patagonian igneous-metamorphic belt). Therefore, the Devonian magmatic arc might have extended from the North Patagonian Andes and the western North Patagonian Massif to the eastern Deseado Massif along a NNWSSE-striking belt, confirming previous proposals.</t>
  </si>
  <si>
    <t>[Justiniano, Carlos A. Ballivian; Oriolo, Sebastian] Univ Buenos Aires, Consejo Nacl Invest Cient &amp; Tecn CONICET, Inst Geociencias Basicas Aplicadas &amp; Ambientales B, CONICET, Ciudad Univ,Pabellon 2,Piso 1,Intendente Guiraldes, RA-1428 Buenos Aires, Argentina; [Basei, Miguel A. S.] Univ Sao Paulo, Ctr Pesquisas Geocronol &amp; Geoquim Isotop CPGeo, Conselho Nacl Desenvolvimento Cient &amp; Tecnol CNPq, Inst Geociencias, Cidade Univ,Rua Lago 562, BR-05508080 Sao Paulo, Brazil; [Justiniano, Carlos A. Ballivian] Univ Buenos Aires, Inst Geociencias Basicas Aplicadas &amp; Ambientales B, CONICET, Intendente Guiraldes 2160,Ciudad Univ,Pabelon 2,Pi, RA-1428 Buenos Aires, Argentina</t>
  </si>
  <si>
    <t>University of Buenos Aires; Consejo Nacional de Investigaciones Cientificas y Tecnicas (CONICET); Universidade de Sao Paulo; Consejo Nacional de Investigaciones Cientificas y Tecnicas (CONICET); University of Buenos Aires</t>
  </si>
  <si>
    <t>Justiniano, CAB (corresponding author), Univ Buenos Aires, Inst Geociencias Basicas Aplicadas &amp; Ambientales B, CONICET, Intendente Guiraldes 2160,Ciudad Univ,Pabelon 2,Pi, RA-1428 Buenos Aires, Argentina.</t>
  </si>
  <si>
    <t>carlos_ballivian@hotmail.com</t>
  </si>
  <si>
    <t>Ballivian J., Carlos A./0000-0002-4232-9571</t>
  </si>
  <si>
    <t>Consejo Nacional de Investigaciones Cientificas y Tecnicas of Argentina (CONICET) [PIP 11220200101662CO]</t>
  </si>
  <si>
    <t>Consejo Nacional de Investigaciones Cientificas y Tecnicas of Argentina (CONICET)(Consejo Nacional de Investigaciones Cientificas y Tecnicas (CONICET))</t>
  </si>
  <si>
    <t>We would like to acknowledge Alina Tibaldi, Pablo Alasino, and an anonymous reviewer for their constructive comments that helped to improve the original manuscript, as well as Andres Folguera for the editorial handling. Sebastian Oriolo thanks financial support of the Consejo Nacional de Investigaciones Cientificas y Tecnicas of Argentina (CONICET; PIP 11220200101662CO) .</t>
  </si>
  <si>
    <t>10.1016/j.jsames.2023.104455</t>
  </si>
  <si>
    <t>O0ZJ6</t>
  </si>
  <si>
    <t>WOS:001041187400001</t>
  </si>
  <si>
    <t>Van Maldeghem, F; van Ginneken, M; Soens, B; Kaufmann, F; Lampe, S; Ruggiu, LK; Hecht, L; Claeys, P; Goderis, S</t>
  </si>
  <si>
    <t>Van Maldeghem, Flore; van Ginneken, Matthias; Soens, Bastien; Kaufmann, Felix; Lampe, Seppe; Ruggiu, Lisa Kramer; Hecht, Lutz; Claeys, Philippe; Goderis, Steven</t>
  </si>
  <si>
    <t>Geochemical characterization of scoriaceous and unmelted micrometeorites from the Sor Rondane Mountains, East Antarctica: Links to chondritic parent bodies and the effects of alteration</t>
  </si>
  <si>
    <t>Unmelted micrometeorites; Scoriaceous micrometeorites; Extraterrestrial dust; Parent bodies; Atmospheric heating; Oxygen isotope ratios</t>
  </si>
  <si>
    <t>FINE-GRAINED MICROMETEORITES; DRONNING MAUD LAND; COSMIC SPHERULES; OXYGEN-ISOTOPE; ATMOSPHERIC ENTRY; CHEMICAL-COMPOSITIONS; ACCRETION RATE; SOLAR-SYSTEM; METEORITE; SNOW</t>
  </si>
  <si>
    <t>Micrometeorites originate from the interplanetary dust complex and continuously fall to the Earth's surface in large amounts. About 10 to 20% of micrometeorites are not melted upon reaching the Earth's surface, preserving the primary features and characteristics of the parent material. Consequently, unmelted micrometeorites, together with scoriaceous micrometeorites, an intermediate form between cosmic spherules and unmelted mi-crometeorites, are pivotal in documenting the nature and evolution of interplanetary dust as well as the modi-fications experienced by micrometeorites during atmospheric entry. Based on their petrographic features, here we identified and characterized 64 scoriaceous and unmelted micrometeorites with diameters varying between 90 and 410 &amp; mu;m from fine-grained sediment sampled in the Sor Rondane Mountains of East Antarctica. Based on their size distribution, the micrometeorites from the Sor Rondane Mountains show a clear distinction between unmelted micrometeorites (&lt;300 &amp; mu;m) and cosmic spherules (&gt;400 &amp; mu;m) and imply an accumulation mechanism or exposure history distinct from other collections (e.g., Transantarctic Mountains). Different exposure windows, weathering processes and environmental factors (e.g., snow cover) could affect the size and composition of preserved particles.A selection of the particles (n = 49) was further characterized for geochemical composition and high-precision oxygen isotope ratios to identify potential parent bodies and document their alteration histories. About 63% of the particles, exhibiting both coarse-and fine-grained textures, derive from carbonaceous chondritic precursors. Two particles (-4%) display anomalously 16O-poor isotopic compositions similar to that previously observed for (giant) cosmic spherules and unmelted micrometeorites, classified as group 4 particles. These particles are thought to originate from an unidentified chondritic parent body located in a specific region of the protoplan-etary disk or may have been characterized by a distinct alteration history, with recent studies linking them to CY carbonaceous chondrites. Only a single fine-grained particle (-2%) can be assigned to ordinary chondritic parentage with confidence. The partially hydrated fine-grained matrix suggests this particle might be consistent with a Semarkona-like parent body. Approximately 10% of the studied particles exhibit extensive evidence for secondary terrestrial weathering with formation of (hydr)oxides during residence in the Antarctic environment, preventing detailed parent body identification. Ten particles (-20%) could not be assigned to a specific parent group due to ambiguous oxygen isotope values. Overall, the parent body statistics from this study agree with those reported for different collections of a similar size fraction. Clear associations between textural groups and parent bodies could not be established. Even though unmelted micrometeorites are generally considered pristine and often do not exhibit any obvious petrographic evidence of terrestrial weathering, the chemical and isotopic data obtained here confirm that alteration can occur at the microscale and any data on unmelted particles from Antarctic subaerial collections should be evaluated with caution.</t>
  </si>
  <si>
    <t>[Van Maldeghem, Flore; Soens, Bastien; Ruggiu, Lisa Kramer; Claeys, Philippe; Goderis, Steven] Vrije Univ Brussel, Analyt Environm &amp; Geochem, Pleinlaan 2, B-1050 Brussels, Belgium; [van Ginneken, Matthias] Univ Kent, Ctr Astrophys &amp; Planetary Sci, Sch Phys Sci, Ingram Bldg, Canterbury CT2 7NH, England; [Kaufmann, Felix; Hecht, Lutz] Museum Naturkunde Berlin, Invalidenstr 43, D-10115 Berlin, Germany; [Lampe, Seppe] Vrije Univ Brussel, Fac Engn, Hydrol &amp; Hydraul Engn, Pleinlaan 2, B-1050 Brussels, Belgium</t>
  </si>
  <si>
    <t>Vrije Universiteit Brussel; University of Kent; Leibniz Institut fur Evolutions und Biodiversitatsforschung; Vrije Universiteit Brussel</t>
  </si>
  <si>
    <t>Van Maldeghem, F (corresponding author), Vrije Univ Brussel, Analyt Environm &amp; Geochem, Pleinlaan 2, B-1050 Brussels, Belgium.</t>
  </si>
  <si>
    <t>Flore.Van.Maldeghem@vub.be</t>
  </si>
  <si>
    <t>(VUB), VRIJE UNIVERSITEIT BRUSSEL/B-4895-2008; Goderis, Steven/F-9908-2011</t>
  </si>
  <si>
    <t>(VUB), VRIJE UNIVERSITEIT BRUSSEL/0000-0002-4585-7687; Goderis, Steven/0000-0002-6666-7153; Soens, Bastien/0000-0002-7695-6629; Van Maldeghem, Flore/0000-0002-9186-1679; Kramer Ruggiu, Lisa/0000-0001-8097-4072</t>
  </si>
  <si>
    <t>Research Foundation Flanders (FWO) [11C2520N, 11M7723N]; Belgian Science Policy (BELSPO) through the BELAM, Amundsen and BAMM projects; Research Foundation-Flanders (FWO - Vlaanderen); VUB strategic research; FWO-FNRS Excellence of Science (EoS)  project ET-HoME [30442502]</t>
  </si>
  <si>
    <t>Research Foundation Flanders (FWO)(FWO); Belgian Science Policy (BELSPO) through the BELAM, Amundsen and BAMM projects; Research Foundation-Flanders (FWO - Vlaanderen)(FWO); VUB strategic research; FWO-FNRS Excellence of Science (EoS)  project ET-HoME</t>
  </si>
  <si>
    <t>We would like to thank Johan Villeneuve (CRPG) for his assistance during the SIMS measurement time. We would also like to thank the Research Foundation Flanders (FWO) for funding this PhD research to FVM (research project 11C2520N) and SL (research project 11M7723N) . SG, MvG, and PC acknowledge the support by the Belgian Science Policy (BELSPO) through the BELAM, Amundsen and BAMM projects. SG and PC also thank the Research Foundation-Flanders (FWO - Vlaanderen) , and the VUB strategic research. SG and PC acknowledge the support from the FWO-FNRS Excellence of Science (EoS)  project ET-HoME (ID 30442502) . MvG thanks the STFC. We thank Luigi Folco, Martin Suttle and Matthew Genge as well as associate editor Ann Nguyen for their detailed comments and suggestions that helped to improve this manuscript significantly.</t>
  </si>
  <si>
    <t>10.1016/j.gca.2023.06.002</t>
  </si>
  <si>
    <t>N2CK3</t>
  </si>
  <si>
    <t>WOS:001035152600001</t>
  </si>
  <si>
    <t>Geng, QN; Wang, CC; Zhu, GP</t>
  </si>
  <si>
    <t>Geng, Qingning; Wang, Congcong; Zhu, Guoping</t>
  </si>
  <si>
    <t>A novel report on the distribution of microplastics in ocellated icefish (Chionodraco rastrospinosus) in the northern Antarctic Peninsula</t>
  </si>
  <si>
    <t>Microplastics; Chionodraco rastrospinosus; Antarctic Peninsula; South Orkney Islands</t>
  </si>
  <si>
    <t>UNIQUE FAMILY; FUR SEALS; ACCUMULATION; FISH; CHANNICHTHYIDAE; PARTICLES; INGESTION; DEBRIS; IMPACT; DIET</t>
  </si>
  <si>
    <t>Plastics are ubiquitous in the global marine ecosystem; however, studies on microplastic (MPs) ingestion by fish in the remote Antarctic are extremely limited. We detected MPs in ocellated icefish (Chionodraco rastrospinosus)-a limitedly distributed but ecologically important species-in the northern Antarctic Peninsula. This is the first study reporting MPs distribution in the stomach, intestine, and gill of this species. Of 32 C. rastrospinosus individuals, 10 (31.3 %) individuals ingested MPs. Totally, 157 suspected microplastic particles were detected, and only 10 MPs were finally confirmed from the subsampled 38 highly suspected particles after FTIR detection, with an average of 0.36 particles per individual. The stomach, intestine, and gills of each fish contained 0.06 &amp; PLUSMN; 0.24, 0.16 &amp; PLUSMN; 0.36, and 0.09 &amp; PLUSMN; 0.29 particles, respectively. Fibrous MPs with a diameter of &lt;200 &amp; mu;m were predominant in all tissues, with blue MPs being the most common. Polyester and acrylic acid were the most frequently observed plastic polymers. MPs abundance in C. rastrospinosus was unrelated to biometrics.</t>
  </si>
  <si>
    <t>[Geng, Qingning; Wang, Congcong; Zhu, Guoping] Shanghai Ocean Univ, Coll Marine Sci, Shanghai 201306, Peoples R China; [Geng, Qingning; Wang, Congcong; Zhu, Guoping] Shanghai Ocean Univ, Ctr Polar Res, Shanghai 201306, Peoples R China; [Wang, Congcong; Zhu, Guoping] Natl Engn Res Ctr Ocean Fisheries, Shanghai 201306, Peoples R China; [Wang, Congcong; Zhu, Guoping] Shanghai Ocean Univ, Key Lab Sustainable Exploitat Ocean Fisheries Reso, Polar Marine Ecosyst Grp, Minist Educ, Shanghai 201306, Peoples R China</t>
  </si>
  <si>
    <t>Shanghai Ocean University; Shanghai Ocean University; National Engineering Research Center for Oceanic Fisheries; Shanghai Ocean University</t>
  </si>
  <si>
    <t>Wang, CC; Zhu, GP (corresponding author), Shanghai Ocean Univ, Coll Marine Sci, Shanghai 201306, Peoples R China.</t>
  </si>
  <si>
    <t>M210200576@st.shou.edu.cn; ccwang@shou.edu.cn; gpzhu@shou.edu.cn</t>
  </si>
  <si>
    <t>Zhu, Guoping/0000-0001-6081-7811</t>
  </si>
  <si>
    <t>&amp; nbsp;The authors thank the owners and the captain of trawler Fuyuanyu 9818 and the Scientific Observers under the Commission for the Conservation of Antarctic Marine Living Resources (CCAMLR) Scheme of International Scientific Observation (SISO) program for their considerable efforts to collect the samples. Team members of the Polar Marine Ecosystem Laboratory, Shanghai Ocean University deserves special recognition for their efforts in the laboratory. We thank Fanyi Meng to help produce Fig. 1. We also thank the College of Marine Sciences at Shanghai Ocean University for providing the facilities in the laboratory that make this study happen. Funding was provided by the International Science and Technology Cooperation Key Special Project of the National Key Research and Development Program (grant no 2022YFE0130100 to GPZ) and the National Science Foundation of China (grant no 41776185 to GPZ) .</t>
  </si>
  <si>
    <t>10.1016/j.marpolbul.2023.115188</t>
  </si>
  <si>
    <t>N0QH9</t>
  </si>
  <si>
    <t>WOS:001034160400001</t>
  </si>
  <si>
    <t>Bonnet-Lebrun, AS; Sweetlove, M; Griffiths, HJ; Sumner, M; Provoost, P; Raymond, B; Ropert-Coudert, Y; Van de Putte, A</t>
  </si>
  <si>
    <t>Bonnet-Lebrun, Anne-Sophie; Sweetlove, Maxime; Griffiths, Huw J.; Sumner, Michael; Provoost, Pieter; Raymond, Ben; Ropert-Coudert, Yan; Van de Putte, Anton P.</t>
  </si>
  <si>
    <t>Opportunities and limitations of large open biodiversity occurrence databases in the context of a Marine Ecosystem Assessment of the Southern Ocean</t>
  </si>
  <si>
    <t>OBIS; GBIF; sampling bias; biodiversity data; spatial bias; temporal bias; taxonomic bias</t>
  </si>
  <si>
    <t>PRIORITIES</t>
  </si>
  <si>
    <t>The Southern Ocean is a productive and biodiverse region, but it is also threatened by anthropogenic pressures. Protecting the Southern Ocean should start with well-informed Marine Ecosystem Assessments of the Southern Ocean (MEASO) being performed, a process that will require biodiversity data. In this context, open geospatial biodiversity databases such as OBIS and GBIF provide good avenues, through aggregated geo-referenced taxon locations. However, like most aggregated databases, these might suffer from sampling biases, which may hinder their usability for a MEASO. Here, we assess the quality and distribution of OBIS and GBIF data in the context of a MEASO. We found strong spatial, temporal and taxonomic biases in these data, with several biases likely emerging from the remoteness and inaccessibility of the Southern Ocean (e.g., lack of data in the dark and ice-covered winter, most data describing charismatic or well-known taxa, and most data along ship routes between research stations and neighboring continents). Our identification of sampling biases helps us provide practical recommendations for future data collection, mobilization, and analyses.</t>
  </si>
  <si>
    <t>[Bonnet-Lebrun, Anne-Sophie; Ropert-Coudert, Yan] La Rochelle Univ, Ctr Etud Biol Chize, CNRS, Villiers En Bois, France; [Sweetlove, Maxime; Van de Putte, Anton P.] Royal Belgian Inst Nat Sci, OD Nat, Brussels, Belgium; [Griffiths, Huw J.] British Antarctic Survey, Cambridge, England; [Sumner, Michael; Raymond, Ben] Australian Antarctic Div, Dept Climate Change Energy Environm &amp; Water, Integrated Digital East Antarctica Program, Kingston, Tas, Australia; [Sumner, Michael; Raymond, Ben] Univ Tasmania, Inst Marine &amp; Antarctic Studies, Hobart, Tas, Australia; [Provoost, Pieter] Intergovt Oceanog Commiss UNESCO, IOC Project Off IODE, Oostende, Belgium; [Van de Putte, Anton P.] Univ Libre Bruxelles, Marine Biol Lab, Brussels, Belgium</t>
  </si>
  <si>
    <t>Centre National de la Recherche Scientifique (CNRS); Royal Belgian Institute of Natural Sciences; UK Research &amp; Innovation (UKRI); Natural Environment Research Council (NERC); NERC British Antarctic Survey; Australian Antarctic Division; University of Tasmania; Universite Libre de Bruxelles</t>
  </si>
  <si>
    <t>Bonnet-Lebrun, AS (corresponding author), La Rochelle Univ, Ctr Etud Biol Chize, CNRS, Villiers En Bois, France.</t>
  </si>
  <si>
    <t>anne-sophie.bonnet-lebrun@normale.fr</t>
  </si>
  <si>
    <t>Bonnet-Lebrun, Anne-Sophie/GYU-2977-2022; Griffiths, Huw J/D-4234-2009</t>
  </si>
  <si>
    <t>Bonnet-Lebrun, Anne-Sophie/0000-0002-7587-615X; Griffiths, Huw J/0000-0003-1764-223X</t>
  </si>
  <si>
    <t>Antarctic and Southern Ocean Coalition [OPE-2021-0507]; French French Biodiversity Agency (OFB); French Ministry of Ecological Transition and Territorial Cohesion; Belgian Science Policy Office (BELSPO) [FR/36/AN1/AntaBIS]; FED-tWIN grant [Prf-2019-005_SO-BOMP]; British Antarctic Survey; NERC</t>
  </si>
  <si>
    <t>Antarctic and Southern Ocean Coalition; French French Biodiversity Agency (OFB); French Ministry of Ecological Transition and Territorial Cohesion; Belgian Science Policy Office (BELSPO)(Belgian Federal Science Policy Office); FED-tWIN grant; British Antarctic Survey; NERC(UK Research &amp; Innovation (UKRI)Natural Environment Research Council (NERC))</t>
  </si>
  <si>
    <t>A-SB-L was funded by a grant from the Antarctic and Southern Ocean Coalition - grant number OPE-2021-0507, the French French Biodiversity Agency (OFB) and the French Ministry of Ecological Transition and Territorial Cohesion. AV and MaS were funded by the Belgian Science Policy Office (BELSPO, contract n degrees FR/36/AN1/AntaBIS) in the Framework of EU-Lifewatch. In addition, AV was funded through the FED-tWIN grant Prf-2019-005_SO-BOMP. HG was funded by the British Antarctic Survey and NERC.</t>
  </si>
  <si>
    <t>JUN 21</t>
  </si>
  <si>
    <t>10.3389/fmars.2023.1150603</t>
  </si>
  <si>
    <t>L4JF2</t>
  </si>
  <si>
    <t>WOS:001022931100001</t>
  </si>
  <si>
    <t>Terrell, AP; Marangon, E; Webster, NS; Cooke, I; Quigley, KM</t>
  </si>
  <si>
    <t>Terrell, Alyx P.; Marangon, Emma; Webster, Nicole S.; Cooke, Ira; Quigley, Kate M.</t>
  </si>
  <si>
    <t>The promotion of stress tolerant Symbiodiniaceae dominance in juveniles of two coral species under simulated future conditions of ocean warming and acidification</t>
  </si>
  <si>
    <t>coral reefs; acclimation; symbiosis; Symbiodiniaceae; recruit; warming; acidification; bleaching</t>
  </si>
  <si>
    <t>GENUS SYMBIODINIUM; FUNCTIONAL DIVERSITY; THERMAL TOLERANCE; ALGAL SYMBIONTS; CLIMATE-CHANGE; SPECIFICITY; ACQUISITION; REEFS; ECOLOGY; ADULT</t>
  </si>
  <si>
    <t>The symbiotic relationship between coral and its endosymbiotic algae, Symbiodiniaceae, greatly influences the hosts' potential to withstand environmental stress. To date, the effects of climate change on this relationship has primarily focused on adult corals. Uncovering the effects of environmental stress on the establishment and development of this symbiosis in early life stages is critical for predicting how corals may respond to climate change. To determine the impacts of future climate projections on the establishment of symbionts in juvenile corals, ITS2 amplicon sequencing of single coral juveniles was applied to Goniastrea retiformis and Acropora millepora before and after exposure to three climate conditions of varying temperature and pCO(2) levels (current and RCP8.5 in 2050 and 2100). Compared to ambient conditions, juvenile corals experienced shuffling in the relative abundance of Cladocopium (C1m, decrease) to Durusdinium (D1 and D1a, increase) over time. We calculated a novel risk metric incorporating functional redundancy and likelihood of impact on host physiology to identify the loss of D1a as a low risk to the coral compared to the loss of higher risk taxa like D1 and C1m. Although the increase in stress tolerant Durusdinium under future warming was encouraging for A. millepora, by 2100, G. retiformis communities displayed signs of symbiosis de-regulation, suggesting this acclimatory mechanism may have species-specific thresholds. Whilst this study cannot specifically disentangle the individual effects of temperature and pCO(2), it does provide valuable insights into the impacts of both stressors combined. These results emphasize the need for understanding of long-term effects of climate change induced stress on coral juveniles, and their potential for increased acclimation to heat tolerance through changes in symbiosis.</t>
  </si>
  <si>
    <t>[Terrell, Alyx P.; Marangon, Emma; Webster, Nicole S.] Australian Inst Marine Sci, Townsville, Qld, Australia; [Terrell, Alyx P.; Marangon, Emma; Quigley, Kate M.] James Cook Univ, Coll Sci &amp; Engn, Townsville, Qld, Australia; [Terrell, Alyx P.; Marangon, Emma] AIMS JCU, Townsville, Qld, Australia; [Webster, Nicole S.] Univ Queensland, Australian Ctr Ecogen, Brisbane, Qld, Australia; [Webster, Nicole S.] Australian Antarctic Div, Hobart, Tas, Australia; [Cooke, Ira] James Cook Univ, Dept Mol &amp; Cell Biol, Townsville, Qld, Australia; [Cooke, Ira] James Cook Univ, Ctr Trop Bioinformat &amp; Mol Biol, Townsville, Qld, Australia; [Quigley, Kate M.] Minderoo Fdn, Flourishing Oceans, Perth, WA, Australia</t>
  </si>
  <si>
    <t>Australian Institute of Marine Science; James Cook University; James Cook University; University of Queensland; Australian Antarctic Division; James Cook University; James Cook University; Minderoo Foundation</t>
  </si>
  <si>
    <t>Quigley, KM (corresponding author), James Cook Univ, Coll Sci &amp; Engn, Townsville, Qld, Australia.;Quigley, KM (corresponding author), Minderoo Fdn, Flourishing Oceans, Perth, WA, Australia.</t>
  </si>
  <si>
    <t>katemarie.quigley@my.jcu.edu.au</t>
  </si>
  <si>
    <t>Cooke, Ira R/B-4409-2008</t>
  </si>
  <si>
    <t>Cooke, Ira/0000-0001-6520-1397; Marangon, Emma/0000-0002-9546-4822</t>
  </si>
  <si>
    <t>AIMS@JCU,; James Cook University; Australian Institute of Marine Science</t>
  </si>
  <si>
    <t>Funding was provided by: AIMS@JCU, James Cook University, the Australian Institute of Marine Science.</t>
  </si>
  <si>
    <t>10.3389/fevo.2023.1113357</t>
  </si>
  <si>
    <t>L3BT7</t>
  </si>
  <si>
    <t>WOS:001022052700001</t>
  </si>
  <si>
    <t>Parvizi, E; McGaughran, A; Stevens, MI</t>
  </si>
  <si>
    <t>Parvizi, Elahe; McGaughran, Angela; Stevens, Mark I.</t>
  </si>
  <si>
    <t>Tracking the origins of the introduced terrestrial amphipod, Puhuruhuru patersoni, on sub-Antarctic Macquarie Island</t>
  </si>
  <si>
    <t>NEW ZEALAND JOURNAL OF ZOOLOGY</t>
  </si>
  <si>
    <t>Amphipoda; invasive species; introduction; Talitridae; terrestrial Crustacea</t>
  </si>
  <si>
    <t>CRUSTACEA; TALITRIDAE; BARCODES</t>
  </si>
  <si>
    <t>The terrestrial amphipod Puhuruhuru patersoni (Amphipoda: Talitridae) was discovered on sub-Antarctic Macquarie Island in 1992. The species is only known to naturally occur on New Zealand's South Island and some associated offshore islands. The possible routes by which the species was introduced to Macquarie Island have previously been considered based on morphology and historic activities between New Zealand and Macquarie Island. Here, we sampled across the known range for P. patersoni and generated mtDNA COI data for these specimens to investigate the likely origin of the Macquarie Island incursion. Our results showed high genetic diversity across the native range and substantially lower genetic diversity on Macquarie Island. Additionally, our phylogenetic reconstructions suggested that the source of the introduction to Macquarie Island is likely to have been from the southern region of New Zealand's South Island.</t>
  </si>
  <si>
    <t>[Parvizi, Elahe; McGaughran, Angela] Waikato Univ, Te Aka Matuatua Sch Sci, Hamilton, New Zealand; [Stevens, Mark I.] South Australian Museum, Securing Antarcticas Environm Future Earth &amp; Biol, Adelaide, Australia; [Stevens, Mark I.] Univ Adelaide, Sch Biol Sci, Adelaide, Australia</t>
  </si>
  <si>
    <t>University of Waikato; University of Adelaide</t>
  </si>
  <si>
    <t>McGaughran, A (corresponding author), Waikato Univ, Te Aka Matuatua Sch Sci, Hamilton, New Zealand.</t>
  </si>
  <si>
    <t>amcgaugh@waikato.ac.nz</t>
  </si>
  <si>
    <t>McGaughran, Angela/C-5916-2014</t>
  </si>
  <si>
    <t>McGaughran, Angela/0000-0002-3429-8699; Parvizi, Elahe/0000-0002-1695-8817</t>
  </si>
  <si>
    <t>Australian Antarctic Division [ASAC2397]; Australian Research Council (ARC) under the SRIEAS (Securing Antarctica's Environmental Future) [SR200100005]</t>
  </si>
  <si>
    <t>Australian Antarctic Division; Australian Research Council (ARC) under the SRIEAS (Securing Antarctica's Environmental Future)(Australian Research Council)</t>
  </si>
  <si>
    <t>This study received financial and logistic support provided by Australian Antarctic Division (ASAC2397). This manuscript was supported in part from the Australian Research Council (ARC) funding under the SRIEAS (grant agreement no. SR200100005) (Securing Antarctica's Environmental Future).</t>
  </si>
  <si>
    <t>0301-4223</t>
  </si>
  <si>
    <t>1175-8821</t>
  </si>
  <si>
    <t>NEW ZEAL J ZOOL</t>
  </si>
  <si>
    <t>N. Z. J. Zool.</t>
  </si>
  <si>
    <t>JAN 2</t>
  </si>
  <si>
    <t>10.1080/03014223.2023.2224580</t>
  </si>
  <si>
    <t>JQ6B5</t>
  </si>
  <si>
    <t>WOS:001014602200001</t>
  </si>
  <si>
    <t>Hallegraeff, GM; Leblanc, K</t>
  </si>
  <si>
    <t>Hallegraeff, Gustaaf M. M.; Leblanc, Karine</t>
  </si>
  <si>
    <t>New observations on the Antarctic Asteromphalus darwinii/hookeri diatom species-complex (Asterolampraceae)</t>
  </si>
  <si>
    <t>Antarctic diatoms; Asteromphalus hookeri; Asteromphalus darwinii</t>
  </si>
  <si>
    <t>Antarctic diatom populations of Asteromphalus hookeri and related species such as A. hyalinus and A. parvulus exhibit a highly variable number of hyaline rays ranging from 3 broad + 1 narrow (3 + 1) in the smallest valves, with 4 + 1 (27%) and 5 + 1 rays (35%) most common, and 6 + 1, 7 + 1, and rarely 8 + 1 rays only in larger cells. During December 1959 to April 1960 in the southern sector of the Atlantic Ocean, 6% of valves occurred as double forms with epitheca and hypotheca of the same cell exhibiting 4 + 1/3 + 1, 5 + 1/4 + 1, 6 + 1/5 + 1 and 7 + 1/6 + 1 ray combinations. Smaller cells (3 + 1, 4 + 1) always exhibited jagged separating lines in the central area, but larger cells (7 + 1, 8 + 1) had mostly smooth lines, and either jagged or smooth separating lines occurred in intermediate 5 + 1 and 6 + 1 forms, respectively. Epitheca and hypotheca of one and the same cell always exhibited jagged or smooth separating lines, but never mixtures. Observations of silica deposition during October to November 2011 around the Kerguelen Island plateau using the PDMPO fluorescent marker suggest that Asteromphalus separating lines play a key role in silica cell wall development. We discuss implications for taxonomy of what we designate as two highly variable and often confused and overlapping cold-water diatom taxa, A. darwinii (jagged separating lines; synonyms A. beaumontii, A. hyalinus, A. leboimei, A. parvulus, A. rossii) and A. hookeri (smooth separating lines; synonyms A. antarcticus, A. buchii).</t>
  </si>
  <si>
    <t>[Hallegraeff, Gustaaf M. M.] Univ Tasmania, Inst Marine &amp; Antarctic Studies, Private Bag 129, Hobart, Tas 7001, Australia; [Leblanc, Karine] Aix Marseille Univ, Univ Toulon, CNRS, IRD,MIO UM 110, F-13288 Marseille, France</t>
  </si>
  <si>
    <t>University of Tasmania; Institut de Recherche pour le Developpement (IRD); Aix-Marseille Universite; Centre National de la Recherche Scientifique (CNRS)</t>
  </si>
  <si>
    <t>Hallegraeff, GM (corresponding author), Univ Tasmania, Inst Marine &amp; Antarctic Studies, Private Bag 129, Hobart, Tas 7001, Australia.</t>
  </si>
  <si>
    <t>gustaaf.hallegraeff@utas.edu.au</t>
  </si>
  <si>
    <t>Hallegraeff, Gustaaf/C-8351-2013</t>
  </si>
  <si>
    <t>Hallegraeff, Gustaaf/0000-0001-8464-7343</t>
  </si>
  <si>
    <t>CAUL; French Research program of INSU-CNRS LEFE - CYBER (Les enveloppes fluides et l'environnement - Cycles biogeochimiques, environnement et ressources); French ANR (Agence Nationale de la Recherche, SIMI-6 program); French CNES (Centre National d'Etudes Spatiales); French Polar Institute IPEV (Institut Polaire Paul - Emile Victor)</t>
  </si>
  <si>
    <t>CAUL; French Research program of INSU-CNRS LEFE - CYBER (Les enveloppes fluides et l'environnement - Cycles biogeochimiques, environnement et ressources); French ANR (Agence Nationale de la Recherche, SIMI-6 program)(Agence Nationale de la Recherche (ANR)); French CNES (Centre National d'Etudes Spatiales); French Polar Institute IPEV (Institut Polaire Paul - Emile Victor)</t>
  </si>
  <si>
    <t>Open Access funding enabled and organized by CAUL and its Member Institutions. The KEOPS work was supported by the French Research program of INSU-CNRS LEFE - CYBER (Les enveloppes fluides et l'environnement - Cycles biogeochimiques, environnement et ressources); the French ANR (Agence Nationale de la Recherche, SIMI-6 program); the French CNES (Centre National d'Etudes Spatiales); the French Polar Institute IPEV (Institut Polaire Paul - Emile Victor).</t>
  </si>
  <si>
    <t>10.1007/s00300-023-03160-6</t>
  </si>
  <si>
    <t>WOS:001013729400001</t>
  </si>
  <si>
    <t>Shimada, S; Nakai, R; Aoki, K; Miura, S; Komori, K; Kudoh, S; Imura, S; Ishii, Y; Tateda, K</t>
  </si>
  <si>
    <t>Shimada, Sho; Nakai, Ryosuke; Aoki, Kotaro; Miura, Shota; Komori, Kohji; Kudoh, Sakae; Imura, Satoshi; Ishii, Yoshikazu; Tateda, Kazuhiro</t>
  </si>
  <si>
    <t>Complete Genome Sequence of Polynucleobacter sp. Strain TUM22923, Isolated from Antarctic Lake Sediment</t>
  </si>
  <si>
    <t>MICROBIOLOGY RESOURCE ANNOUNCEMENTS</t>
  </si>
  <si>
    <t>BACTERIA</t>
  </si>
  <si>
    <t>Here, we report the complete genome sequence of Polynucleobacter sp. strain TUM22923, isolated from Antarctic lake sediment. This strain has a genome of 1,860,127 bp, comprising 1,848 protein-coding sequences. These sequence data could contribute to the elucidation of genome streamlining and low-temperature adaptation in members of Polynucleobacter, a cosmopolitan group of ultramicrobacteria. Here, we report the complete genome sequence of Polynucleobacter sp. strain TUM22923, isolated from Antarctic lake sediment. This strain has a genome of 1,860,127 bp, comprising 1,848 protein-coding sequences. These sequence data could contribute to the elucidation of genome streamlining and low-temperature adaptation in members of Polynucleobacter, a cosmopolitan group of ultramicrobacteria.</t>
  </si>
  <si>
    <t>[Shimada, Sho; Aoki, Kotaro; Miura, Shota; Komori, Kohji; Ishii, Yoshikazu; Tateda, Kazuhiro] Toho Univ, Dept Microbiol &amp; Infect Dis, Sch Med, Tokyo, Japan; [Shimada, Sho] Tokyo Med &amp; Dent Univ TMDU, Dept Resp Med, Tokyo, Japan; [Nakai, Ryosuke] Natl Inst Adv Ind Sci &amp; Technol, Bioprod Res Inst, Sapporo, Japan; [Kudoh, Sakae; Imura, Satoshi] Res Org Informat &amp; Syst, Natl Inst Polar Res, Tokyo, Japan; [Kudoh, Sakae; Imura, Satoshi] Grad Univ Adv Studies, Dept Polar Sci, SOKENDAI, Tokyo, Japan</t>
  </si>
  <si>
    <t>Toho University; Tokyo Medical &amp; Dental University (TMDU); National Institute of Advanced Industrial Science &amp; Technology (AIST); Research Organization of Information &amp; Systems (ROIS); National Institute of Polar Research (NIPR) - Japan; Graduate University for Advanced Studies - Japan</t>
  </si>
  <si>
    <t>Nakai, R (corresponding author), Natl Inst Adv Ind Sci &amp; Technol, Bioprod Res Inst, Sapporo, Japan.</t>
  </si>
  <si>
    <t>nakai-ryosuke@aist.go.jp</t>
  </si>
  <si>
    <t>; Nakai, Ryosuke/O-6217-2015</t>
  </si>
  <si>
    <t>Ishii, Yoshikazu/0000-0002-1943-4648; Aoki, Kotaro/0000-0002-9237-1217; Nakai, Ryosuke/0000-0002-3078-6695; Imura, Satoshi/0000-0002-6803-6996; Shimada, Sho/0000-0001-8417-5577</t>
  </si>
  <si>
    <t>JSPS KAKENHI [JP21K19394]; MEXT KAKENHI [JP19H05683, JP19H05679]</t>
  </si>
  <si>
    <t>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t>
  </si>
  <si>
    <t>This study was partially funded by a Grant-in-Aid for Scientific Research on the Innovative Area Post-Koch Ecology (MEXT KAKENHI no. JP19H05683 and JP19H05679) and a Grant-in-Aid for Challenging Exploratory Research (JSPS KAKENHI no. JP21K19394).</t>
  </si>
  <si>
    <t>AMER SOC MICROBIOLOGY</t>
  </si>
  <si>
    <t>1752 N ST NW, WASHINGTON, DC 20036-2904 USA</t>
  </si>
  <si>
    <t>2576-098X</t>
  </si>
  <si>
    <t>MICROBIOL RESOUR ANN</t>
  </si>
  <si>
    <t>Microbiol. Resour. Ann.</t>
  </si>
  <si>
    <t>10.1128/mra.00146-23</t>
  </si>
  <si>
    <t>M5OL1</t>
  </si>
  <si>
    <t>WOS:001012251400001</t>
  </si>
  <si>
    <t>Lin, JM; Abbott, PM; Sigl, M; Steffensen, JP; Mulvaney, R; Severi, M; Svensson, A</t>
  </si>
  <si>
    <t>Lin, Jiamei; Abbott, Peter M.; Sigl, Michael; Steffensen, Jorgen P.; Mulvaney, Robert; Severi, Mirko; Svensson, Anders</t>
  </si>
  <si>
    <t>Bipolar ice-core records constrain possible dates and global radiative forcing following the ∼74 ka Toba eruption</t>
  </si>
  <si>
    <t>Younger toba tuff eruption; Ice cores; Volcanic sulfur emission strength; Volcanic radiative forcing</t>
  </si>
  <si>
    <t>LAST GLACIAL PERIOD; SOUTH CHINA SEA; VOLCANIC-ERUPTIONS; ANTARCTIC ICE; LOS CHOCOYOS; GREENLAND; CLIMATE; SUPERERUPTION; CHRONOLOGY; SULFUR</t>
  </si>
  <si>
    <t>The Younger Toba Tuff eruption similar to 74 ka ago in Indonesia, is among the largest known supereruptions in the Quaternary and its potential impact on the climate system and human evolution remains controversially debated. The eruption is dated radiometrically to 73.88 +/- 0.32 ka (1s, Storey et al., 2012) and it occurred at the abrupt cooling transition from Greenland Interstadial 20 to Greenland Stadial 20. The precise stratigraphic position of volcanic fallout detected in ice cores from both polar ice sheets has previously been narrowed down to four potential candidates. Here, we compile all available Greenland and Antarctic sulfate records, together with electrical conductivity records and recently obtained sulfur isotope records to identify, quantify and characterize these Toba candidates in terms of their likely latitudinal position of eruption, sulfur emission strength and radiative forcing. We identify that the youngest event of the four candidates is composed of two separate eruptions, both likely located in the extra-tropical Northern Hemisphere. We deem the two older events unlikely candidates for the Toba eruption because of their limited sulfur emission strengths. The second youngest event has the largest sulfur output of the Toba candidates, and it is also larger than any other volcanic event identified in ice core records over the last 60 kyr. Comparable amounts of sulfate deposits in Greenland and Antarctica strongly suggest a tropical source. We thus propose the second youngest event (74,156 years before 2000 CE) to be most likely associated with the Toba eruption. The estimated stratospheric sulfate loading of the proposed Toba eruption is 535 +/- 96 Tg, which is 3 times that of Samalas 1258 CE, 6 times that of Tambora (1815) CE and 20 times that of Pinatubo (1991) CE. We derive the continuous time-series of volcanic sulfate deposition, sulfur emission strength and radiative forcing over the 74.8-73.8 ka time window, suitable for conducting experiments with climate models that either require prescribed forcing field or interactively reproduce aerosol processes. We estimate the cumulative volcanic sulfur emission strength and the radiative forcing of the two younger events and they are found to be much stronger than those at the onset of the Younger Dryas and those preceding the Little Ice Age. Stacked Greenland water isotope records show an accelerated transition trend and abrupt shift after the proposed Toba eruption and suggest that the Greenland moisture source moved southward shortly after the Toba eruption. The Toba eruption may thus have an amplifying effect on the cooling transition leading to Greenland Stadial 20. (c) 2023 The Authors. Published by Elsevier Ltd. This is an open access article under the CC BY license (http://creativecommons.org/licenses/by/4.0/).</t>
  </si>
  <si>
    <t>[Lin, Jiamei; Svensson, Anders] Univ Copenhagen, Niels Bohr Inst, Phys Ice Climate &amp; Earth, DK-2100 Copenhagen, Denmark; [Abbott, Peter M.; Sigl, Michael] Univ Bern, Phys Inst, Climate &amp; Environm Phys, Sidlerstr 5, Bern, Switzerland; [Abbott, Peter M.; Sigl, Michael] Univ Bern, Oeschger Ctr Climate Change Res, Sidlerstr 5, Bern, Switzerland; [Mulvaney, Robert] British Antarctic Survey, Cambridge, England; [Severi, Mirko] Univ Florence, Dept Chem, Florence, Italy</t>
  </si>
  <si>
    <t>University of Copenhagen; Niels Bohr Institute; University of Bern; University of Bern; UK Research &amp; Innovation (UKRI); Natural Environment Research Council (NERC); NERC British Antarctic Survey; University of Florence</t>
  </si>
  <si>
    <t>Lin, JM; Svensson, A (corresponding author), Univ Copenhagen, Niels Bohr Inst, Phys Ice Climate &amp; Earth, DK-2100 Copenhagen, Denmark.</t>
  </si>
  <si>
    <t>jm.lin@nbi.ku.dk; as@nbi.ku.dk</t>
  </si>
  <si>
    <t>Steffensen, Jorgen Peder/JFS-7831-2023; Mulvaney, Robert/K-3929-2012; Svensson, Anders/A-2643-2010; Severi, Mirko/J-2508-2012</t>
  </si>
  <si>
    <t>Steffensen, Jorgen Peder/0000-0002-5516-1093; Svensson, Anders/0000-0002-4364-6085; Lin, Jiamei/0000-0001-6323-4486</t>
  </si>
  <si>
    <t>China Scholarship Council; European Research Council under the European Union [820047]</t>
  </si>
  <si>
    <t>China Scholarship Council(China Scholarship Council); European Research Council under the European Union(European Research Council (ERC))</t>
  </si>
  <si>
    <t>&amp; nbsp;Jiamei Lin acknowledges support from the China Scholarship Council. PA and MSi received funding from the European Research Council under the European Union's Horizon 2020 research and innovation programme (grant agreement no. 820047) .</t>
  </si>
  <si>
    <t>10.1016/j.quascirev.2023.108162</t>
  </si>
  <si>
    <t>N1RF5</t>
  </si>
  <si>
    <t>WOS:001034860900001</t>
  </si>
  <si>
    <t>Matthews, E; Bannan, TJ; Khan, MAH; Shallcross, DE; Stark, H; Browne, EC; Archibald, AT; Mehra, A; Bauguittei, SJB; Reed, C; Thamban, NM; Wu, HH; Barker, P; Lee, JM; Carpenter, LJ; Yang, MX; Bell, TG; Allen, G; Jayne, JT; Percival, CJ; McFiggansa, G; Gallaghera, M; Coe, H</t>
  </si>
  <si>
    <t>Matthews, Emily; Bannan, Thomas J.; Khan, M. Anwar H.; Shallcross, Dudley E.; Stark, Harald; Browne, Eleanor C.; Archibald, Alexander T.; Mehra, Archit; Bauguittei, Stephane J. -B.; Reed, Chris; Thamban, Navaneeth M.; Wu, Huihui; Barker, Patrick; Lee, James; Carpenter, Lucy J.; Yang, Mingxi; Bell, Thomas G.; Allen, Grant; Jayne, John T.; Percival, Carl J.; McFiggansa, Gordon; Gallaghera, Martin; Coe, Hugh</t>
  </si>
  <si>
    <t>Airborne observations over the North Atlantic Ocean reveal the importance of gas- phase urea in the atmosphere</t>
  </si>
  <si>
    <t>atmosphere; ocean; mass spectrometry; nitrogen cycling</t>
  </si>
  <si>
    <t>SOLUBLE ORGANIC NITROGEN; DEPOSITION; ENVIRONMENTS; PIECE; WSON</t>
  </si>
  <si>
    <t>Reduced nitrogen (N) is central to global biogeochemistry, yet there are large uncer-tainties surrounding its sources and rate of cycling. Here, we present observations of gas -phase urea (CO(NH2)2) in the atmosphere from airborne high-resolution mass spec-trometer measurements over the North Atlantic Ocean. We show that urea is ubiquitous in the lower troposphere in the summer, autumn, and winter but was not detected in the spring. The observations suggest that the ocean is the primary emission source, but further studies are required to understand the responsible mechanisms. Urea is also observed aloft due to long -range transport of biomass-burning plumes. These observa-tions alongside global model simulations point to urea being an important, and currently unaccounted for, component of reduced -N to the remote marine atmosphere. Airborne transfer of urea between nutrient -rich and -poor parts of the ocean can occur readily and could impact ecosystems and oceanic uptake of carbon dioxide, with potentially important climate implications.</t>
  </si>
  <si>
    <t>[Matthews, Emily; Bannan, Thomas J.; Thamban, Navaneeth M.; Wu, Huihui; Barker, Patrick; Allen, Grant; McFiggansa, Gordon; Gallaghera, Martin; Coe, Hugh] Univ Manchester, Ctr Atmospher Sci, Dept Earth &amp; Environm Sci, Manchester M13 9PL, England; [Khan, M. Anwar H.; Shallcross, Dudley E.] Univ Bristol, Sch Chem, Atmospher Chem Res Grp, Cantocks Close, Bristol BS8 1TS, England; [Stark, Harald; Jayne, John T.] Aerodyne Res Inc, Ctr Aerosol &amp; Cloud Chem, Billerica, MA 01821 USA; [Stark, Harald; Browne, Eleanor C.] Univ Colorado, Dept Chem, Boulder, CO 80309 USA; [Stark, Harald; Browne, Eleanor C.] Univ Colorado, Cooperat Inst Res Environm Sci, Boulder, CO 80309 USA; [Archibald, Alexander T.] Univ Cambridge, Yusuf Hamied Dept Chem, Cambridge CB2 1EW, England; [Archibald, Alexander T.] Univ Cambridge, Natl Ctr Atmospher Sci, Cambridge CB2 1EW, England; [Mehra, Archit] Methods Analyt, London EC1N 8TS, England; [Bauguittei, Stephane J. -B.; Reed, Chris] Cranfield Univ, Facil Airborne Atmospher Measurements Airborne Lab, Cranfield MK43 0AL, England; [Lee, James; Carpenter, Lucy J.] Univ York, Dept Chem, Wolfson Atmospher Chem Labs, York YO10 5DD, England; [Lee, James] Univ York, Natl Ctr Atmospher Sci, York YO10 5DD, England; [Yang, Mingxi; Bell, Thomas G.] Plymouth Marine Lab, Plymouth PL1 3DH, England; [Percival, Carl J.] CALTECH, NASA, Jet Prop Lab, Pasadena, CA 91109 USA; [Coe, Hugh] Univ Manchester, Natl Ctr Atmospher Sci, Manchester M13 9PL, England</t>
  </si>
  <si>
    <t>University of Manchester; University of Bristol; Aerodyne Research; University of Colorado System; University of Colorado Boulder; University of Colorado System; University of Colorado Boulder; University of Cambridge; University of Cambridge; UK Research &amp; Innovation (UKRI); Natural Environment Research Council (NERC); NERC National Centre for Atmospheric Science; Cranfield University; University of York - UK; UK Research &amp; Innovation (UKRI); Natural Environment Research Council (NERC); NERC National Centre for Atmospheric Science; University of York - UK; Plymouth Marine Laboratory; California Institute of Technology; National Aeronautics &amp; Space Administration (NASA); NASA Jet Propulsion Laboratory (JPL); UK Research &amp; Innovation (UKRI); Natural Environment Research Council (NERC); NERC National Centre for Atmospheric Science; University of Manchester</t>
  </si>
  <si>
    <t>Bannan, TJ; Coe, H (corresponding author), Univ Manchester, Ctr Atmospher Sci, Dept Earth &amp; Environm Sci, Manchester M13 9PL, England.;Shallcross, DE (corresponding author), Univ Bristol, Sch Chem, Atmospher Chem Res Grp, Cantocks Close, Bristol BS8 1TS, England.;Coe, H (corresponding author), Univ Manchester, Natl Ctr Atmospher Sci, Manchester M13 9PL, England.</t>
  </si>
  <si>
    <t>thomas.bannan@manchester.ac.uk; D.E.Shallcross@bristol.ac.uk; hugh.coe@manchester.ac.uk</t>
  </si>
  <si>
    <t>Allen, Grant/A-7737-2013; McFiggans, Gordon B/B-8689-2011; Browne, Eleanor Carol/J-4517-2015; Carpenter, Laura/JPY-0437-2023; Thamban, Navaneeth M./ABA-9254-2021; Percival, Carl J/B-9353-2012; yu, xiao/KFT-1725-2024; Chen, Zheng/KCY-2338-2024</t>
  </si>
  <si>
    <t>Allen, Grant/0000-0002-7070-3620; Browne, Eleanor Carol/0000-0002-8076-9455; Thamban, Navaneeth M./0000-0002-9370-0211; Khan, M Anwar H/0000-0001-7836-3344; Archibald, Alexander/0000-0001-9302-4180; Carpenter, Lucy/0000-0002-6257-3950; McFiggans, Gordon/0000-0002-3423-7896; Matthews, Emily/0000-0002-8655-739X; Coe, Hugh/0000-0002-3264-1713; Reed, Chris/0000-0002-9886-5875; STARK, HARALD/0000-0002-0731-1202</t>
  </si>
  <si>
    <t>UK Natural Environment Research Council (NERC) [NE/N016238/1, NE/S000518/1, NE/S004467/1]; NERC [NE/K004905/1]; Primary Science Teaching Trust; Bristol ChemLabS; NERC Earth, Atmosphere and Ocean Doctoral Training Program for PhD studentships (NERC) [NE/L002469/1]; University of Leeds; NERC [NE/N016238/1, NE/S004467/1, NE/S000518/1, NE/K004905/1] Funding Source: UKRI</t>
  </si>
  <si>
    <t>UK Natural Environment Research Council (NERC)(UK Research &amp; Innovation (UKRI)Natural Environment Research Council (NERC)); NERC(UK Research &amp; Innovation (UKRI)Natural Environment Research Council (NERC)); Primary Science Teaching Trust; Bristol ChemLabS; NERC Earth, Atmosphere and Ocean Doctoral Training Program for PhD studentships (NERC); University of Leeds; NERC(UK Research &amp; Innovation (UKRI)Natural Environment Research Council (NERC))</t>
  </si>
  <si>
    <t>We gratefully acknowledge the financial support pro- vided by the UK Natural Environment Research Council (NERC) [grant nos. NE/N016238/1 (MOYA) , NE/S000518/1 (ARNA) , NE/S004467/1 (ACRUISE) ] and especially for the extensive data provided by the North Atlantic Climate System Integrated Study. M.A.H.K. and D.E.S. were supported by NERC (NE/K004905/1) , the Primary Science Teaching Trust, and Bristol ChemLabS. E.M., A.M., and P.B. thank the NERC Earth, Atmosphere and Ocean Doctoral Training Program for PhD studentships (NERC grant reference: NE/L002469/1) . E.M. would also like to thank the British Antarctic Survey for their partnership. Airborne data were obtained using the BAe- 146- 301 Atmospheric Research Aircraft flown by Airtask Ltd and managed by FAAM Airborne Laboratory, jointly operated by UK Research and Innovation and the University of Leeds. We would like to give special thanks to the Airtask pilots and engineers and all staff at FAAM Airborne Laboratory for their hard work in helping plan and execute successful flight campaigns across the different projects. We acknowledge the use of MODIS near- surface chlorophyll-a concentration data (https://oceancolor.gsfc.nasa.gov/data/10.5067/AQUA/MODIS/L3M/CHL/2022/ [oceancolor.gsfc.nasa.gov] ) . We would like to thank Joel Thornton and Felipe Lopez- Hilfiker for their helpful discussions on the ToF- CIMS ion molecule reaction region design.</t>
  </si>
  <si>
    <t>e2218127120</t>
  </si>
  <si>
    <t>10.1073/pnas.2218127120</t>
  </si>
  <si>
    <t>N8BF1</t>
  </si>
  <si>
    <t>WOS:001039194300001</t>
  </si>
  <si>
    <t>Bhaumik, S; Mandal, S; Tripathy, SC</t>
  </si>
  <si>
    <t>Bhaumik, Snigdha; Mandal, Sumit; Tripathy, Sarat Chandra</t>
  </si>
  <si>
    <t>Unraveling the functional diversity of macrobenthic community from Prydz Bay, Indian sector of the Southern Ocean</t>
  </si>
  <si>
    <t>CONTINENTAL SHELF RESEARCH</t>
  </si>
  <si>
    <t>Southern Ocean; Prydz Bay; Macrobenthos; Abundance; Biomass; Biological trait analysis</t>
  </si>
  <si>
    <t>ROSS SEA SHELF; MARINE BENTHIC DIVERSITY; SOFT-BOTTOM BENTHOS; CLIMATE-CHANGE; CONTINENTAL-SHELF; BIOLOGICAL TRAITS; SPECIES TRAITS; SEDIMENT CHARACTERISTICS; ENVIRONMENTAL VARIABLES; SURFACE SEDIMENTS</t>
  </si>
  <si>
    <t>Antarctic marine ecosystems show rich macrobenthic diversity with a high level of endemism and biomass which is under the threat of global climate change. Till date, information regarding the structure of macrobenthic communities from Prydz Bay is extremely meagre. The present study investigates the spatial pattern of macrobenthic communities, and their response to environmental factors from Prydz Bay complemented with traitbased functional diversity patterns. Samples were collected from 8 stations during the 11th Indian scientific expedition to the Southern Ocean. A total of 57 species of macrobenthos belonging to 8 phyla and 33 families were identified. The macrobenthic communities were dominated by families, Lumbrineridae, Glyceridae, Ophiuridae, and Epimeriidae. Macrobenthos abundance in the study area ranged from 0 to 1592 indv.m-2, whereas biomass ranged from 0 to 1210.2 g m-2. CLUSTER analysis divided the entire macrobenthic community into four groups based on 13.5% similarity. SIMPER analysis delineated species Nacella kerguenlensis and Rossella antarctica as the main contributors for establishing similarity in macrobenthic community composition across the groups. Canonical correspondence analysis (CCA) showed environmental variables like clay %, depth, and sediment total organic carbon as the governing factors in structuring the composition of macrobenthic species. Biological trait analysis (BTA) was performed to visualize the functional diversity of the total macrobenthic population based on morphological and ecological characteristics. A total of 23 traits in 6 categories were used to assess the functional diversity of the study area. The most widespread trait categories were epifaunal environmental position, motile locomotion strategy, sexual brooder and spawner, burrowing living habitat, predatory and detritivore feeding strategies. Investigating the functional diversity of macrobenthic assemblages using BTA represents a novel step towards evaluating the ecological status of the benthic realm of Prydz Bay. RLQ approach in combination with fourth-corner analysis was used to evaluate the relationships among biological traits, macrobenthic species and environmental parameters.The RLQ analysis revealed the positive association of tube dwelling and burrowing polychaetes with silty substratum, and the sessile organisms were found to be negatively correlated with the presence of carnivores/predators. The present study gives a comprehensive understanding about the macrobenthic community structure along with biological trait categories from Prydz Bay.</t>
  </si>
  <si>
    <t>[Bhaumik, Snigdha; Mandal, Sumit] Presidency Univ, Dept Life Sci, Marine Ecol Lab, 86-1 Coll St, Kolkata 700073, India; [Tripathy, Sarat Chandra] Minist Earth Sci, ESSO Natl Ctr Polar &amp; Ocean Res, Vasco Da Gama 403804, Goa, India</t>
  </si>
  <si>
    <t>NCPOR [NCPOR/2019/PACER-POP/BS-09, J-12/2023-24]</t>
  </si>
  <si>
    <t>NCPOR</t>
  </si>
  <si>
    <t>The authors wish to express their gratitude to the Vice Chancellor, Presidency University for providing facilities and encouragement to carry out the above research work. We are also grateful to the Director, NCPOR, Ministry of Earth Sciences, Goa, for his encouragement and for permitting S.M. to participate in the 11 th Indian Scientific Expedition to the Southern Ocean (ISESO) . We are grateful to one and all members of ISESO who helped onboard during the collection of samples. This work is supported by grants awarded to S.M. from NCPOR (NCPOR/2019/PACER-POP/BS-09 dated 05.07.2019) under the Pacer Outreach Program (POP) under the Polar Science And Cryosphere Programme (PACER) initiative. The authors would also like to express their appreciation to the members of the Marine Ecology Laboratory for their time-to -time help and excellent teamwork. This is NCPOR contribution number J-12/2023-24.</t>
  </si>
  <si>
    <t>0278-4343</t>
  </si>
  <si>
    <t>1873-6955</t>
  </si>
  <si>
    <t>CONT SHELF RES</t>
  </si>
  <si>
    <t>Cont. Shelf Res.</t>
  </si>
  <si>
    <t>10.1016/j.csr.2023.105043</t>
  </si>
  <si>
    <t>N0RD8</t>
  </si>
  <si>
    <t>WOS:001034182300001</t>
  </si>
  <si>
    <t>Tafforin, C; Kanas, N; Abati, FG; Tamponnet, C</t>
  </si>
  <si>
    <t>Tafforin, Carole; Kanas, Nick; Abati, Francisco Giner; Tamponnet, Coraline</t>
  </si>
  <si>
    <t>Three decades of ethological research in the space field within an interdisciplinary framework</t>
  </si>
  <si>
    <t>Ethology; Physiology; Psychology; Anthropology; Philosophy</t>
  </si>
  <si>
    <t>HUMAN ORIENTATION BEHAVIOR; MISSION CONTROL PERSONNEL; DUMONT-DURVILLE; ADAPTATION; CREW; WEIGHTLESSNESS; ASTRONAUT; VALUES; TEAMS; 1ST</t>
  </si>
  <si>
    <t>In a wide panel of environments (space shuttles, orbital stations, parabolic flights, Arctic expeditions, Antarctic bases) and experiments (ISEMSI, EXEMSI, HUBES, CELSS, MARS-500, SIRIUS) over extended periods of time (seconds, days, weeks, months and years), we have observed, described and quantified adaptive behaviors. We have performed such research and study in the field of human and space ethology, and we have associated, analyzed and interpreted the relevant behavioral manifestations (movements, postures, orientations, actions, interactions, expressions, communications) within a framework that integrates physiology, psychology, anthropology and philosophy. Our prime objectives have been to determine how and when the salient crews built positive strategies in a systemic, dynamic, synergic and salutogenic process on Earth and in space.</t>
  </si>
  <si>
    <t>[Tafforin, Carole; Tamponnet, Coraline] Ethospace, Res &amp; Study Grp Human &amp; Space Ethol, 13 Rue Alsace Lorraine, F-31000 Toulouse, France; [Kanas, Nick] Univ Calif San Francisco, Dept Psychiat, 401 Parnassus Ave, San Francisco, CA 94143 USA; [Abati, Francisco Giner] Univ Salamanca, Dept Social Psychol &amp; Anthropol, 1-8 Plaza Fray Luis Leon, Salamanca 37008, Spain</t>
  </si>
  <si>
    <t>University of California System; University of California San Francisco; University of Salamanca</t>
  </si>
  <si>
    <t>Tafforin, C (corresponding author), Ethospace, Res &amp; Study Grp Human &amp; Space Ethol, 13 Rue Alsace Lorraine, F-31000 Toulouse, France.</t>
  </si>
  <si>
    <t>ethospace@orange.fr</t>
  </si>
  <si>
    <t>10.1016/j.actaastro.2023.06.017</t>
  </si>
  <si>
    <t>M9VC9</t>
  </si>
  <si>
    <t>WOS:001033608200001</t>
  </si>
  <si>
    <t>Spiliopoulou, K; Brooks, TM; Dimitrakopoulos, PG; Oikonomou, A; Karavatsou, F; Stoumboudi, MT; Triantis, KA</t>
  </si>
  <si>
    <t>Spiliopoulou, Konstantina; Brooks, Thomas M.; Dimitrakopoulos, Panayiotis G.; Oikonomou, Anthi; Karavatsou, Freideriki; Stoumboudi, Maria Th.; Triantis, Kostas A.</t>
  </si>
  <si>
    <t>Protected areas and the ranges of threatened species: Towards the EU Biodiversity Strategy 2030</t>
  </si>
  <si>
    <t>BIOLOGICAL CONSERVATION</t>
  </si>
  <si>
    <t>EU Biodiversity Strategy 2030; Kunming-Montreal Global Biodiversity; Framework; Threatened species; Gap analysis; Natura 2000; Nationally designated protected areas</t>
  </si>
  <si>
    <t>NATURA 2000 NETWORK; CONSERVATION; BIRDS; EUROPE; WELL</t>
  </si>
  <si>
    <t>Despite the protected area expansion over the last decades, biodiversity continues to decline. The EU Biodiversity Strategy for 2030, as well as the Kunming-Montreal Global Biodiversity Framework, call for 30 % coverage by protected areas of the land and sea in order to halt and reverse biodiversity loss. Here, we use European species assessed as threatened on the IUCN Red List - the ones facing the most imminent threat of extinction -to guide the proposed expansion. We overlapped the ranges of 2290 threatened terrestrial and freshwater resident species and 127,046 terrestrial protected areas (28,130 Natura2000 sites and 98,916 nationally designated protected areas) in the EU and we found that species' EU ranges are covered on average 46.6 % by protected areas (41.5 % by Natura2000 and 34.0 % by nationally designated protected areas). We found 71 Gap0.1 species (&lt;0.1 % coverage), most of which are invertebrates and endemic to southern EU islands. The southern EU countries have the highest number of threatened endemic species, they offer among the highest coverage to threatened species ranges and they have almost reached the 30 % land coverage by protected areas and. Therefore, the expansion of the protected area network, should not be guided solely by percentage of area targets, but instead by biodiversity needs. Although it should not be the only approach, targeting the protected area expansion towards Gap0.1 threatened species, would strengthen the EU protected area network by maximising the ability to conserve biodiversity and prevent extinctions.</t>
  </si>
  <si>
    <t>[Spiliopoulou, Konstantina; Oikonomou, Anthi; Stoumboudi, Maria Th.] Inst Marine Biol Resources &amp; Inland Waters, Hellen Ctr Marine Res, Anavyssos 19013, Greece; [Spiliopoulou, Konstantina; Karavatsou, Freideriki; Triantis, Kostas A.] Natl &amp; Kapodistrian Univ Athens, Fac Biol, Dept Ecol &amp; Taxon, Athens 15784, Greece; [Brooks, Thomas M.] Int Union Conservat Nat IUCN, CH-1196 Gland, Switzerland; [Brooks, Thomas M.] Univ Philippines Los Banos, World Agroforestry Ctr ICRAF, Los Banos, Laguna, Philippines; [Brooks, Thomas M.] Univ Tasmania, Inst Marine &amp; Antarctic Studies, Hobart, Tas, Australia; [Dimitrakopoulos, Panayiotis G.] Univ Aegean, Dept Environm, Biodivers Conservat Lab, Mitilini 81100, Greece</t>
  </si>
  <si>
    <t>Hellenic Centre for Marine Research; National &amp; Kapodistrian University of Athens; CGIAR; World Agroforestry (ICRAF); University of the Philippines System; University of the Philippines Los Banos; University of Tasmania; University of Aegean</t>
  </si>
  <si>
    <t>Spiliopoulou, K (corresponding author), Inst Marine Biol Resources &amp; Inland Waters, Hellen Ctr Marine Res, Anavyssos 19013, Greece.;Spiliopoulou, K (corresponding author), Natl &amp; Kapodistrian Univ Athens, Fac Biol, Dept Ecol &amp; Taxon, Athens 15784, Greece.</t>
  </si>
  <si>
    <t>k.spilio@hcmr.gr</t>
  </si>
  <si>
    <t>Triantis, Kostas/0000-0003-2737-8890; Spiliopoulou, Konstantina/0000-0002-4636-4905; Brooks, Thomas/0000-0001-8159-3116; Karavatsou, Freideriki/0000-0002-1667-9850; Dimitrakopoulos, Panayiotis/0000-0002-8374-4392; Stoumboudi, Maria/0000-0002-2173-9328</t>
  </si>
  <si>
    <t>European Union [766417]</t>
  </si>
  <si>
    <t>European Union(European Union (EU))</t>
  </si>
  <si>
    <t>This project has received funding from the European Union's Horizon 2020 research and innovation programme under the Marie Sklodowska-Curie grant agreement No 766417.</t>
  </si>
  <si>
    <t>0006-3207</t>
  </si>
  <si>
    <t>1873-2917</t>
  </si>
  <si>
    <t>BIOL CONSERV</t>
  </si>
  <si>
    <t>Biol. Conserv.</t>
  </si>
  <si>
    <t>10.1016/j.biocon.2023.110166</t>
  </si>
  <si>
    <t>M8SM3</t>
  </si>
  <si>
    <t>WOS:001032859100001</t>
  </si>
  <si>
    <t>Dextro, RB; Delbaje, E; Freitas, PNN; Geraldes, V; Pinto, E; Long, PF; Fiore, MF</t>
  </si>
  <si>
    <t>Dextro, Rafael B.; Delbaje, Endrews; Freitas, Paloma N. N.; Geraldes, Vanessa; Pinto, Ernani; Long, Paul F.; Fiore, Marli F.</t>
  </si>
  <si>
    <t>Environmental adaptations by the intertidal Antarctic cyanobacterium Halotia branconii CENA392 as revealed using long-read genome sequencing</t>
  </si>
  <si>
    <t>LIMNOLOGY AND OCEANOGRAPHY LETTERS</t>
  </si>
  <si>
    <t>PHYLOGENETIC ANALYSIS; UV; ECOPHYSIOLOGY; VISUALIZATION; DESATURASE; SELECTION; BACTERIAL; ACCURATE; QUALITY; STRESS</t>
  </si>
  <si>
    <t>Antarctica poses numerous challenges to life such as cold shock, low nutrient concentrations, and periodic desiccation over a wide range of extreme temperatures. Cyanobacteria survive this harsh environment having evolved adaptive metabolic plasticity to become the dominant primary producers. The type strain cyanobacterium Halotia branconii CENA392 was isolated from an Antarctic intertidal seashore. The complete circular genome of this strain is presented herein, which was assembled using long-sequence reads. The genome encoded some stress-related genes associated with low-temperature adaptation and biosynthesis of mycosporine-like amino acid (MAA) photoprotective compounds. Empirical experimentation demonstrated constitutive production of the MAA porphyra-334 and total carotenoids without exposure to low temperatures or ultraviolet radiation stress. Phylogenetic analysis provided insights on taxonomic placement and evolutionary history of some annotated genes. These data exemplify the importance of generating complete quality genome sequences of microorganisms isolated from extreme intertidal environments, facilitating in-depth evaluation of ecological and taxonomic inferences.</t>
  </si>
  <si>
    <t>[Dextro, Rafael B.; Delbaje, Endrews; Freitas, Paloma N. N.; Pinto, Ernani; Fiore, Marli F.] Univ Sao Paulo, Ctr Nucl Energy Agr CENA, Piracicaba, Brazil; [Geraldes, Vanessa; Long, Paul F.] Univ Sao Paulo, Sch Pharmaceut Sci, Sao Paulo, Brazil; [Long, Paul F.] Kings Coll London, Fac Life Sci &amp; Med, London, England</t>
  </si>
  <si>
    <t>Universidade de Sao Paulo; Universidade de Sao Paulo; University of London; King's College London</t>
  </si>
  <si>
    <t>Dextro, RB; Fiore, MF (corresponding author), Univ Sao Paulo, Ctr Nucl Energy Agr CENA, Piracicaba, Brazil.</t>
  </si>
  <si>
    <t>rbdextro@usp.br; fiore@cena.usp.br</t>
  </si>
  <si>
    <t>Pinto, Ernani/A-4617-2010; Barty Dextro, Rafael/JCE-8061-2023; Fiore, Marli F/C-1436-2012</t>
  </si>
  <si>
    <t>Pinto, Ernani/0000-0001-7614-3014; Barty Dextro, Rafael/0000-0002-0602-7584; Fiore, Marli F/0000-0003-2555-7967; Delbaje, Endrews/0000-0002-0313-9046</t>
  </si>
  <si>
    <t>Sao Paulo Research Foundation (FAPESP) [2016/14227-5, 2013/07914-8, 2021/00149-0]; National Council for Scientific and Technological Development (CNPq) [439065/2018-6, 433166/2018-5, 13.1.1502.9.8]; Brazilian Federal Agency for the Support and Evaluation of Graduate Education (CAPES) [001]; CNPq; CAPES-PrInt scholarship [88887.695454/2022-2100]; CAPES [88887.483720/2020-2100]; Technical Training fellowship from FAPESP [2019/27707, 306803/2018-6, 313970/2020]</t>
  </si>
  <si>
    <t>Sao Paulo Research Foundation (FAPESP)(Fundacao de Amparo a Pesquisa do Estado de Sao Paulo (FAPESP)); National Council for Scientific and Technological Development (CNPq)(Conselho Nacional de Desenvolvimento Cientifico e Tecnologico (CNPQ)); Brazilian Federal Agency for the Support and Evaluation of Graduate Education (CAPES)(Coordenacao de Aperfeicoamento de Pessoal de Nivel Superior (CAPES)); CNPq(Conselho Nacional de Desenvolvimento Cientifico e Tecnologico (CNPQ)); CAPES-PrInt scholarship; CAPES(Coordenacao de Aperfeicoamento de Pessoal de Nivel Superior (CAPES)); Technical Training fellowship from FAPESP</t>
  </si>
  <si>
    <t>We acknowledge the support from L &amp; O Letters in the form of an APC waiver offered to R.B.D. via the Early Career Publication Honor. This research was supported by grants from the Sao Paulo Research Foundation (FAPESP, grants 2016/14227-5 to M.F.F. and 2013/07914-8, 2021/00149-0 to E.P.) and the National Council for Scientific and Technological Development (CNPq, grants 439065/2018-6 to E.P. and 433166/2018-5 to M.F.F.). P.F.L. was supported by USP (13.1.1502.9.8). R.B.D. and E.D. received funding via a doctoral fellowship from the Brazilian Federal Agency for the Support and Evaluation of Graduate Education (CAPES, Finance code 001) and R.B.D. also received a doctoral scholarship from CNPq (140892/2020-6) and a CAPES-PrInt scholarship (88887.695454/2022-2100). P.N.N.F. received a doctoral fellowship from CAPES (88887.483720/2020-2100). V.G. received a Technical Training fellowship from FAPESP (#2019/27707-3). M.F.F. (#306803/2018-6) and E.P. (#313970/2020-3) received research fellowships from CNPq.</t>
  </si>
  <si>
    <t>2378-2242</t>
  </si>
  <si>
    <t>LIMNOL OCEANOGR LETT</t>
  </si>
  <si>
    <t>Limnol. Oceanogr. Lett.</t>
  </si>
  <si>
    <t>10.1002/lol2.10337</t>
  </si>
  <si>
    <t>Limnology; Marine &amp; Freshwater Biology; Oceanography</t>
  </si>
  <si>
    <t>S1MC3</t>
  </si>
  <si>
    <t>WOS:001015499700001</t>
  </si>
  <si>
    <t>Thomas, ER; Vladimirova, DO; Tetzner, DR; Emanuelsson, BD; Chellman, N; Dixon, DA; Goosse, H; Grieman, MM; King, ACF; Sigl, M; Udy, DG; Vance, TR; Winski, DA; Winton, VHL; Bertler, NAN; Hori, A; Laluraj, CM; McConnell, JR; Motizuki, Y; Takahashi, K; Motoyama, H; Nakai, Y; Schwanck, F; Simoes, JC; Lindau, FGL; Severi, M; Traversi, R; Wauthy, S; Xiao, CD; Yang, J; Mosely-Thompson, E; Khodzher, TV; Golobokova, LP; Ekaykin, AA</t>
  </si>
  <si>
    <t>Thomas, Elizabeth R.; Vladimirova, Diana O.; Tetzner, Dieter R.; Emanuelsson, B. Daniel; Chellman, Nathan; Dixon, Daniel A.; Goosse, Hugues; Grieman, Mackenzie M.; King, Amy C. F.; Sigl, Michael; Udy, Danielle G.; Vance, Tessa R.; Winski, Dominic A.; Winton, V. Holly L.; Bertler, Nancy A. N.; Hori, Akira; Laluraj, Chavarukonam M.; McConnell, Joseph R.; Motizuki, Yuko; Takahashi, Kazuya; Motoyama, Hideaki; Nakai, Yoichi; Schwanck, Franciele; Simoes, Jefferson Cardia; Lindau, Filipe Gaudie Ley; Severi, Mirko; Traversi, Rita; Wauthy, Sarah; Xiao, Cunde; Yang, Jiao; Mosely-Thompson, Ellen; Khodzher, Tamara V.; Golobokova, Ludmila P.; Ekaykin, Alexey A.</t>
  </si>
  <si>
    <t>Ice core chemistry database: an Antarctic compilation of sodium and sulfate records spanning the past 2000 years</t>
  </si>
  <si>
    <t>SEA-SALT AEROSOL; SOUTHERN-HEMISPHERE; WEST ANTARCTICA; EAST ANTARCTICA; CLIMATE; SNOW; VARIABILITY; CONSISTENT; PENINSULA; DRIVEN</t>
  </si>
  <si>
    <t>Changes in sea ice conditions and atmospheric circulation over the Southern Ocean play an important role in modulating Antarctic climate. However, observations of both sea ice and wind conditions are limited in Antarctica and the Southern Ocean, both temporally and spatially, prior to the satellite era (1970 onwards). Ice core chemistry data can be used to reconstruct changes over annual, decadal, and millennial timescales. To facilitate sea ice and wind reconstructions, the CLIVASH2k (CLimate Variability in Antarctica and the Southern Hemisphere over the past 2000 years) working group has compiled a database of two species, sodium [Na+] and sulfate [SO42-], commonly measured ionic species. The database (; Thomas et al., 2022) comprises records from 105 Antarctic ice cores, containing records with a maximum age duration of 2000 years. An initial filter has been applied, based on evaluation against sea ice concentration, geopotential height (500 hPa), and surface wind fields to identify sites suitable for reconstructing past sea ice conditions, wind strength, or atmospheric circulation.</t>
  </si>
  <si>
    <t>[Thomas, Elizabeth R.; Vladimirova, Diana O.; Tetzner, Dieter R.; Emanuelsson, B. Daniel; King, Amy C. F.] Ice Dynam &amp; Palaeoclimate, British Antarctic Survey, Madingley Rd, Cambridge CB3 0ET, England; [Chellman, Nathan; McConnell, Joseph R.] Desert Res Inst, Div Hydrol Sci, Reno, NV 89512 USA; [Dixon, Daniel A.; Winski, Dominic A.] Univ Maine, Climate Change Inst, 5790 Bryand Global Sci Ctr, Orono, ME 04469 USA; [Goosse, Hugues] Catholic Univ Louvain, Earth &amp; Life Inst, Pl Pasteur 3, B-1348 Louvain la neuve, Belgium; [Grieman, Mackenzie M.] Reed Coll, Dept Chem, 3203 Woodstock Blvd, Portland, OR 97202 USA; [Sigl, Michael] Univ Bern, Phys Inst, Climate &amp; Environm Phys CEP, Sidlerstr 5, CH-3012 Bern, Switzerland; [Sigl, Michael] Univ Bern, Oeschger Ctr Climate Change Res OCCR, Sidlerstr 5, CH-3012 Bern, Switzerland; [Udy, Danielle G.] Univ Tasmania, Inst Marine &amp; Antarctic Studies, 20 Castray Esplanade, Battery Point, Tas 7004, Australia; [Vance, Tessa R.] Univ Tasmania, Inst Marine &amp; Antarctic Studies, Australian Antarctic Program Partnership, Hobart, Australia; [Winton, V. Holly L.] Victoria Univ Wellington, Antarctic Res Ctr, Wellington 6021, New Zealand; [Bertler, Nancy A. N.] Natl Ice Core Facil, GNS Sci, 30 Gracefield Rd, Gracefield 5040, New Zealand; [Hori, Akira] Kitami Inst Technol, Kitami City, Hokkaido 0908507, Japan; [Laluraj, Chavarukonam M.] Minist Earth Sci, Natl Ctr Polar &amp; Ocean Res NCPOR, Vasco da Gama 403804, Goa, India; [Motizuki, Yuko; Takahashi, Kazuya; Nakai, Yoichi] RIKEN Nishina Ctr Accelerator Based Sci, 2-1 Hirosawa, Wako, Saitama 3510198, Japan; [Motoyama, Hideaki] Natl Inst Polar Res, Tachikawa, Tokyo 1908518, Japan; [Lindau, Filipe Gaudie Ley] Univ Fed Rio Grande do SUl, Ctr Polar &amp; Climat, BR-91501970 Porto Alegre, Brazil; [Vladimirova, Diana O.; Severi, Mirko] Univ Florence, Dept Chem Ugo Schiff, Via Lastruccia 3, I-50019 Florence, Italy; [Wauthy, Sarah] Univ Libre Bruxelles, Dept Geosci Environm &amp; Soc, Lab Glaciol, B-1050 Brussels, Belgium; [Xiao, Cunde] Beijing Normal Univ, State Key Lab Earth Surface Proc &amp; Resource Ecol, Beijing, Peoples R China; [Yang, Jiao] Chinese Acad Sci, Northwest Inst Ecoenvironm &amp; Resources, State Key Lab Cryospher Sci, Lanzhou 730000, Peoples R China; [Mosely-Thompson, Ellen] Ohio State Univ, Byrd Polar &amp; Climate Res Ctr, 1090 Carmack Rd, Columbus, OH 43210 USA; [Khodzher, Tamara V.; Golobokova, Ludmila P.] Russian Acad Sci, Limnol Inst, Siberian Branch, Irkutsk 664033, Russia; [Ekaykin, Alexey A.] Arctic &amp; Antarctic Res Inst, 38 Bering St, St Petersburg 199397, Russia</t>
  </si>
  <si>
    <t>UK Research &amp; Innovation (UKRI); Natural Environment Research Council (NERC); NERC British Antarctic Survey; Nevada System of Higher Education (NSHE); Desert Research Institute NSHE; University of Maine System; University of Maine Orono; Universite Catholique Louvain; Reed College - Oregon; University of Bern; University of Bern; University of Tasmania; University of Tasmania; Victoria University Wellington; Kitami Institute of Technology; Ministry of Earth Sciences (MoES) - India; National Centre for Polar and Ocean Research (NCPOR); RIKEN; Research Organization of Information &amp; Systems (ROIS); National Institute of Polar Research (NIPR) - Japan; Universidade Federal do Rio Grande do Sul; University of Florence; Universite Libre de Bruxelles; Beijing Normal University; Chinese Academy of Sciences; University System of Ohio; Ohio State University; Irkutsk Science Centre of the Russian Academy of Sciences; Russian Academy of Sciences; Limnological Institute SB RAS; Arctic &amp; Antarctic Research Institute</t>
  </si>
  <si>
    <t>Thomas, ER (corresponding author), Ice Dynam &amp; Palaeoclimate, British Antarctic Survey, Madingley Rd, Cambridge CB3 0ET, England.</t>
  </si>
  <si>
    <t>lith@bas.ac.uk</t>
  </si>
  <si>
    <t>IPO, PAGES/JXY-7546-2024; Severi, Mirko/J-2508-2012; Thomas, Elizabeth Ruth/ADF-3660-2022; Gaudie Ley Lindau, Filipe/JOK-3096-2023; Golobokova, Liudmila Petrovna/J-4361-2018</t>
  </si>
  <si>
    <t>Thomas, Elizabeth Ruth/0000-0002-3010-6493; King, Amy/0000-0002-1285-7568; Grieman, Mackenzie/0000-0001-9610-7141; Vladimirova, Diana/0000-0002-1678-0174; Gaudie Ley Lindau, Filipe/0000-0001-7603-7203; Sigl, Michael/0000-0002-9028-9703; Winton, Victoria/0000-0001-7112-6768; Tetzner, Dieter/0000-0001-7659-8799</t>
  </si>
  <si>
    <t>PAGES; Chinese Academy of Sciences (CAS); Swiss Academy of Sciences (SCNAT); [PAGES2k]</t>
  </si>
  <si>
    <t>PAGES; Chinese Academy of Sciences (CAS)(Chinese Academy of Sciences); Swiss Academy of Sciences (SCNAT);</t>
  </si>
  <si>
    <t>This research has been supported by PAGES(PAGES2k), the Chinese Academy of Sciences (CAS), and the Swiss Academy of Sciences (SCNAT).</t>
  </si>
  <si>
    <t>10.5194/essd-15-2517-2023</t>
  </si>
  <si>
    <t>K2WH5</t>
  </si>
  <si>
    <t>gold, Green Submitted, Green Accepted, Green Published</t>
  </si>
  <si>
    <t>WOS:001015089400001</t>
  </si>
  <si>
    <t>Brady, AL; Andersen, DT; Slater, GF</t>
  </si>
  <si>
    <t>Brady, Allyson L.; Andersen, Dale T.; Slater, Greg F.</t>
  </si>
  <si>
    <t>Biosignatures of in situ carbon cycling driven by physical isolation and sedimentary methanogenesis within the anoxic basin of perennially ice-covered Lake Untersee, Antarctica</t>
  </si>
  <si>
    <t>BIOGEOCHEMISTRY</t>
  </si>
  <si>
    <t>Biomarker; Antarctica; Phospholipid; Glycolipid; Methane; Carbon isotope; Archaeol</t>
  </si>
  <si>
    <t>SULFATE-REDUCING BACTERIA; PHOSPHOLIPID FATTY-ACIDS; DRONNING MAUD LAND; ISOTOPIC FRACTIONATION; MICROBIAL COMMUNITIES; MEMBRANE-LIPIDS; POLAR LIPIDS; METHANOTROPHIC BACTERIA; CHEMOTAXONOMIC MARKERS; PROKARYOTIC COMMUNITY</t>
  </si>
  <si>
    <t>Organic biomarker distribution and stable isotope composition was used to investigate biogeochemical carbon cycling in the anoxic basin of Lake Untersee, Antarctica. Phospholipid fatty acid (PLFA) concentrations indicative of microbial abundances were low in the oxic water column overlying the basin but rose in the suboxic transition zone and further increased within the underlying anoxic water, with the highest abundances near the sediment water interface. Archaeol (up to 24.8 mg/kg) and glycerol dialkyl glycerol tetraethers were only detected within the deepest water sample and sediment. High methane (CH4) concentrations (ca. 172 mg/L or 11 mmol/L) were observed in the deepest water samples and produced via hydrogenotrophy (CO2-reduction) based on methane isotopes and highly C-13-enriched dissolved inorganic carbon. Methane concentration slowly decreased away from the sediment, across the anoxic water column and then decreased rapidly at the oxic/anoxic interface (78-68 m). Here a ca. 10 &amp; PTSTHOUSND; increase in &amp; delta;C-13(CH4) values combined with &amp; delta;C-13(PLFA) values that decreased as CH4 concentrations rapidly declined indicated an aerobic methanotrophy fueled microbial community. Findings suggest that upward methane diffusion drives microbial productivity within the suboxic/anoxic zones resulting in the observed high PLFA biomass. Subsequent sinking of detrital material from these communities supports heterotrophic microbes throughout the anoxic water column and potentially supplied nutrients to support phototrophy in the upper suboxic transition zone, itself contributing to sinking detrital material and accumulation of sedimentary organic material. Notably, while a clear biosignature of methane oxidation is present in suboxic zone PLFA, this signature is not recognizable within the sediments.</t>
  </si>
  <si>
    <t>[Brady, Allyson L.; Slater, Greg F.] McMaster Univ, Sch Geog &amp; Earth Sci, 1280 Main St West, Hamilton, ON, Canada; [Brady, Allyson L.] Carleton Univ, Dept Biol, 1125 Colonel By Dr, Ottawa, ON, Canada; [Andersen, Dale T.] SETI Inst, Carl Sagan Ctr, Mountain View, CA USA</t>
  </si>
  <si>
    <t>McMaster University; Carleton University</t>
  </si>
  <si>
    <t>Brady, AL (corresponding author), McMaster Univ, Sch Geog &amp; Earth Sci, 1280 Main St West, Hamilton, ON, Canada.;Brady, AL (corresponding author), Carleton Univ, Dept Biol, 1125 Colonel By Dr, Ottawa, ON, Canada.</t>
  </si>
  <si>
    <t>AllysonBrady@cunet.carleton.ca</t>
  </si>
  <si>
    <t>TAWANI Foundation of Chicago; Trottier Family Foundation; NASA's Exobiology Program [80NSSC18K1094]; Antarctic Logistics Centre International; Arctic and Antarctic Research Institute/Russian Antarctic Expedition's Subprogram Study and Research of the Antarctic of the Federal Target Program World Ocean; Natural Sciences and Engineering Research Council of Canada (NSERC) [10535810]</t>
  </si>
  <si>
    <t>TAWANI Foundation of Chicago; Trottier Family Foundation; NASA's Exobiology Program(National Aeronautics &amp; Space Administration (NASA)); Antarctic Logistics Centre International; Arctic and Antarctic Research Institute/Russian Antarctic Expedition's Subprogram Study and Research of the Antarctic of the Federal Target Program World Ocean; Natural Sciences and Engineering Research Council of Canada (NSERC)(Natural Sciences and Engineering Research Council of Canada (NSERC))</t>
  </si>
  <si>
    <t>This work was supported by TAWANI Foundation of Chicago, the Trottier Family Foundation, NASA's Exobiology Program (Grant #80NSSC18K1094 to DTA), the Arctic and Antarctic Research Institute/Russian Antarctic Expedition's Subprogram Study and Research of the Antarctic of the Federal Target Program World Ocean, and the Natural Sciences and Engineering Research Council of Canada (NSERC, Grant #10535810 to GFS).</t>
  </si>
  <si>
    <t>0168-2563</t>
  </si>
  <si>
    <t>1573-515X</t>
  </si>
  <si>
    <t>Biogeochemistry</t>
  </si>
  <si>
    <t>10.1007/s10533-023-01053-8</t>
  </si>
  <si>
    <t>M0CK9</t>
  </si>
  <si>
    <t>WOS:001011692000001</t>
  </si>
  <si>
    <t>Murphy, C</t>
  </si>
  <si>
    <t>Murphy, Caitlin</t>
  </si>
  <si>
    <t>Extraction and jurisdiction: forms of law and the Antarctic Treaty System</t>
  </si>
  <si>
    <t>GRIFFITH LAW REVIEW</t>
  </si>
  <si>
    <t>International law; extraction; jurisdiction; authority; Antarctic Treaty System; common heritage of mankind; Convention on the Regulation of Antarctic Mineral Resource Activities</t>
  </si>
  <si>
    <t>INTERNATIONAL-LAW; EXPLOITATION; COMMONS</t>
  </si>
  <si>
    <t>This article joins a conversation that examines the dynamics of extraction in global space and their relationship to practices of authorisation in international law. The article offers an analysis of a specific historical debate that occurred through the negotiation of the since-abandoned Convention on the Regulation of Antarctica Mineral Resource Activities (CRAMRA). The debate was largely over whether the Antarctic Treaty System (ATS) should continue to govern Antarctica. This article argues that while extracting mineral resources from Antarctica has now been foreclosed, the jurisdictional form that remains is part of the enabling legal infrastructure that patterns contemporary global extraction. Specifically, this jurisdictional form entails the reassertion of international legal authority grounded in colonial territorial claims, and a reappropriation of the Common Heritage of Mankind principle (CHM) to appeal to a construction of universality that repeats the familiar colonial move of locating 'humanity' largely in the Global North. In the contested times of the Anthropocene, discussion of the ATS rightly celebrates an instance of restraining corporate extraction of hydrocarbons from an unstable climactic ecosystem. However, we could also take account of how the ATS' jurisdictional form could contribute to contemporary global extraction and its highly unequal consequences.</t>
  </si>
  <si>
    <t>[Murphy, Caitlin] Melbourne Law Sch, Inst Int Law &amp; Humanities, Carlton, Australia</t>
  </si>
  <si>
    <t>Murphy, C (corresponding author), Melbourne Law Sch, Inst Int Law &amp; Humanities, Carlton, Australia.</t>
  </si>
  <si>
    <t>caimurphy@student.unimelb.edu.au</t>
  </si>
  <si>
    <t>1038-3441</t>
  </si>
  <si>
    <t>1839-4205</t>
  </si>
  <si>
    <t>GRIFFITH LAW REV</t>
  </si>
  <si>
    <t>Griffith Law Rev.</t>
  </si>
  <si>
    <t>APR 3</t>
  </si>
  <si>
    <t>10.1080/10383441.2023.2223481</t>
  </si>
  <si>
    <t>Law</t>
  </si>
  <si>
    <t>Government &amp; Law</t>
  </si>
  <si>
    <t>R4VO9</t>
  </si>
  <si>
    <t>WOS:001010005100001</t>
  </si>
  <si>
    <t>Kopp, RE; Oppenheimer, M; O'Reilly, JL; Drijfhout, SS; Edwards, TL; Fox-Kemper, B; Garner, GG; Golledge, NR; Hermans, THJ; Hewitt, HT; Horton, BP; Krinner, G; Notz, D; Nowicki, S; Palmer, MD; Slangen, ABA; Xiao, CD</t>
  </si>
  <si>
    <t>Kopp, Robert E. E.; Oppenheimer, Michael; O'Reilly, Jessica L. L.; Drijfhout, Sybren S. S.; Edwards, Tamsin L. L.; Fox-Kemper, Baylor; Garner, Gregory G. G.; Golledge, Nicholas R. R.; Hermans, Tim H. J.; Hewitt, Helene T. T.; Horton, Benjamin P. P.; Krinner, Gerhard; Notz, Dirk; Nowicki, Sophie; Palmer, Matthew D. D.; Slangen, Aimee B. A.; Xiao, Cunde</t>
  </si>
  <si>
    <t>Communicating future sea-level rise uncertainty and ambiguity to assessment users</t>
  </si>
  <si>
    <t>ANTARCTIC ICE-SHEET; CLIMATE-CHANGE; INTERGOVERNMENTAL PANEL; CLIFF INSTABILITY; BOUNDARY OBJECTS; SCIENCE; POLICY; PROJECTIONS; INFORMATION; DEVICES</t>
  </si>
  <si>
    <t>Future sea-level change is characterized by both quantifiable and unquantifiable uncertainties. Effective communication of both types of uncertainty is a key challenge in translating sea-level science to inform long-term coastal planning. Scientific assessments play a key role in the translation process and have taken diverse approaches to communicating sea-level projection uncertainty. Here we review how past IPCC and regional assessments have presented sea-level projection uncertainty, how IPCC presentations have been interpreted by regional assessments and how regional assessments and policy guidance simplify projections for practical use. This information influenced the IPCC Sixth Assessment Report presentation of quantifiable and unquantifiable uncertainty, with the goal of preserving both elements as projections are adapted for regional application.</t>
  </si>
  <si>
    <t>[Kopp, Robert E. E.] Rutgers State Univ, Dept Earth &amp; Planetary Sci, New Brunswick, NJ 08901 USA; [Kopp, Robert E. E.] Rutgers State Univ, Rutgers Inst Earth Ocean &amp; Atmospher Sci, New Brunswick, NJ 08901 USA; [Oppenheimer, Michael] Princeton Univ, Sch Publ &amp; Int Affairs, Dept Geosci, Princeton, NJ USA; [Oppenheimer, Michael] Princeton Univ, High Meadows Environm Inst, Princeton, NJ USA; [O'Reilly, Jessica L. L.] Indiana Univ Bloomington, Hamilton Lugar Sch Global &amp; Int Studies, Dept Int Studies, Bloomington, IN USA; [Drijfhout, Sybren S. S.] NIOZ Royal Netherlands Meteorol Inst, De Bilt, Netherlands; [Drijfhout, Sybren S. S.] Univ Utrecht, Inst Marine &amp; Atmospher Res Utrecht, Dept Phys, Utrecht, Netherlands; [Edwards, Tamsin L. L.] Kings Coll London, Dept Geog, London, England; [Fox-Kemper, Baylor] Brown Univ, Dept Earth Environm &amp; Planetary Sci, Providence, RI USA; Gro Intelligence, New York, NY USA; Victoria Univ Wellington, Antarctic Res Ctr, Wellington, New Zealand; [Hermans, Tim H. J.; Slangen, Aimee B. A.] Royal Netherlands Inst Sea Res, Dept Estuarine &amp; Delta Syst, Yerseke, Netherlands; Univ Utrecht, Inst Marine &amp; Atmospher Res Utrecht, Utrecht, Netherlands; Met Off, Exeter, Devon, England; Nanyang Technol Univ, Earth Observ Singapore, Singapore, Singapore; [Horton, Benjamin P. P.] Nanyang Technol Univ, Asian Sch Environm, Singapore, Singapore; Univ Grenoble Alpes, CNRS, Inst Geosci Environm, Grenoble, France; Univ Hamburg, Inst Oceanog, Ctr Earth Syst Res &amp; Sustainabil, Hamburg, Germany; SUNY Buffalo, Dept Geol, Buffalo, NY USA; [Palmer, Matthew D. D.] Univ Bristol, Sch Earth Sci, Bristol, England; Beijing Normal Univ, State Key Lab Earth Surface Proc &amp; Resource Ecol, Beijing, Peoples R China</t>
  </si>
  <si>
    <t>Rutgers University System; Rutgers University New Brunswick; Rutgers University System; Rutgers University New Brunswick; Princeton University; Princeton University; Indiana University System; Indiana University Bloomington; Utrecht University; University of London; King's College London; Brown University; Victoria University Wellington; Utrecht University; Royal Netherlands Institute for Sea Research (NIOZ); Utrecht University; Met Office - UK; Nanyang Technological University; Nanyang Technological University; Communaute Universite Grenoble Alpes; Universite Grenoble Alpes (UGA); Centre National de la Recherche Scientifique (CNRS); University of Hamburg; State University of New York (SUNY) System; State University of New York (SUNY) Buffalo; University of Bristol; Beijing Normal University</t>
  </si>
  <si>
    <t>Kopp, RE (corresponding author), Rutgers State Univ, Dept Earth &amp; Planetary Sci, New Brunswick, NJ 08901 USA.;Kopp, RE (corresponding author), Rutgers State Univ, Rutgers Inst Earth Ocean &amp; Atmospher Sci, New Brunswick, NJ 08901 USA.</t>
  </si>
  <si>
    <t>robert.kopp@rutgers.edu</t>
  </si>
  <si>
    <t>Krinner, Gerhard/AAB-8837-2022; Fox-Kemper, Baylor/A-1159-2007; Krinner, Gerhard/A-6450-2011; Notz, Dirk/P-4428-2017</t>
  </si>
  <si>
    <t>Krinner, Gerhard/0000-0002-2959-5920; Fox-Kemper, Baylor/0000-0002-2871-2048; Notz, Dirk/0000-0003-0365-5654; Edwards, Tamsin/0000-0002-4760-4704; Oppenheimer, Michael/0000-0002-9708-5914; Golledge, Nicholas/0000-0001-7676-8970; Kopp, Robert/0000-0003-4016-9428; Garner, Gregory/0000-0001-7864-1535</t>
  </si>
  <si>
    <t>US National Science Foundation [1643524]; US National Aeronautics and Space Administration [80NSSC21K0915, 80NSSC21K0322]; Met Office Hadley Centre Climate Programme - UK Department for Science, Innovation; Department for Environment, Food and Rural Affairs; National Oceanic and Atmospheric Administration [NA19OAR4310366]; Schmidt Futures (Scale-Aware Sea Ice Project); Ministry of Business, Innovation and Employment, New Zealand [RTUV1705, ANTA1801]; Royal Society Te Aparangi [VUW-1501]; Singapore Ministry of Education Academic Research Fund [MOE2019-T3-1-004]; National Research Foundation Singapore and Singapore Ministry of Education under the Research Centres of Excellence initiative; European Union [869304]; UK Natural Environment Research Council [NE/T007443/1]</t>
  </si>
  <si>
    <t>US National Science Foundation(National Science Foundation (NSF)); US National Aeronautics and Space Administration(National Aeronautics &amp; Space Administration (NASA)); Met Office Hadley Centre Climate Programme - UK Department for Science, Innovation; Department for Environment, Food and Rural Affairs(Department for Environment, Food &amp; Rural Affairs (DEFRA)); National Oceanic and Atmospheric Administration(National Oceanic Atmospheric Admin (NOAA) - USA); Schmidt Futures (Scale-Aware Sea Ice Project); Ministry of Business, Innovation and Employment, New Zealand(New Zealand Ministry of Business, Innovation and Employment (MBIE)); Royal Society Te Aparangi(Royal Society of New Zealand); Singapore Ministry of Education Academic Research Fund(Ministry of Education, Singapore); National Research Foundation Singapore and Singapore Ministry of Education under the Research Centres of Excellence initiative; European Union(European Union (EU)); UK Natural Environment Research Council(UK Research &amp; Innovation (UKRI)Natural Environment Research Council (NERC))</t>
  </si>
  <si>
    <t>We thank other members of the SROCC chapter 4 and AR6 chapter 9 teams, as well as J. Fyfe, for conversations on the chapter and SPM drafting processes. We thank M. Campo for helpful comments on the manuscript. R.E.K. and M.O. were supported by US National Science Foundation award ICER-2103754 as part of the Megalopolitan Coastal Transformation Hub. R.E.K. and G.G.G. were also supported by the US National Aeronautics and Space Administration (award 80NSSC20K1724 and JPL task 105393.509496.02.08.13.31). J.L.O. was supported by US National Science Foundation award 1643524. H.T.H. and M.D.P. were supported by the Met Office Hadley Centre Climate Programme funded by the UK Department for Science, Innovation, and Technology and Department for Environment, Food and Rural Affairs. B.F.-K. was supported by the National Oceanic and Atmospheric Administration (NA19OAR4310366) and Schmidt Futures (Scale-Aware Sea Ice Project). S.N. was supported by the US National Aeronautics and Space Administration (awards 80NSSC21K0915 and 80NSSC21K0322). N.R.G. was supported by the Ministry of Business, Innovation and Employment, New Zealand (grants RTUV1705 and ANTA1801) and Royal Society Te Aparangi (grant VUW-1501). B.P.H. was supported by the Singapore Ministry of Education Academic Research Fund (MOE2019-T3-1-004), National Research Foundation Singapore and Singapore Ministry of Education under the Research Centres of Excellence initiative. A.B.A.S. and T.L.E. were supported by the European Union's Horizon 2020 research and innovation programme (PROTECT; grant agreement number 869304). T.L.E. was also supported by the UK Natural Environment Research Council (NE/T007443/1). This work is Earth Observatory of Singapore contribution 533 and PROTECT contribution number 67. The opinions and conclusions expressed herein are those of the authors, not necessarily those of their funding agencies, their institutions, the IPCC, other assessment authors or assessment conveners.</t>
  </si>
  <si>
    <t>10.1038/s41558-023-01691-8</t>
  </si>
  <si>
    <t>L9MW3</t>
  </si>
  <si>
    <t>WOS:001010701300004</t>
  </si>
  <si>
    <t>Sterlin, J; Tsamados, M; Fichefet, T; Massonnet, F; Barbic, G</t>
  </si>
  <si>
    <t>Sterlin, Jean; Tsamados, Michel; Fichefet, Thierry; Massonnet, Francois; Barbic, Gaia</t>
  </si>
  <si>
    <t>Effects of sea ice form drag on the polar oceans in the NEMO-LIM3 global ocean-sea ice model</t>
  </si>
  <si>
    <t>OCEAN MODELLING</t>
  </si>
  <si>
    <t>Sea ice model; Ocean general circulation model; Arctic climate; Antarctic climate; Variable neutral drag coefficients; Atmosphere-sea ice-ocean interactions</t>
  </si>
  <si>
    <t>MIXED-LAYER; FLOE SIZE; THICKNESS DISTRIBUTION; SURFACE STRESS; IN-SITU; IMPACT; COEFFICIENTS; DRIFT; PARAMETERIZATION; ROUGHNESS</t>
  </si>
  <si>
    <t>The surface roughness of sea ice is highly variable because of the diversity of discrete obstacles to the flow present on the sea ice surface. These obstacles result in form drag, an effect poorly accounted for in the calculation of surface fluxes over sea ice in climate models. In this study, we implement in the ocean-sea ice model NEMO-LIM3 a variable formulation of the atmospheric and oceanic neutral drag coefficients over sea ice that includes the form drag effect. We examine the impact of this formulation on the ice cover and ocean surface properties over the past decades in the Arctic and Antarctic. Including form drag in the simulations leads to 10-50 cm thinner sea ice in the peripheral Arctic seas and &amp; SIM;10 cm thicker sea ice in the Antarctic ice pack on annual means. Form drag significantly impacts summer sea surface temperatures in the marginal ice zone (+0.5 to +1.5 &amp; DEG;C in the Arctic and -0.5 &amp; DEG;C in the Antarctic) and sea surface salinities under the ice cover (+0.52 to +0.89 g/kg in both polar regions). The seasonality of the ocean surface stress under sea ice is reversed, with a maximum (minimum) ocean surface stress under sea ice in summer (winter) when including form drag. However, this seasonal reversal is likely too intense in our simulations due to the underestimation of the prescribed mean floe lengths in summer. In the Arctic, the long-term declines in sea ice volume and multi-year ice are associated with decreasing neutral drag coefficients and negative trends in ocean surface stress. In the Antarctic, the trends in the neutral drag coefficients control the increase (decrease) in ocean surface stress in the Weddell and Ross (Bellingshausen and Amundsen) Seas. Form drag results in a 22-38 % deeper summer mixed layer under polar sea ice and a year-long 10-25 m deeper mixed layer in the Central Arctic. All these impacts on the ocean surface properties demonstrate the relevance of form drag for polar ocean modelling.</t>
  </si>
  <si>
    <t>[Sterlin, Jean; Fichefet, Thierry; Massonnet, Francois] Catholic Univ Louvain, Earth &amp; Life Inst, Georges Lemaitre Ctr Earth &amp; Climate Res, Louvain La Neuve, Belgium; [Tsamados, Michel; Barbic, Gaia] UCL, Ctr Polar Observat &amp; Modelling, Earth Sci, London, England</t>
  </si>
  <si>
    <t>Universite Catholique Louvain; University of London; University College London</t>
  </si>
  <si>
    <t>Sterlin, J (corresponding author), Catholic Univ Louvain, Earth &amp; Life Inst, Georges Lemaitre Ctr Earth &amp; Climate Res, Louvain La Neuve, Belgium.</t>
  </si>
  <si>
    <t>jean.sterlin@uclouvain.be</t>
  </si>
  <si>
    <t>F.R.S.-FNRS, Belgium [2.5020.11]; ESA [ESA AO/1-9156/17/I-BG]; European Commission [GA 727862, GA 641727]</t>
  </si>
  <si>
    <t>F.R.S.-FNRS, Belgium(Fonds de la Recherche Scientifique - FNRS); ESA(European Space Agency); European Commission(European Union (EU)European Commission Joint Research Centre)</t>
  </si>
  <si>
    <t>Computational resources have been provided by the supercomputing facilities of the Universite catholique de Louvain (CISM/UCLouvain) and the Consortium des Equipements de Calcul Intensif en Federation Wallonie Bruxelles (CECI) funded by the F.R.S.-FNRS, Belgium under convention 2.5020.11. Francois Massonnet is a F.R.S.-FNRS Research Associate. Michel Tsamados acknowledges support from the ESA, Belgium CryoSat + Antarctica Oceanproject (ESA AO/1-9156/17/I-BG) . The research leading to these results has received funding from the European Commission's Horizon 2020 APPLICATE (GA 727862) and PRIMAVERA (GA 641727) projects. We also thank the anonymous reviewers for their helpful comments on this manuscript.</t>
  </si>
  <si>
    <t>1463-5003</t>
  </si>
  <si>
    <t>1463-5011</t>
  </si>
  <si>
    <t>OCEAN MODEL</t>
  </si>
  <si>
    <t>Ocean Model.</t>
  </si>
  <si>
    <t>10.1016/j.ocemod.2023.102227</t>
  </si>
  <si>
    <t>L8NI0</t>
  </si>
  <si>
    <t>WOS:001025772000001</t>
  </si>
  <si>
    <t>Ren, XL; Liu, W; Capotondi, A; Amaya, DJ; Holbrook, NJ</t>
  </si>
  <si>
    <t>Ren, Xianglin; Liu, Wei; Capotondi, Antonietta; Amaya, Dillon J.; Holbrook, Neil J.</t>
  </si>
  <si>
    <t>The Pacific Decadal Oscillation modulated marine heatwaves in the Northeast Pacific during past decades</t>
  </si>
  <si>
    <t>SEA-SURFACE TEMPERATURE; EARTH SYSTEM MODEL; CLIMATE VARIABILITY; CALIFORNIA CURRENT; COASTAL OCEAN; SCALE CLIMATE; ECOSYSTEM; DYNAMICS; IMPACTS; PREDICTABILITY</t>
  </si>
  <si>
    <t>The Pacific Decadal Oscillation has been suggested to play an important role in driving marine heatwaves in the Northeast Pacific during recent decades. Here we combine observations and climate model simulations to show that marine heatwaves became longer, stronger and more frequent off the Northeast Pacific coast under a positive Pacific Decadal Oscillation scenario, unlike what is found during a negative Pacific Decadal Oscillation scenario. This primarily results from the different mean-state sea surface temperatures between the two Pacific Decadal Oscillation phases. Compared to the cool (negative) phase of the Pacific Decadal Oscillation, warmer coastal sea surface temperatures occur during the positive Pacific Decadal Oscillation phase due to reduced coastal cold upwelling and increased net downward surface heat flux. Model results show that, relative to the background anthropogenic global warming, the positive Pacific Decadal Oscillation in the period 2013-2022 prolongs marine heatwaves duration by up to 43% and acts to increase marine heatwaves annual frequency by up to 32% off the Northeast Pacific coast. Marine heatwave events in the Northeast Pacific were more intense, lasted longer and occurred more frequently during positive phases of the Pacific Decadal Oscillation over the past 40 years, according to analyses of observations and climate model simulations.</t>
  </si>
  <si>
    <t>[Ren, Xianglin; Liu, Wei] Univ Calif Riverside, Dept Earth &amp; Planetary Sci, Riverside, CA 92521 USA; [Capotondi, Antonietta; Amaya, Dillon J.] NOAA, Phys Sci Lab, Earth Syst Res Lab, Boulder, CO USA; [Holbrook, Neil J.] Univ Tasmania, Inst Marine &amp; Antarctic Studies, Hobart, Tas 7001, Australia; [Holbrook, Neil J.] Univ Tasmania, Australian Res Council Ctr Excellence Climate Ext, Hobart, Tas 7001, Australia</t>
  </si>
  <si>
    <t>University of California System; University of California Riverside; National Oceanic Atmospheric Admin (NOAA) - USA; University of Tasmania; University of Tasmania</t>
  </si>
  <si>
    <t>Ren, XL (corresponding author), Univ Calif Riverside, Dept Earth &amp; Planetary Sci, Riverside, CA 92521 USA.</t>
  </si>
  <si>
    <t>xren024@ucr.edu</t>
  </si>
  <si>
    <t>Holbrook, Neil/M-7544-2013</t>
  </si>
  <si>
    <t>Holbrook, Neil/0000-0002-3523-6254; Ren, Xianglin/0009-0003-4276-1051</t>
  </si>
  <si>
    <t>U.S. National Science Foundation [AGS-2053121, OCE-2123422, AGS-2237743]; Hellman Fellows Fund as a Hellman Fellow; ARC Centre of Excellence for Climate Extremes [CE170100023]; National Environmental Science Program Climate Systems Hub; NOAA Climate Program Office Modeling Analysis Prediction and Projection (MAPP) Program</t>
  </si>
  <si>
    <t>U.S. National Science Foundation(National Science Foundation (NSF)); Hellman Fellows Fund as a Hellman Fellow; ARC Centre of Excellence for Climate Extremes; National Environmental Science Program Climate Systems Hub; NOAA Climate Program Office Modeling Analysis Prediction and Projection (MAPP) Program</t>
  </si>
  <si>
    <t>We would like to thank the two anonymous reviewers whose comments have helped us to significantly improve the manuscript. This work is supported by grants to W.L. from U.S. National Science Foundation (AGS-2053121, OCE-2123422 and AGS-2237743). W.L. is also supported by the Hellman Fellows Fund as a Hellman Fellow. N.J.H. acknowledges funding support from the ARC Centre of Excellence for Climate Extremes (CE170100023) and the National Environmental Science Program Climate Systems Hub. A.C. was supported by the NOAA Climate Program Office Modeling Analysis Prediction and Projection (MAPP) Program.</t>
  </si>
  <si>
    <t>JUN 19</t>
  </si>
  <si>
    <t>10.1038/s43247-023-00863-w</t>
  </si>
  <si>
    <t>J6PG8</t>
  </si>
  <si>
    <t>WOS:001010812200002</t>
  </si>
  <si>
    <t>Chen, WF; Zhang, Q; Yang, J; Wang, ET; Song, GR; Jiao, ST; Yuan, J</t>
  </si>
  <si>
    <t>Chen, Wan-Feng; Zhang, Qi; Yang, Jing; Wang, Er-Teng; Song, Gao-Rui; Jiao, Shou-Tao; Yuan, Jie</t>
  </si>
  <si>
    <t>Trace element tectonic discrimination of granitoids: inspiration from big data analytics</t>
  </si>
  <si>
    <t>BIG EARTH DATA</t>
  </si>
  <si>
    <t>Spreading center; Ocean Island; Apenninic-Maghrebides chain; tectonic discrimination; granitoids; convergent margin</t>
  </si>
  <si>
    <t>PACIFIC-ANTARCTIC RISE; MID-ATLANTIC RIDGE; BACK-ARC BASIN; GEOCHEMICAL CLASSIFICATION; CONTINENTAL-CRUST; KINEMATIC MODEL; MIDOCEAN RIDGES; TYRRHENIAN SEA; MAGMATISM; SUBDUCTION</t>
  </si>
  <si>
    <t>The tectonic environment of granitoids has always been a concern of the academic community. The Nb vs. Y and Rb vs. Nb+Y diagrams have had a substantial impact. The present work uses more than 110,000 granitoid samples (SiO2 &gt;= 56%) from the globally shared database to discuss the validity and also explain why these diagrams used for discrimination between the different tectonic settings of granitoid rocks. The amount of data from the spreading center is sparse and the data are highly scattered and so, the present study focuses mainly on granites from the ocean islands and convergent margins tectonic environments. On the TAS diagram most of the ocean island data are alkaline series and trachy-basalt series, and some are bimodal. In contrast, the granitoids on the convergent margin are mainly sub-alkaline. This work shows that the tectonic discrimination diagrams of granitoids remain valid, and only the boundaries need to be slightly adjusted.</t>
  </si>
  <si>
    <t>[Chen, Wan-Feng; Yang, Jing] Hunan Univ Arts &amp; Sci, Coll Geog &amp; Tourism, Changde, Peoples R China; [Zhang, Qi] Chinese Acad Sci, Inst Geol &amp; Geophys, Beijing, Peoples R China; [Wang, Er-Teng; Song, Gao-Rui] Lanzhou Univ, Sch Earth Sci, Lanzhou, Gansu, Peoples R China; [Wang, Er-Teng; Song, Gao-Rui] Key Lab Mineral Resources Western China, Lanzhou, Gansu, Peoples R China; [Jiao, Shou-Tao] China Geol Survey, Dev Res Ctr, Beijing, Peoples R China; [Jiao, Shou-Tao] Technol Innovat Ctr Geol Informat, MNR, Beijing, Peoples R China; [Yuan, Jie] Xingtai Univ, Sch Resources &amp; Environm, Xingtai, Hebei, Peoples R China</t>
  </si>
  <si>
    <t>Hunan University of Arts &amp; Science; Chinese Academy of Sciences; Institute of Geology &amp; Geophysics, CAS; Lanzhou University; China Geological Survey; Xingtai University</t>
  </si>
  <si>
    <t>Zhang, Q (corresponding author), Chinese Acad Sci, Inst Geol &amp; Geophys, Beijing, Peoples R China.</t>
  </si>
  <si>
    <t>zq1937@126.com</t>
  </si>
  <si>
    <t>chen, wanfeng/JDC-4520-2023</t>
  </si>
  <si>
    <t>chen, wanfeng/0000-0002-5528-0105</t>
  </si>
  <si>
    <t>China Atomic Energy Authority (CAEA) through the Geological Disposal Program; projects of Science and Technology Program of Gansu Province [22YF7GA050]; Gansu Province Youth Talent Project [2020RCXM152]; Central Government Guides Local Funds for Scientific and Technological Development [YDZX20216200001297]; Open Fund from SinoProbe Laboratory; Sinoprobe Lab [202211]</t>
  </si>
  <si>
    <t>China Atomic Energy Authority (CAEA) through the Geological Disposal Program; projects of Science and Technology Program of Gansu Province; Gansu Province Youth Talent Project; Central Government Guides Local Funds for Scientific and Technological Development; Open Fund from SinoProbe Laboratory; Sinoprobe Lab</t>
  </si>
  <si>
    <t>This work has been supported by the China Atomic Energy Authority (CAEA) through the Geological Disposal Program, the projects of Science and Technology Program of Gansu Province (22YF7GA050), Gansu Province Youth Talent Project (2020RCXM152), Central Government Guides Local Funds for Scientific and Technological Development (YDZX20216200001297), Open Fund from SinoProbe Laboratory (Grant No. Sinoprobe Lab 202211).</t>
  </si>
  <si>
    <t>2096-4471</t>
  </si>
  <si>
    <t>2574-5417</t>
  </si>
  <si>
    <t>Big Earth Data</t>
  </si>
  <si>
    <t>10.1080/20964471.2023.2222940</t>
  </si>
  <si>
    <t>Computer Science, Information Systems; Geosciences, Multidisciplinary; Remote Sensing</t>
  </si>
  <si>
    <t>Computer Science; Geology; Remote Sensing</t>
  </si>
  <si>
    <t>GN0B0</t>
  </si>
  <si>
    <t>WOS:001047095300001</t>
  </si>
  <si>
    <t>Xing, QW; Yu, HQ; Wang, H; Yu, HM</t>
  </si>
  <si>
    <t>Xing, Qinwang; Yu, Haiqing; Wang, Hui; Yu, Huaming</t>
  </si>
  <si>
    <t>A sliding-window-threshold algorithm for identifying global mesoscale ocean fronts from satellite observations</t>
  </si>
  <si>
    <t>Front detection algorithm; Oceanic frontal zone; Satellite Earth observation; Mathematical morphology; Western boundary current; Upwelling system</t>
  </si>
  <si>
    <t>SURFACE TEMPERATURE FRONTS; SEASONAL VARIABILITY; THERMAL FRONTS; CURRENT SYSTEM; YELLOW SEA; EAST CHINA; AREAS; SCALE; MODEL</t>
  </si>
  <si>
    <t>Mesoscale ocean fronts play a significant role in marine fisheries, ecosystems, and climate change, and a front detection algorithm appropriate for satellite Earth observation use is a fundamental tool to observe and monitor long-term frontal activities. Since various ecological processes usually work on different spatiotemporal scales, it is vital to separate the fronts at different scales from the multiscale oceans to better study their scale-specific biophysical processes. A sliding-window-threshold algorithm (SWTA) is thus developed to extract the mesoscale frontal zones and lines from the multiscale frontal information existing in the high-resolution satellite images, which employs the sliding-window thresholds to sift for the candidate frontal pixels and a set of morphological operations to then generate more continuous frontal zones and lines. Compared with the two commonly used gradient and population-based algorithms, statistical analysis indicates that a great majority of fronts identified by the existing algorithms are detected by the use of a SWTA, while the SWTA detects more fronts that were ignored by them. Visual and statistical analyses, together with some known fronts, suggest that SWTA seems to be as insensitive to gradient variations as the population-based algorithms are and they have the same merits as the gradient-based algorithms in the ability to identify coastal or complex fronts. The application, based on 14,245 SST images from 1982 to 2020, shows the global distribution patterns of frontal occurrence and intensity, with some well-known persistent fronts reappearing in the extensions of the western boundary currents and Antarctic circumpolar currents that are not clearly defined in the global probability maps generated with the previous algorithms. In addition, similar seasonal variations in the frontal occurrence are found in the five western boundary current/extension areas and the four eastern upwelling systems, reaching a peak intensity during the warm season and a minimum intensity during the cold season. The information on the mesoscale fronts detected by SWTA would be potentially useful for better understanding of the ecological and climatic effects of front dynamics and in the predicting of the distribution of fish species and other marine organisms in a changing climate.</t>
  </si>
  <si>
    <t>[Xing, Qinwang; Yu, Haiqing; Wang, Hui] Shandong Univ, Inst Marine Sci &amp; Technol, Qingdao 266237, Peoples R China; [Xing, Qinwang; Yu, Haiqing; Wang, Hui] Southern Marine Sci &amp; Engn Guangdong Lab Zhuhai, Zhuhai 519080, Peoples R China; [Wang, Hui] Natl Marine Environm Forecasting Ctr, Beijing 100086, Peoples R China; [Yu, Huaming] Ocean Univ China, Coll Ocean &amp; Atmospher Sci, Qingdao 266100, Peoples R China; [Yu, Huaming] Ocean Univ China, Sanya Oceanog Inst, Sanya 572000, Peoples R China; [Yu, Haiqing] Shandong Univ, Inst Marine Sci &amp; Technol, 72 Binhai Rd, Qingdao, Shandong, Peoples R China</t>
  </si>
  <si>
    <t>Shandong University; Southern Marine Science &amp; Engineering Guangdong Laboratory; Southern Marine Science &amp; Engineering Guangdong Laboratory (Zhuhai); National Marine Environmental Forecasting Center; Ocean University of China; Ocean University of China; Shandong University</t>
  </si>
  <si>
    <t>Yu, HQ (corresponding author), Shandong Univ, Inst Marine Sci &amp; Technol, 72 Binhai Rd, Qingdao, Shandong, Peoples R China.</t>
  </si>
  <si>
    <t>qinwangxing@gmail.com; yuhaiqing@sdu.edu.cn; wangh@nmefc.cn; hmyu@ouc.edu.cn</t>
  </si>
  <si>
    <t>; Xing, Qinwang/GQY-4526-2022</t>
  </si>
  <si>
    <t>Yu, Haiqing/0000-0002-0529-1172; Xing, Qinwang/0000-0003-4854-320X</t>
  </si>
  <si>
    <t>Southern Marine Science and Engineering Guangdong Laboratory (Zhuhai) [SML2020SP008]; Shandong Provincial Natural Science Foundation [ZR2022QD041]</t>
  </si>
  <si>
    <t>Southern Marine Science and Engineering Guangdong Laboratory (Zhuhai); Shandong Provincial Natural Science Foundation(Natural Science Foundation of Shandong Province)</t>
  </si>
  <si>
    <t>Acknowledgements The author would like to thank Prof. Peter Cornillon, Igor Belkin and other anonymous reviewers for their valuable suggestions. This research was supported by the Southern Marine Science and Engineering Guangdong Laboratory (Zhuhai) (No. SML2020SP008) and Shandong Provincial Natural Science Foundation (No. ZR2022QD041) .</t>
  </si>
  <si>
    <t>10.1016/j.pocean.2023.103072</t>
  </si>
  <si>
    <t>M8LA5</t>
  </si>
  <si>
    <t>WOS:001032663700001</t>
  </si>
  <si>
    <t>Pavez, M; Brasse, H; Kapinos, G; Díaz, D; Lara, LE; Schill, E</t>
  </si>
  <si>
    <t>Pavez, Maximiliano; Brasse, Heinrich; Kapinos, Gerhard; Diaz, Daniel; Lara, Luis E.; Schill, Eva</t>
  </si>
  <si>
    <t>Magma storage and transfer in the Villarrica volcanic chain, South Chile: MT insights into volcano-tectonic interactions</t>
  </si>
  <si>
    <t>JOURNAL OF VOLCANOLOGY AND GEOTHERMAL RESEARCH</t>
  </si>
  <si>
    <t>Villarrica volcano; Magnetotellurics; Electrical structures; Magmatism; Crustal reservoir; Crustal faulting</t>
  </si>
  <si>
    <t>SMALL ERUPTIVE CENTERS; FAULT SYSTEM; ANDES; ARC; COMPLEX; ZONE; GEOCHEMISTRY; LAVAS; FLOW</t>
  </si>
  <si>
    <t>The active volcanic arc of the Andes is controlled by subduction of the Nazca and Antarctic Plates beneath the South American Plate. The Southern Volcanic Zone is the segment with the most active volcanoes in the Andes and the one where volcano-tectonic interactions are more evident. Magmatic fluids are there channeled through the brittle crust by faults and fractures, becoming an important region for understanding the mechanisms associated with melt migration and storage in subduction zones. The Liquin &amp; SIM;e-Ofqui Fault System and Andean Transverse Faults, control the overall architecture of the volcanic arc and play an important role on magmatic transport and compositional partitioning. Evidence of this is the oblique chain composed of Villarrica, Quetrupill &amp; PRIME;an and Lanin stratovolcanoes and a number of minor eruptive centers, where a wide range of magma compositions have been erupted with basalts and basaltic andesites dominating the suite. We used long-period and broad-band magnetotelluric stations deployed surrounding of Villarrica volcano to investigate the impli-cations of crustal faulting and volcanism and their consequence on crustal reservoirs. Inversion of the data was used to generate three-dimensional electrical resistivity models. The resistivity distribution shows the upper crust as highly resistive, but below and east of Villarrica volcano, the model suggests the presence of a magmatic reservoir at shallow crustal levels (between 1.5 and 3 km b.s.l.), possibly corresponding to a transient magma storage. Meanwhile, the middle crust contains several intermediate to low conductive features interpreted as fluid pathways and/or melt storage regions, respectively, revealing the important role of fault systems. The lower crust also contains low resistivity zones indicating the presence of partial melt and/or fluids, associated with deep reservoirs (8-20 km), with a significant proportion of them likely non eruptible parts. This would suggest that melt is accumulated as highly crystallized mush or disconnected melt pockets and highlight the complex vertical extent of the structurally-controlled plumbing systems even in thin crust settings.</t>
  </si>
  <si>
    <t>[Pavez, Maximiliano; Schill, Eva] Karlsruhe Inst Technol, Inst Nucl Waste Disposal, Hermann von Helmholtz Pl 1, D-76344 Eggenstein Leopoldshafen, Germany; [Pavez, Maximiliano] Karlsruhe Inst Technol, Inst Appl Geosci, Adenauerring 20B, D-76131 Karlsruhe, Germany; [Brasse, Heinrich] Free Univ Berlin, Fachrichtung Geophys, Malteser Str 74 100, D-12249 Berlin, Germany; [Kapinos, Gerhard] Fed Inst Geosci &amp; Nat Resources, Stilleweg 2, D-30655 Hannover, Germany; [Diaz, Daniel] Univ Chile, Fac Ciencias Fis &amp; Matemat, Dept Geofis, Blanco Encalada 2002, Santiago, Chile; [Diaz, Daniel] Millenium Inst Volcan Risk Res Ckelar Volcanoes, Antofagasta, Chile; [Lara, Luis E.] Univ Austral Chile, Inst Ciencias Tierra, Ave Eduardo Morales Miranda,Campus Isla Teja, Valdivia, Chile; [Schill, Eva] Tech Univ Darmstadt, Inst Appl Geosci, Schnittspahn Str 9, D-64287 Darmstadt, Germany</t>
  </si>
  <si>
    <t>Helmholtz Association; Karlsruhe Institute of Technology; Helmholtz Association; Karlsruhe Institute of Technology; Free University of Berlin; Universidad de Chile; Universidad Austral de Chile; Technical University of Darmstadt</t>
  </si>
  <si>
    <t>Pavez, M (corresponding author), Karlsruhe Inst Technol, Inst Nucl Waste Disposal, Hermann von Helmholtz Pl 1, D-76344 Eggenstein Leopoldshafen, Germany.</t>
  </si>
  <si>
    <t>maximiliano.pavez@partner.kit.edu</t>
  </si>
  <si>
    <t>Lara, Luisa M/F-5614-2012; Diaz, Daniel/AAZ-7572-2020</t>
  </si>
  <si>
    <t>Lara, Luisa M/0000-0002-7184-920X; Schill, Eva/0000-0001-6531-8878; Diaz, Daniel/0000-0002-0258-4383; Pavez, Maximiliano/0000-0001-5744-8250</t>
  </si>
  <si>
    <t>Karlsruhe Institute of Technology (KIT); Andean Geothermal Center of Excellence (CEGA) [15090013]; FONDECYT [1211257]; Chilean National Agency for Research and Development (ANID)/Scholarship Program/DOCTORADO BECAS CHILE-DAAD/2015 [62150016]; ANID-FONDAP [15090013, ACE210005]</t>
  </si>
  <si>
    <t>Karlsruhe Institute of Technology (KIT); Andean Geothermal Center of Excellence (CEGA); FONDECYT(Comision Nacional de Investigacion Cientifica y Tecnologica (CONICYT)CONICYT FONDECYT); Chilean National Agency for Research and Development (ANID)/Scholarship Program/DOCTORADO BECAS CHILE-DAAD/2015; ANID-FONDAP</t>
  </si>
  <si>
    <t>The study is part of a collaborative research project between Karlsruhe Institute of Technology (KIT) and the Andean Geothermal Center of Excellence (CEGA), ANID-FONDAP projects 15090013 and ACE210005. We also thank the support of FONDECYT 1211257. Computational resources are provided by the State of Baden-Wurttemberg through bwHPC (BwUniCluster 2.0). We thank Gary Egbert and Anna Kelbert for the use of their ModEM inversion program and special thanks to Naser Meqbel for providing visualization program. Maximiliano Pavez was funded by the Chilean National Agency for Research and Development (ANID)/Scholarship Program/DOCTORADO BECAS CHILE-DAAD/2015 -62150016. The comments of two anonymous reviewers helped to improve the manuscript.</t>
  </si>
  <si>
    <t>0377-0273</t>
  </si>
  <si>
    <t>1872-6097</t>
  </si>
  <si>
    <t>J VOLCANOL GEOTH RES</t>
  </si>
  <si>
    <t>J. Volcanol. Geotherm. Res.</t>
  </si>
  <si>
    <t>10.1016/j.jvolgeores.2023.107832</t>
  </si>
  <si>
    <t>N5FT3</t>
  </si>
  <si>
    <t>WOS:001037275100001</t>
  </si>
  <si>
    <t>Garza, TN; Barnes, DKA; Scourse, JD; Whitaker, JM; Janosik, AM</t>
  </si>
  <si>
    <t>Garza, Tristyn N.; Barnes, David K. A.; Scourse, James D.; Whitaker, Justine M.; Janosik, Alexis M.</t>
  </si>
  <si>
    <t>Quantifying microplastics in fjords along the Western Antarctic Peninsula</t>
  </si>
  <si>
    <t>Pollution; Plastic; Human impact; Southern Ocean</t>
  </si>
  <si>
    <t>MARINE-ENVIRONMENT; SURFACE WATERS; CLIMATE-CHANGE; ROSS SEA; SEDIMENTS</t>
  </si>
  <si>
    <t>Microplastics are ubiquitous around the world. Microplastics have been documented around the Southern Ocean, in coastal sediments and in Antarctic marine organisms, however microplastics data for Antarctic waters remain scarce. Microplastics concentrations were characterized from fjord habitats on the Western Antarctic Peninsula where most glaciers are rapidly retreating. Water samples were collected from 2017 to 2020 from surface and benthos, vacuum-filtered, quantified to determine the classification of microplastic, color, and size. Micro-FTIR spectrophotometry was utilized to confirm chemical composition. Comparisons over time and location were made for average microplastic per liter. Despite the new emergent youth and remoteness of these habitats, it was determined that all fjord habitats had microplastics present each year sampled and increased from 2017 to 2020 in each fjord. Despite physical 'barriers' such as the Antarctic Circumpolar Current (and particularly its strongest jet, the Polar Front), microplastics are clearly present and increasing in even recent habitats.</t>
  </si>
  <si>
    <t>[Garza, Tristyn N.; Janosik, Alexis M.] Univ West Florida, 11000 Univ Pkwy, Pensacola, FL 32514 USA; [Barnes, David K. A.] NERC, British Antarctic Survey, Maddingley Rd, Cambridge CB3 0ET, England; [Scourse, James D.] Univ Exeter, Penryn Campus, Penryn TR10 9EZ, Cornwall, England; [Whitaker, Justine M.] Nicholls State Univ, 906 East 1st St, Thibodaux, LA 70301 USA</t>
  </si>
  <si>
    <t>State University System of Florida; University of West Florida; UK Research &amp; Innovation (UKRI); Natural Environment Research Council (NERC); NERC British Antarctic Survey; University of Exeter; University of Louisiana System; Nicholls State University</t>
  </si>
  <si>
    <t>Janosik, AM (corresponding author), Univ West Florida, 11000 Univ Pkwy, Pensacola, FL 32514 USA.</t>
  </si>
  <si>
    <t>ajanosik@uwf.edu</t>
  </si>
  <si>
    <t>University of West Florida Hal Marcus College of Science and Engineering; University of West Florida Department of Biology; University of West Florida Alumni Department</t>
  </si>
  <si>
    <t>We would like to thank the whole team of the RRS James Clark Ross during the ICEBERG cruises for working tirelessly around the clock tomake this cruise the success it was. We would also like to thank Floyd Howard for help with the maps. This work was supported by the University of West Florida Hal Marcus College of Science and Engineering, the University of West Florida Department of Biology, the University of West Florida Alumni Department.</t>
  </si>
  <si>
    <t>10.1016/j.marpolbul.2023.115144</t>
  </si>
  <si>
    <t>M3AK9</t>
  </si>
  <si>
    <t>WOS:001028937400001</t>
  </si>
  <si>
    <t>Simpfendorfer, CA; Heithaus, MR; Henpel, MR; MacNeil, MA; Meekan, M; Harvey, E; Sherman, CS; Currey-Randall, LM; Goetze, JS; Kiszka, JJ; Rees, MJ; Speed, CW; Udyawer, V; Bond, ME; Flowers, KI; Clementi, GM; Valentin-Albanese, J; Adam, MS; Ali, K; Asher, J; Aylagas, E; Beaufort, O; Benjamin, C; Bernard, ATF; Berumen, ML; Bierwagen, S; Birrell, C; Bonnema, E; Bown, RMK; Brooks, EJ; Brown, JJ; Buddo, D; Burke, PJ; Cáceres, C; Cambra, M; Cardenosa, D; Carrier, JC; Casareto, S; Caselle, JE; Charloo, V; Cinner, JE; Claverie, T; Clua, EEG; Cochran, JEM; Cook, N; Cramp, JE; D'Alberto, BM; de Graaf, M; Dornhege, MC; Espinoza, M; Estep, A; Fanovich, L; Farabaugh, NF; Fernando, D; Ferreira, CEL; Fields, CYA; Flam, AL; Floros, C; Fourqurean, V; Gajdzik, L; Barcia, LG; Garla, R; Gastrich, K; George, L; Giarrizzo, T; Graham, R; Guttridge, TL; Hagan, V; Hardenstine, RS; Heck, SM; Henderson, AC; Heithaus, P; Hertler, H; Padilla, MH; Hueter, RE; Jabado, RW; Joyeux, JC; Jaiteh, V; Johnson, M; Jupiter, SD; Kaimuddin, M; Kasana, D; Kelley, M; Kessel, ST; Kiilu, B; Kirata, T; Kuguru, B; Kyne, F; Langlois, T; Lara, F; Lawe, J; Lédée, EJI; Lindfield, S; Luna-Acosta, A; Maggs, JQ; Manjaji-Matsumoto, BM; Marshall, A; Martin, L; Mateos-Molina, D; Matich, P; McCombs, E; McIvor, A; McLean, D; Meggs, L; Moore, S; Mukherji, S; Murray, R; Newman, SJ; Nogués, J; Obota, C; Ochavillo, D; O'Shea, O; Osuka, KE; Papastamatiou, YP; Perera, N; Peterson, B; Pimentel, CR; Pina-Amargós, F; Pinheiro, HT; Ponzo, A; Prasetyo, A; Quamar, LMS; Quinlan, JR; Reis, JA; Ruiz, H; Ruiz-Abierno, A; Sala, E; Salinas-de-León, P; Samoilys, MA; Sample, WR; Schärer-Umpierre, M; Schlaff, AM; Schmid, K; Schoen, SN; Simpson, N; Smith, ANH; Spaet, JLY; Sparks, L; Stoffers, T; Tanna, A; Torres, R; Travers, MJ; Bergmann, MV; Vigliola, L; Ward, J; Warren, JD; Watts, AM; Wen, CK; Whitman, ER; Wirsing, AJ; Wothke, A; Zarza-González, E; Chapman, DD</t>
  </si>
  <si>
    <t>Simpfendorfer, Colin A.; Heithaus, Michael R.; Heupel, Michelle R.; MacNeil, M. Aaron; Meekan, Mark; Harvey, Euan; Sherman, C. Samantha; Currey-Randall, Leanne M.; Goetze, Jordan S.; Kiszka, Jeremy J.; Rees, Matthew J.; Speed, Conrad W.; Udyawer, Vinay; Bond, Mark E.; Flowers, Kathryn I.; Clementi, Gina M.; Valentin-Albanese, Jasmine; Adam, M. Shiham; Ali, Khadeeja; Asher, Jacob; Aylagas, Eva; Beaufort, Oceane; Benjamin, Cecilie; Bernard, Anthony T. F.; Berumen, Michael L.; Bierwagen, Stacy; Birrell, Chico; Bonnema, Erika; Bown, Rosalind M. K.; Brooks, Edward J.; Brown, J. Jed; Buddo, Dayne; Burke, Patrick J.; Caceres, Camila; Cambra, Marta; Cardenosa, Diego; Carrier, Jeffrey C.; Casareto, Sara; Caselle, Jennifer E.; Charloo, Venkatesh; Cinner, Joshua E.; Claverie, Thomas; Clua, Eric E. G.; Cochran, Jesse E. M.; Cook, Neil; Cramp, Jessica E.; D'Alberto, Brooke M.; de Graaf, Martin; Dornhege, Mareike C.; Espinoza, Mario; Estep, Andy; Fanovich, Lanya; Farabaugh, Naomi F.; Fernando, Daniel; Ferreira, Carlos E. L.; Fields, Candace Y. A.; Flam, Anna L.; Floros, Camilla; Fourqurean, Virginia; Gajdzik, Laura; Barcia, Laura Garcia; Garla, Ricardo; Gastrich, Kirk; George, Lachlan; Giarrizzo, Tommaso; Graham, Rory; Guttridge, Tristan L.; Hagan, Valerie; Hardenstine, Royale S.; Heck, Stephen M.; Henderson, Aaron C.; Heithaus, Patricia; Hertler, Heidi; Padilla, Mauricio Hoyos; Hueter, Robert E.; Jabado, Rima W.; Joyeux, Jean-Christophe; Jaiteh, Vanessa; Johnson, Mohini; Jupiter, Stacy D.; Kaimuddin, Muslimin; Kasana, Devanshi; Kelley, Megan; Kessel, Steven T.; Kiilu, Benedict; Kirata, Taratau; Kuguru, Baraka; Kyne, Fabian; Langlois, Tim; Lara, Frida; Lawe, Jaedon; Ledee, Elodie J. I.; Lindfield, Steve; Luna-Acosta, Andrea; Maggs, Jade Q.; Manjaji-Matsumoto, B. Mabel; Marshall, Andrea; Martin, Lucy; Mateos-Molina, Daniel; Matich, Philip; McCombs, Erin; McIvor, Ashlie; McLean, Dianne; Meggs, Llewelyn; Moore, Stephen; Mukherji, Sushmita; Murray, Ryan; Newman, Stephen J.; Nogues, Josep; Obota, Clay; Ochavillo, Domingo; O'Shea, Owen; Osuka, Kennedy E.; Papastamatiou, Yannis P.; Perera, Nishan; Peterson, Bradley; Pimentel, Caio R.; Pina-Amargos, Fabian; Pinheiro, Hudson T.; Ponzo, Alessandro; Prasetyo, Andhika; Quamar, L. M. Sjamsul; Quinlan, Jessica R.; Reis-Filho, Jose Amorim; Ruiz, Hector; Ruiz-Abierno, Alexei; Sala, Enric; Salinas-de-Leon, Pelayo; Samoilys, Melita A.; Sample, William R.; Schaerer-Umpierre, Michelle; Schlaff, Audrey M.; Schmid, Kurt; Schoen, Sara N.; Simpson, Nikola; Smith, Adam N. H.; Spaet, Julia L. Y.; Sparks, Lauren; Stoffers, Twan; Tanna, Akshay; Torres, Ruben; Travers, Michael J.; Bergmann, Maurits van Zinnicq; Vigliola, Laurent; Ward, Juney; Warren, Joseph D.; Watts, Alexandra M.; Wen, Colin K.; Whitman, Elizabeth R.; Wirsing, Aaron J.; Wothke, Aljoscha; Zarza-Gonzalez, Esteban; Chapman, Demian D.</t>
  </si>
  <si>
    <t>Widespread diversity deficits of coral reef sharks and rays</t>
  </si>
  <si>
    <t>SCIENCE</t>
  </si>
  <si>
    <t>A global survey of coral reefs reveals that overfishing is driving resident shark species toward extinction, causing diversity deficits in reef elasmobranch (shark and ray) assemblages. Our specieslevel analysis revealed global declines of 60 to 73% for five common resident reef shark species and that individual shark species were not detected at 34 to 47% of surveyed reefs. As reefs become more shark-depleted, rays begin to dominate assemblages. Shark-dominated assemblages persist in wealthy nations with strong governance and in highly protected areas, whereas poverty, weak governance, and a lack of shark management are associated with depauperate assemblages mainly composed of rays. Without action to address these diversity deficits, loss of ecological function and ecosystem services will increasingly affect human communities.</t>
  </si>
  <si>
    <t>[Simpfendorfer, Colin A.; Sherman, C. Samantha; D'Alberto, Brooke M.; Jabado, Rima W.; Ledee, Elodie J. I.; Moore, Stephen; Mukherji, Sushmita; Schlaff, Audrey M.] James Cook Univ, Coll Sci &amp; Engn, Townsville, Qld, Australia; [Simpfendorfer, Colin A.; Heupel, Michelle R.; George, Lachlan; Mukherji, Sushmita] Univ Tasmania, Inst Marine &amp; Antarctic Studies, Hobart, Tas, Australia; [Heithaus, Michael R.; Kiszka, Jeremy J.; Bond, Mark E.; Flowers, Kathryn I.; Clementi, Gina M.; Ali, Khadeeja; Bonnema, Erika; Caceres, Camila; Cardenosa, Diego; Casareto, Sara; Farabaugh, Naomi F.; Fields, Candace Y. A.; Barcia, Laura Garcia; Gastrich, Kirk; Heithaus, Patricia; Kasana, Devanshi; Kelley, Megan; Papastamatiou, Yannis P.; Quinlan, Jessica R.; Sample, William R.; Schoen, Sara N.; Bergmann, Maurits van Zinnicq; Whitman, Elizabeth R.; Chapman, Demian D.] Florida Int Univ, Dept Biol Sci, Inst Environm, North Miami, FL USA; [Heupel, Michelle R.; Currey-Randall, Leanne M.; Bierwagen, Stacy] Australian Inst Marine Sci, Townsville, Qld, Australia; [MacNeil, M. Aaron; Graham, Rory] Dalhousie Univ, Ocean Frontier Inst, Dept Biol, Halifax, NS, Canada; [Meekan, Mark; Rees, Matthew J.; Speed, Conrad W.; McLean, Dianne] Australian Inst Marine Sci, Perth, WA, Australia; [Harvey, Euan] Curtin Univ, Sch Mol &amp; Life Sci, Bentley, WA, Australia; [Sherman, C. Samantha] Simon Fraser Univ, Earth to Ocean Grp, Biol Sci, Burnaby, BC, Canada; [Goetze, Jordan S.] Curtin Univ, Sch Mol &amp; Life Sci, Perth, WA, Australia; [Goetze, Jordan S.] Dept Biodivers Conservat &amp; Attract, Marine Sci Program Biodivers &amp; Conservat Sci, Perth, WA, Australia; [Rees, Matthew J.] Univ Wollongong, Sch Earth Atmospher &amp; Life Sci, Ctr Sustainable Ecosyst Solut, Wollongong, NSW, Australia; [Udyawer, Vinay] Australian Inst Marine Sci, Darwin, NT, Australia; [Flowers, Kathryn I.] Mote Marine Lab, Sharks &amp; Rays Conservat Program, Sarasota, FL USA; [Valentin-Albanese, Jasmine; Peterson, Bradley; Warren, Joseph D.] SUNY Stony Brook, Sch Marine &amp; Atmospher Sci, Stony Brook, NY USA; [Adam, M. Shiham] Int Pole &amp; Line Fdn Maldives, Male, Maldives; [Ali, Khadeeja; Hardenstine, Royale S.] Minist Fisheries Marine Resources &amp; Agr, Marine Res Inst, Male, Maldives; [Asher, Jacob; Aylagas, Eva] AlRaidah Digital City, Dept Environm Protect &amp; Regenerat, Red Sea Global, Riyadh, Saudi Arabia; [Beaufort, Oceane] Kap Natirel NGO Fort Olive, Guadeloupe, France; [Benjamin, Cecilie] Mahonia Dari Res &amp; Conservat Ctr, Kimbe, Papua N Guinea; [Bernard, Anthony T. F.] South African Inst Aquat Biodivers, Natl Res Fdn, Makhanda, South Africa; [Bernard, Anthony T. F.] Rhodes Univ, Dept Zool &amp; Entomol, Makhanda, South Africa; [Berumen, Michael L.; Cochran, Jesse E. M.; Gajdzik, Laura; Hardenstine, Royale S.; McIvor, Ashlie] King Abdullah Univ Sci &amp; Technol, Red Sea Res Ctr, Thuwal, Saudi Arabia; [Birrell, Chico; Perera, Nishan] Madagascar Program, Wildlife Conservat Soc, Marine Conservat, Antananarivo, Madagascar; [Bown, Rosalind M. K.; Fernando, Daniel; Tanna, Akshay] Blue Resources Trust, Colombo, Sri Lanka; [Brooks, Edward J.; Fields, Candace Y. A.] Cape Eleuthera, Cape Eleuthera Inst, Eleuthera, Bahamas; [Brown, J. Jed] Qatar Univ, Coll Arts &amp; Sci, Ctr Sustainable Dev, Doha, Qatar; [Buddo, Dayne] Georgia Aquarium IUCN Ctr Species Survival, Atlanta, GA USA; [Burke, Patrick J.] Macquarie Univ, Sch Nat Sci, Sydney, NSW, Australia; [Burke, Patrick J.] Bimini Biol Field Stn, Bimini, Bahamas; [Cambra, Marta; Espinoza, Mario] Univ Costa Rica, Ctr Invest Ciencias Mar Limnologia, San Jose, Costa Rica; [Cambra, Marta; Espinoza, Mario] MigraMar, Olema, CA USA; [Carrier, Jeffrey C.] Albion Coll, Dept Biol, Albion, MI USA; [Caselle, Jennifer E.] Univ Calif Santa Barbara, Inst Marine Sci, Santa Barbara, CA USA; [Charloo, Venkatesh] Coastal Impact, Goa, India; [Cinner, Joshua E.] James Cook Univ, Coll Arts Soc &amp; Educ, Townsville, Qld, Australia; [Claverie, Thomas] Ctr Univ Format &amp; Rech Mayotte, Dembeni, France; [Clua, Eric E. G.] Ctr Rech Insulaire &amp; Observ Environm, Paris Sci Lettres, Opunohu Bay, Papetoai, France; [Clua, Eric E. G.] Ecole Prat Hautes Etud, Labs Excellence Corail, Perpignan, France; [Cook, Neil] Cardiff Univ, Sch Biosci, Cardiff, Wales; [Cook, Neil; Fanovich, Lanya; Wothke, Aljoscha] Environm Res Inst Charlotteville, Charlotteville, Trinidad Tobago; [Cramp, Jessica E.] James Cook Univ, Australian Res Council Ctr Excellence Coral Reef, Townsville, Qld, Australia; [Cramp, Jessica E.] Sharks Pacific, Rarotonga, Cook Islands; [D'Alberto, Brooke M.] Commonwealth Sci &amp; Ind Res Org, Oceans &amp; Atmosphere, Hobart, Tas, Australia; [de Graaf, Martin] Wageningen Univ Res, Wageningen Marine Res, Ijmuiden, Netherlands; [Dornhege, Mareike C.] Sophia Univ, Grad Sch Global Environm Studies, Tokyo, Japan; [Estep, Andy] Waitt Inst, La Jolla, CA USA; [Ferreira, Carlos E. L.; Watts, Alexandra M.] Univ Fed Fluminense, Dept Biol Marinha, Reef Syst Ecol &amp; Conservat Lab, Rio De Janeiro, Brazil; [Flam, Anna L.] Marine Megafauna Fdn, Palm Beach, FL USA; [Floros, Camilla] Oceanog Res Inst, Durban, South Africa; [Floros, Camilla] TRAFFIC Int, Cambridge, England; [Fourqurean, Virginia] Florida Int Univ, Coll Arts Sci &amp; Educ, North Miami, FL USA; [Fourqurean, Virginia] Georgia Jones Ayers Middle Sch, Dept Sci, Miami, FL USA; [Gajdzik, Laura] Dept Land &amp; Nat Resources, Divis Aquat Resources, Honolulu, HI USA; [Garla, Ricardo] Univ Fed Rio Grande Do Norte, Dept Bot Zool, Ctr Biociencias, Rio De Janeiro, Brazil; [Garla, Ricardo; Schmid, Kurt] King Abdullah Univ Sci &amp; Technol, Beacon Dev Co, Thuwal, Saudi Arabia; [Giarrizzo, Tommaso] Univ Fed Ceara, Inst Ciencias Mar, Fortaleza, Ceara, Brazil; [Giarrizzo, Tommaso] Espaco Inovacao Parque Ciencia &amp; Tecnol Guam, Grp Ecol Aquat, Guama, Para, Brazil; [Guttridge, Tristan L.] Bimini Biol Field Stn Fdn, South Bimini, Bahamas; [Guttridge, Tristan L.; Matich, Philip; Chapman, Demian D.] Saving the Blue, Cooper City, FL USA; [Henderson, Aaron C.; Hertler, Heidi] Ctr Marine Resource Studies, Sch Field Studies, South Caicos, Turks &amp; Caicos; [Padilla, Mauricio Hoyos] Pelagios Kakunja, La Paz, Mexico; [Padilla, Mauricio Hoyos] Fins Attached, Colorado Springs, CO USA; [Hueter, Robert E.] Mote Marine Lab, Ctr Shark Res, Sarasota, FL USA; [Hueter, Robert E.] OCEARCH, Park City, UT USA; [Jabado, Rima W.] Elasmo Project, Dubai, U Arab Emirates; [Joyeux, Jean-Christophe; Pimentel, Caio R.] Univ Fed Espirito Santo, Dept Oceanografia &amp; Ecol, Vitoria, Brazil; [Jaiteh, Vanessa] Murdoch Univ, Murdoch, WA, Australia; [Jaiteh, Vanessa] Univ Bern, Ctr Dev &amp; Environm, Bern, Switzerland; [Johnson, Mohini; Kaimuddin, Muslimin] Operat Wallacea, Spilsby, Lincs, England; [Jupiter, Stacy D.] Wildlife Conservat Soc, Melanesia Program, Suva, Fiji; [Kaimuddin, Muslimin] Wakatobi &amp; Buton, Wasage Div, Southeast Sulawesi, Indonesia; [Kessel, Steven T.] John G Shedd Aquarium, Daniel P Haerther Ctr Conservat &amp; Res, Chicago, IL USA; [Kiilu, Benedict] Kenya Fisheries Serv, Mombasa, Kenya; [Kirata, Taratau] Minist Fisheries &amp; Marine Resources, Kiritimati, Kiribati; [Kuguru, Baraka] Tanzania Fisheries Res Inst, Dar Es Salaam, Tanzania; [Kyne, Fabian] Univ West Indies, Kingston, Jamaica; [Langlois, Tim] Univ Western Australia, Sch Biol Sci, Perth, WA, Australia; [Langlois, Tim] Univ Western Australia, UWA Oceans Inst, Perth, WA, Australia; [Lara, Frida] Ctr Interdisciplinario Ciencias Marinas IPN, Dept Pesquerias, La Paz, Baja California, Mexico; [Lara, Frida] Pelagios Kakunja, La Paz, Baja California, Mexico; [Lawe, Jaedon; Meggs, Llewelyn] Yardie Environm Conservationists Ltd, Kingston, Jamaica; [Lindfield, Steve] Coral Reef Res Fdn, Koror, Palau; [Luna-Acosta, Andrea] Pontificia Univ Javeriana, Fac Estudios Ambient &amp; Rurales, Dept Ecola Territorio, Bogota, Colombia; [Maggs, Jade Q.] Natl Inst Water &amp; Atmospher Res, Auckland, New Zealand; [Manjaji-Matsumoto, B. Mabel] Univ Malaysia Sabah, Marine Res Inst, Kota Kinabalu, Sabah, Malaysia; [Marshall, Andrea] Marine Megafauna Fdn, West Palm, FL USA; [Martin, Lucy; Nogues, Josep] Island Conservat Soc Seychelles, Victoria, Seychelles; [Mateos-Molina, Daniel] Emirates Nat World Wide Fund Nat, Dubai, U Arab Emirates; [Mateos-Molina, Daniel] Univ Khorfakkan, Coll Marine Sci &amp; Aquat Biol, Sharjah, U Arab Emirates; [McCombs, Erin] Aquarium Pacific, Long Beach, CA USA; [McIvor, Ashlie] Reg Agcy Dev Res Technol &amp; Innovat, Marine &amp; Environm Sci Ctr, Aquat Res Network, Funchal, Portugal; [McLean, Dianne] Univ Western Australia, Oceans Inst, Perth, WA, Australia; [Murray, Ryan] Inland Fisheries Ireland, Dublin, Ireland; [Newman, Stephen J.; Travers, Michael J.] Govt Western Australia, Dept Primary Ind &amp; Reg Dev, Western Australian Fisheries &amp; Marine Res Labs, Hillarys, WA, Australia; [Obota, Clay; Osuka, Kennedy E.; Samoilys, Melita A.] CORDIO East Africa, Mombasa, Kenya; [Obota, Clay] Blue Ventures, Mombasa, Kenya; [Ochavillo, Domingo] Amer Samoa Dept Marine &amp; Wildlife Resources, Pago Pago, Samoa; [O'Shea, Owen] Ctr Ocean Res &amp; Educ, Eleuthera, Bahamas; [O'Shea, Owen] Mem Univ, Dept Ocean Sci, St John, NF, Canada; [Osuka, Kennedy E.] Univ York, Dept Environm &amp; Geog, York, N Yorkshire, England; [Pimentel, Caio R.] Univ Fed Espirito Santo, Dept Ciencias Agrarias &amp; Biol, Espirito Santo, Brazil; [Pina-Amargos, Fabian] Blue Sanctuary Avalon, Jardines De La Reina, Cuba; [Pina-Amargos, Fabian; Ruiz-Abierno, Alexei] Univ La Habana, Ctr Invest Marinas, Havana, Cuba; [Pinheiro, Hudson T.] Univ Sao Paulo, Ctr Marine Biol, Sao Sebastiao, SP, Brazil; [Ponzo, Alessandro] Large Marine Vertebrates Res Inst Philippines, Puerto Princesa, Palawan, Philippines; [Prasetyo, Andhika] Minist Marine Affairs &amp; Fisheries, Ctr Fisheries Res, Jakarta, Indonesia; [Quamar, L. M. Sjamsul] Univ Dayanu Ikhsanuddin, Dept Fisheries, Southeast Sulawesi, Indonesia; [Reis-Filho, Jose Amorim] Univ Fed Bahia, Inst Biol, Programa Posgrad Ecol Teoria Aplicacao &amp; Valores, Salvador, BA, Brazil; [Ruiz, Hector] HJR Reefscaping, Boqueron, PR USA; [Sala, Enric] Natl Geog Soc, Pristine Seas, Washington, DC USA; [Salinas-de-Leon, Pelayo] Charles Darwin Fdn, Charles Darwin Res Stn, Galapagos Islands, Ecuador; [Salinas-de-Leon, Pelayo] Nova Southeastern Univ, Save Our Seas Fdn Shark Res Ctr, Dania, FL USA; [Salinas-de-Leon, Pelayo] Nova Southeastern Univ, Guy Harvey Res Inst, Dania, FL USA; [Samoilys, Melita A.] Pwani Univ, Sch Pure &amp; Appl Sci, Kilifi, Kenya; [Schmid, Kurt] Thurgau Hunting &amp; Fishing Adm, Frauenfeld, Switzerland; [Smith, Adam N. H.] SalvageBlue, Kingstown, St Vincent; [Smith, Adam N. H.] Massey Univ, Sch Math &amp; Computat Sci, Auckland, New Zealand; [Spaet, Julia L. Y.] Univ Cambridge, Dept Zool, Evolutionary Ecol Grp, Cambridge, England; [Sparks, Lauren] Jln Toyapakeh DESA Toyapakeh, Indo Ocean Project, Bali, Indonesia; [Stoffers, Twan] Wageningen Univ &amp; Res, Aquaculture &amp; Fisheries Grp, Wageningen, Netherlands; [Torres, Ruben] Reef Check Dominican Republ, Santo Domingo, Dominican Rep; [Vigliola, Laurent] Inst Rech Dev, UMR Entropie IRD UR UNC CNRS IFREMER, Noumea, New Caledonia; [Ward, Juney] Pacific Reg Environm Programme, Apia, Samoa; [Watts, Alexandra M.] Manchester Metropolitan Univ, Fac Engn Sci, Dept Nat Sci, Manchester, Lancs, England; [Wen, Colin K.] Tunghai Univ, Dept Life Sci, Taichung, Taiwan; [Wirsing, Aaron J.] Univ Washington, Sch Environm &amp; Forest Sci, Seattle, WA USA; [Zarza-Gonzalez, Esteban] Univ Sinu, GIBEAM Res Grp, Cartagena, Colombia; [Zarza-Gonzalez, Esteban] Corales Rosario &amp; San Bernardo Natl Nat Pk, Bolivar, Colombia</t>
  </si>
  <si>
    <t>James Cook University; University of Tasmania; State University System of Florida; Florida International University; Australian Institute of Marine Science; Dalhousie University; Australian Institute of Marine Science; Curtin University; Simon Fraser University; Curtin University; University of Wollongong; Australian Institute of Marine Science; Mote Marine Laboratory &amp; Aquarium; State University of New York (SUNY) System; State University of New York (SUNY) Stony Brook; National Research Foundation - South Africa; South African Institute for Aquatic Biodiversity; Rhodes University; King Abdullah University of Science &amp; Technology; Qatar University; Macquarie University; Universidad Costa Rica; Albion College; University of California System; University of California Santa Barbara; James Cook University; Universite PSL; Cardiff University; James Cook University; Commonwealth Scientific &amp; Industrial Research Organisation (CSIRO); Wageningen University &amp; Research; Sophia University; Universidade Federal Fluminense; State University System of Florida; Florida International University; Universidade Federal do Rio Grande do Norte; King Abdullah University of Science &amp; Technology; Universidade Federal do Ceara; Mote Marine Laboratory &amp; Aquarium; Universidade Federal do Espirito Santo; Murdoch University; University of Bern; University West Indies Mona Jamaica; University of Western Australia; University of Western Australia; Pontificia Universidad Javeriana; National Institute of Water &amp; Atmospheric Research (NIWA) - New Zealand; Universiti Malaysia Sabah; University of Western Australia; Western Australian Fisheries &amp; Marine Research Laboratories; Memorial University Newfoundland; University of York - UK; Universidade Federal do Espirito Santo; Universidad de la Habana; Universidade de Sao Paulo; Ministry of Marine Affairs and Fisheries; Universidade Federal da Bahia; National Geographic Society; Nova Southeastern University; Nova Southeastern University; Pwani University; Massey University; University of Cambridge; Wageningen University &amp; Research; Institut de Recherche pour le Developpement (IRD); Ifremer; Manchester Metropolitan University; Tunghai University; University of Washington; University of Washington Seattle</t>
  </si>
  <si>
    <t>Simpfendorfer, CA (corresponding author), James Cook Univ, Coll Sci &amp; Engn, Townsville, Qld, Australia.;Simpfendorfer, CA (corresponding author), Univ Tasmania, Inst Marine &amp; Antarctic Studies, Hobart, Tas, Australia.</t>
  </si>
  <si>
    <t>colin.simpfendorfer@jcu.edu.au</t>
  </si>
  <si>
    <t>Sherman, Samantha/AAB-3349-2020; Rees, Matthew John/I-9177-2012; Kelley, Megan/JPK-5331-2023; Carrier, Jeffrey/AAM-3600-2020; Giarrizzo, Tommaso/G-8482-2016; Claverie, Thomas/D-3544-2018; McIvor, Ashlie/JIY-0202-2023; Ferreira, Carlos/JVD-6035-2023; Cinner, Joshua Eli/E-8966-2011; Lédée, Elodie/X-1537-2019; Padilla, Mauricio/KEI-1077-2024; Pimentel, Caio R/B-2808-2014; Simpfendorfer, Colin/G-9681-2011; McLean, Dianne/H-2449-2012; Berumen, Michael/F-7745-2011; MacNeil, M. Aaron/E-8196-2017; Cook, Neil/HDO-4433-2022</t>
  </si>
  <si>
    <t>Sherman, Samantha/0000-0002-7150-1035; Rees, Matthew John/0000-0002-2472-6215; Ferreira, Carlos/0000-0002-4311-0491; Cinner, Joshua Eli/0000-0003-2675-9317; Lédée, Elodie/0000-0001-8495-7827; Pimentel, Caio R/0000-0003-4110-1249; Simpfendorfer, Colin/0000-0002-0295-2238; Graham, Rory/0000-0001-9224-8254; Heithaus, Michael/0000-0002-3219-1003; Farabaugh, Naomi/0000-0002-7839-7453; Currey-Randall, Leanne M/0000-0002-3772-1288; Kiszka, Jeremy/0000-0003-1095-8979; McLean, Dianne/0000-0002-0306-8348; Stoffers, Twan/0000-0002-2329-3032; Berumen, Michael/0000-0003-2463-2742; Flowers, Kathryn/0000-0002-4354-2948; Whitman, Elizabeth/0000-0002-0573-8202; MacNeil, M. Aaron/0000-0001-8406-325X; Quinlan, Jessica R./0000-0002-5272-8867; Cook, Neil/0000-0001-7260-2324; Meekan, Mark/0000-0002-3067-9427; Heupel, Michelle/0000-0002-8245-7332</t>
  </si>
  <si>
    <t>Paul G. Allen Family Foundation</t>
  </si>
  <si>
    <t>Core funding for Global FinPrint was provided by the Paul G. Allen Family Foundation (to D.D.C. and M.R. Hei.).</t>
  </si>
  <si>
    <t>0036-8075</t>
  </si>
  <si>
    <t>1095-9203</t>
  </si>
  <si>
    <t>Science</t>
  </si>
  <si>
    <t>JUN 16</t>
  </si>
  <si>
    <t>10.1126/science.ade4884</t>
  </si>
  <si>
    <t>J6QO1</t>
  </si>
  <si>
    <t>WOS:001010846100004</t>
  </si>
  <si>
    <t>Alarcón-Muñoz, J; Vargas, AO; Püschel, HP; Soto-Acuña, S; Manrfquez, L; Leppe, M; Kaluza, J; Milla, V; Gutstein, CS; Palma-Liberona, J; Stinnesbeck, W; Frey, E; Pino, JP; Bajor, D; Núñez, E; Ortiz, H; Rubilar-Rogers, D; Cruzado-Caballero, P</t>
  </si>
  <si>
    <t>Alarcon-Munoz, Jhonatan; Vargas, Alexander O.; Puschel, Hans P.; Soto-Acuna, Sergio; Manriquez, Leslie; Leppe, Marcelo; Kaluza, Jonatan; Milla, Veronica; Gutstein, Carolina S.; Palma-Liberona, Jose; Stinnesbeck, Wolfgang; Frey, Eberhard; Pino, Juan Pablo; Bajor, Daniel; Nunez, Elaine; Ortiz, Hector; Rubilar-Rogers, David; Cruzado-Caballero, Penelope</t>
  </si>
  <si>
    <t>Relict duck-billed dinosaurs survived into the last age of the dinosaurs in subantarctic Chile</t>
  </si>
  <si>
    <t>DISPERSAL-VICARIANCE ANALYSIS; LAMBEOSAURINE DINOSAUR; HADROSAUROID DINOSAUR; NORTH-AMERICA; HISTORICAL BIOGEOGRAPHY; ZIRCON GEOCHRONOLOGY; MAGALLANES BASIN; YIXIAN FORMATION; CRETACEOUS AGE; GANSU PROVINCE</t>
  </si>
  <si>
    <t>In the dusk of the Mesozoic, advanced duck-billed dinosaurs (Hadrosauridae) were so successful that they likely outcompeted other herbivores, contributing to declines in dinosaur diversity. From Laurasia, hadrosaurids dis-persed widely, colonizing Africa, South America, and, allegedly, Antarctica. Here, we present the first species of a duck-billed dinosaur from a subantarctic region, Gonkoken nanoi, of early Maastrichtian age in Magallanes, Chile. Unlike duckbills further north in Patagonia, Gonkoken descends from North American forms diverging shortly before the origin of Hadrosauridae. However, at the time, non-hadrosaurids in North America had become replaced by hadrosaurids. We propose that the ancestors of Gonkoken arrived earlier in South America and reached further south, into regions where hadrosaurids never arrived: All alleged subantarctic and Antarctic remains of hadrosaurids could belong to non-hadrosaurid duckbills like Gonkoken. Dinosaur faunas of the world underwent qualitatively different changes before the Cretaceous-Paleogene asteroid impact, which should be considered when discussing their possible vulnerability.</t>
  </si>
  <si>
    <t>[Alarcon-Munoz, Jhonatan; Vargas, Alexander O.; Puschel, Hans P.; Soto-Acuna, Sergio; Milla, Veronica; Gutstein, Carolina S.; Pino, Juan Pablo; Bajor, Daniel; Nunez, Elaine; Ortiz, Hector] Univ Chile, Fac Ciencias, Dept Biol, Red Paleontol U Chile, Santiago, Chile; [Alarcon-Munoz, Jhonatan; Soto-Acuna, Sergio; Pino, Juan Pablo; Bajor, Daniel; Nunez, Elaine] Univ Chile, Fac Ciencias, Dept Ciencias Ecol, Santiago, Chile; [Alarcon-Munoz, Jhonatan; Rubilar-Rogers, David] Museo Nacl Hist Nat Chile, Area Paleontol, Santiago, Chile; [Puschel, Hans P.] Univ Edinburgh, Grant Inst, Sch Geosci, Edinburgh, Scotland; [Soto-Acuna, Sergio] KayTreng Consultores SpA, Santiago, Chile; [Soto-Acuna, Sergio] Univ Mayor, Escuela Geol, Fac Ciencias, Manuel Montt 367, Santiago, Chile; [Manriquez, Leslie] Univ Vale Rio dos Sinos, Sao Leopoldo, Brazil; [Leppe, Marcelo] Inst Nacl Antartico Chileno, Lab Paleobiol, Punta Arenas, Chile; [Kaluza, Jonatan] Consejo Nacl Invest Cient &amp; Tecn, Fdn Felix Azara, Buenos Aires, Argentina; [Milla, Veronica] Univ Concepcion, Concepcion, Chile; [Gutstein, Carolina S.] Paleo Consultores, Pedro Valdivia 273, Providencia 1602, Chile; [Palma-Liberona, Jose] Pontificia Univ Catolica Chile, Fac Ciencias Biol, Santiago, Chile; [Stinnesbeck, Wolfgang] Heidelberg Univ, Inst Geowissensch, Neuenheimer Feld 234-236, D-69120 Heidelberg, Germany; [Frey, Eberhard] Staatl Museum Nat Kunde Karlsruhe SMNK, Erbprinzenstr 13, D-76133 Karlsruhe, Germany; [Ortiz, Hector] Univ Magallanes, Punta Arenas, Chile; [Cruzado-Caballero, Penelope] Univ Laguna, Area Paleontol, Dept Biol Anim Edafol &amp; Geol, Tenerife, Spain; [Cruzado-Caballero, Penelope] Univ Zaragoza, Fac Ciencias, Grp Aragosaurus IUCA, Zaragoza, Spain</t>
  </si>
  <si>
    <t>Universidad de Chile; Universidad de Chile; University of Edinburgh; Universidad Mayor; Universidade do Vale do Rio dos Sinos (Unisinos); Consejo Nacional de Investigaciones Cientificas y Tecnicas (CONICET); Universidad de Concepcion; Pontificia Universidad Catolica de Chile; Ruprecht Karls University Heidelberg; Universidad de Magallanes; Universidad de la Laguna; University of Zaragoza</t>
  </si>
  <si>
    <t>Alarcón-Muñoz, J; Vargas, AO (corresponding author), Univ Chile, Fac Ciencias, Dept Biol, Red Paleontol U Chile, Santiago, Chile.;Alarcón-Muñoz, J (corresponding author), Univ Chile, Fac Ciencias, Dept Ciencias Ecol, Santiago, Chile.;Alarcón-Muñoz, J (corresponding author), Museo Nacl Hist Nat Chile, Area Paleontol, Santiago, Chile.</t>
  </si>
  <si>
    <t>jhoalarc@gmail.cl; alexvargas@uchile.cl</t>
  </si>
  <si>
    <t>S. Gutstein, Carolina/AGO-2836-2022; Cruzado-Caballero, Penélope/AAF-8250-2020; Vargas, Alexander O/L-3788-2017; Leppe, Marcelo/L-5447-2014</t>
  </si>
  <si>
    <t>S. Gutstein, Carolina/0000-0002-0823-2434; Cruzado-Caballero, Penélope/0000-0002-5819-8254; Vargas, Alexander O/0000-0002-2009-7116; Leppe, Marcelo/0000-0002-1545-8167; Manriquez Marquez, Leslie/0000-0002-0797-0355; Soto Acuna, Sergio/0000-0002-9311-9355; Puschel, Hans P./0000-0002-6130-9322</t>
  </si>
  <si>
    <t>Agencia Nacional de Investigacion y Desarrollo ANID (National Agency for Research and Development) of the Chilean Ministry of Science, Technology [PIA Anillo ACT172099]; FONDECYT [1190891, 1151389, CHL 10/A09, 2018-72190003]; BMBF; Becas Chile para estudios de Doctorado en el extranjero; ANID; Jurassic Foundation; ANID scholarships for PhD studies in Chile; [1230713]; [REDES 190190]</t>
  </si>
  <si>
    <t>Agencia Nacional de Investigacion y Desarrollo ANID (National Agency for Research and Development) of the Chilean Ministry of Science, Technology; FONDECYT(Comision Nacional de Investigacion Cientifica y Tecnologica (CONICYT)CONICYT FONDECYT); BMBF(Federal Ministry of Education &amp; Research (BMBF)); Becas Chile para estudios de Doctorado en el extranjero; ANID; Jurassic Foundation; ANID scholarships for PhD studies in Chile; ;</t>
  </si>
  <si>
    <t>This work was supported by the Agencia Nacional de Investigacion y Desarrollo ANID (National Agency for Research and Development) of the Chilean Ministry of Science, Technology, Knowledge, and Innovation through grants PIA Anillo ACT172099 (to A.O.V.), FONDECYT 1230713 and REDES 190190 (to A.O.V.), FONDECYT 1190891 (to A.O.V.), FONDECYT 1151389 (to M.L.), ANID scholarships for PhD studies in Chile (to J.A.-M., S.S.-A., J.P.-L., J.P.P., and D.B.), BMBF project CHL 10/A09 (to W.S. and E.F.), Becas Chile para estudios de Doctorado en el extranjero/2018-72190003 and ANID (to H.P.), and the Jurassic Foundation Grant (to J.A.-M.).</t>
  </si>
  <si>
    <t>10.1126/sciadv.adg2456</t>
  </si>
  <si>
    <t>J8OI2</t>
  </si>
  <si>
    <t>Green Submitted, Green Published, gold</t>
  </si>
  <si>
    <t>WOS:001012158900004</t>
  </si>
  <si>
    <t>Rowlands, E; Galloway, T; Cole, M; Peck, VL; Posacka, A; Thorpe, S; Manno, C</t>
  </si>
  <si>
    <t>Rowlands, Emily; Galloway, Tamara; Cole, Matthew; Peck, Victoria L.; Posacka, Anna; Thorpe, Sally; Manno, Clara</t>
  </si>
  <si>
    <t>Vertical flux of microplastic, a case study in the Southern Ocean, South Georgia</t>
  </si>
  <si>
    <t>Vertical transport; Fibres; Fragments; Floating sediment trap; Raman spectroscopy</t>
  </si>
  <si>
    <t>ROSS SEA; MARINE; SEDIMENTS; ANTARCTICA; PARTICLES; PLASTICS; COPEPOD; ALTER</t>
  </si>
  <si>
    <t>Estimated plastic debris floating at the ocean surface varies depending on modelling approaches, with some suggesting unaccounted sinks for marine plastic debris due to mismatches between plastic predicted to enter the ocean and that accounted for at the surface. A major knowledge gap relates to the vertical sinking of oceanic plastic. We used an array of floating sediment traps combined with optical microscopy and Raman spectroscopy to measure the microplastic flux between 50 and 150 m water depth over 24 h within a natural harbour of the sub-Antarctic island of South Georgia. This region is influenced by fishing, tourism, and research activity. We found a 69 % decrease in microplastic flux from 50 m (306 pieces/m2/day) to 150 m (94pieces/m2/day). Our study confirms the occurrence of a vertical flux of microplastic in the upper water column of the Southern Ocean, which may influence zooplankton microplastic consumption and the carbon cycle.</t>
  </si>
  <si>
    <t>[Rowlands, Emily; Peck, Victoria L.; Thorpe, Sally; Manno, Clara] British Antarctic Survey, Madingley Rd, Cambridge CB3 0ET, England; [Rowlands, Emily; Galloway, Tamara] Univ Exeter, Fac Hlth &amp; Life Sci, Streatham Campus,Stocker Rd, Exeter EX4 4PY, England; [Cole, Matthew] Plymouth Marine Lab, Prospect Pl, Plymouth PL1 3DH, England; [Posacka, Anna] Ocean Diagnost, Suite 1102,4464 Markham St, Victoria, BC V8Z 7X8, Canada</t>
  </si>
  <si>
    <t>UK Research &amp; Innovation (UKRI); Natural Environment Research Council (NERC); NERC British Antarctic Survey; University of Exeter; Plymouth Marine Laboratory</t>
  </si>
  <si>
    <t>Rowlands, E; Manno, C (corresponding author), British Antarctic Survey, Madingley Rd, Cambridge CB3 0ET, England.</t>
  </si>
  <si>
    <t>emirow@bas.ac.uk; clanno@bas.ac.uk</t>
  </si>
  <si>
    <t>Cole, Matthew/0000-0001-5910-1189</t>
  </si>
  <si>
    <t>NERC GW4+ scholarship [NE/L002434/1]; UKRI-FLF project CUPIDO [MR/T020962/1]; National Capability-ALI~Funding</t>
  </si>
  <si>
    <t>NERC GW4+ scholarship; UKRI-FLF project CUPIDO; National Capability-ALI~Funding</t>
  </si>
  <si>
    <t>ER was funded by a NERC GW4+ scholarship NE/L002434/1. CM was supported by UKRI-FLF project CUPIDO (MR/T020962/1). ST was supported by National Capability-ALI &amp; nbsp;Funding &amp; nbsp;to the Ecosystems team at the British Antarctic Survey. Work was carried out as part of the Eco-systems programme at the British Antarctic Survey and the Scotia Sea Open Ocean Laboratories (SCOOBIES) sustained observation programme at the British Antarctic Survey in the frame of a WCB-POETS survey cruise.</t>
  </si>
  <si>
    <t>10.1016/j.marpolbul.2023.115117</t>
  </si>
  <si>
    <t>M1UI6</t>
  </si>
  <si>
    <t>WOS:001028092400001</t>
  </si>
  <si>
    <t>Marynets, K; Pantova, D</t>
  </si>
  <si>
    <t>Marynets, Kateryna; Pantova, Dona</t>
  </si>
  <si>
    <t>Successive approximations and interval halving for fractional BVPs with integral boundary conditions</t>
  </si>
  <si>
    <t>JOURNAL OF COMPUTATIONAL AND APPLIED MATHEMATICS</t>
  </si>
  <si>
    <t>Fractional differential equations; Integral boundary conditions; Approximation of solutions; Parametrization; Dichotomy-type approach; Fractional geophysical model</t>
  </si>
  <si>
    <t>PURELY AZIMUTHAL FLOW; DIFFERENTIAL-EQUATIONS; PERIODIC BVP; ORDER; PARAMETRIZATION; STEADY; MODEL</t>
  </si>
  <si>
    <t>We study a system of non-linear fractional differential equations, subject to integral boundary conditions. We use a parametrization technique and a dichotomy-type ap-proach to reduce the original problem to two model-typefractional boundary value problems with linear two-point boundary conditions. A numerical-analytic technique is applied to analytically construct approximate solutions to the model-typeproblems. The behaviour of these approximate solutions is governed by a set of parameters, whose values are obtained by numerically solving a system of algebraic equations. The obtained results are confirmed by an example of the fractional order problem that in the case of the second order differential equation models the Antarctic Circumpolar Current.&amp; COPY; 2023 The Author(s). Published by Elsevier B.V. This is an open access article under the CC BY license (http://creativecommons.org/licenses/by/4.0/).</t>
  </si>
  <si>
    <t>[Marynets, Kateryna; Pantova, Dona] Delft Univ Technol, Delft Inst Appl Math, Fac Elect Engn Math &amp; Comp Sci, Mekelweg 4, NL-2628 CD Delft, Netherlands</t>
  </si>
  <si>
    <t>Delft University of Technology</t>
  </si>
  <si>
    <t>Marynets, K (corresponding author), Delft Univ Technol, Delft Inst Appl Math, Fac Elect Engn Math &amp; Comp Sci, Mekelweg 4, NL-2628 CD Delft, Netherlands.</t>
  </si>
  <si>
    <t>K.Marynets@tudelft.nl; D.Pantova@tudelft.nl</t>
  </si>
  <si>
    <t>0377-0427</t>
  </si>
  <si>
    <t>1879-1778</t>
  </si>
  <si>
    <t>J COMPUT APPL MATH</t>
  </si>
  <si>
    <t>J. Comput. Appl. Math.</t>
  </si>
  <si>
    <t>JAN 15</t>
  </si>
  <si>
    <t>10.1016/j.cam.2023.115361</t>
  </si>
  <si>
    <t>Mathematics, Applied</t>
  </si>
  <si>
    <t>L9ZY7</t>
  </si>
  <si>
    <t>WOS:001026795800001</t>
  </si>
  <si>
    <t>Sato, K; Tomikawa, Y; Kohma, M; Yasui, R; Koshin, D; Okui, H; Watanabe, S; Miyazaki, K; Tsutsumi, M; Murphy, D; Meek, C; Tian, YF; Ern, M; Baumgarten, G; Chau, JL; Chu, XZ; Collins, R; Espy, PJ; Hashiguchi, H; Kavanagh, AJ; Latteck, R; Lübken, FJ; Milla, M; Nozawa, S; Ogawa, Y; Shiokawa, K; Alexander, MJ; Nakamura, T; Ward, WE</t>
  </si>
  <si>
    <t>Sato, Kaoru; Tomikawa, Yoshihiro; Kohma, Masashi; Yasui, Ryosuke; Koshin, Dai; Okui, Haruka; Watanabe, Shingo; Miyazaki, Kazuyuki; Tsutsumi, Masaki; Murphy, Damian; Meek, Chris; Tian, Yufang; Ern, Manfred; Baumgarten, Gerd; Chau, Jorge L.; Chu, Xinzhao; Collins, Richard; Espy, Patrick J.; Hashiguchi, Hiroyuki; Kavanagh, Andrew J.; Latteck, Ralph; Luebken, Franz-Josef; Milla, Marco; Nozawa, Satonori; Ogawa, Yasunobu; Shiokawa, Kazuo; Alexander, M. Joan; Nakamura, Takuji; Ward, William E.</t>
  </si>
  <si>
    <t>Interhemispheric Coupling Study by Observations and Modelling (ICSOM): Concept, Campaigns, and Initial Results</t>
  </si>
  <si>
    <t>residual mean circulation; middle atmosphere; interhemispheric coupling; stratospheric sudden warming; gravity waves; Rossby waves</t>
  </si>
  <si>
    <t>DATA ASSIMILATION SYSTEM; PHASED-ARRAY SYSTEM; IN-SITU GENERATION; MIDDLE-ATMOSPHERE; GRAVITY-WAVES; MOMENTUM FLUX; TEMPERATURE-FLUCTUATIONS; RADAR OBSERVATIONS; SYOWA STATION; 2-DAY WAVE</t>
  </si>
  <si>
    <t>An international joint research project, entitled Interhemispheric Coupling Study by Observations and Modelling (ICSOM), is ongoing. In the late 2000s, an interesting form of interhemispheric coupling (IHC) was discovered: when warming occurs in the winter polar stratosphere, the upper mesosphere in the summer hemisphere also becomes warmer with a time lag of days. This IHC phenomenon is considered to be a coupling through processes in the middle atmosphere (i.e., stratosphere, mesosphere, and lower thermosphere). Several plausible mechanisms have been proposed so far, but they are still controversial. This is mainly because of the difficulty in observing and simulating gravity waves (GWs) at small scales, despite the important role they are known to play in middle atmosphere dynamics. In this project, by networking sparsely but globally distributed radars, mesospheric GWs have been simultaneously observed in seven boreal winters since 2015/16. We have succeeded in capturing five stratospheric sudden warming events and two polar vortex intensification events. This project also includes the development of a new data assimilation system to generate long-term reanalysis data for the whole middle atmosphere, and simulations by a state-of-the-art GW-permitting general circulation model using the reanalysis data as initial values. By analyzing data from these observations, data assimilation, and model simulation, comprehensive studies to investigate the mechanism of IHC are planned. This paper provides an overview of ICSOM, but even initial results suggest that not only GWs but also large-scale waves are important for the mechanism of the IHC.</t>
  </si>
  <si>
    <t>[Sato, Kaoru; Kohma, Masashi; Koshin, Dai; Okui, Haruka] Univ Tokyo, Dept Earth &amp; Planetary Sci, Tokyo, Japan; [Tomikawa, Yoshihiro; Tsutsumi, Masaki; Ogawa, Yasunobu; Nakamura, Takuji] Natl Inst Polar Res, Tachikawa, Tokyo, Japan; [Tomikawa, Yoshihiro; Tsutsumi, Masaki; Ogawa, Yasunobu; Nakamura, Takuji] Grad Inst Adv Studies SOKENDAI, Polar Sci Program, Tachikawa, Japan; [Tomikawa, Yoshihiro; Ogawa, Yasunobu] Res Org Informat &amp; Syst, Polar Environm Data Sci Ctr, Tachikawa, Japan; [Yasui, Ryosuke] Japan Meteorol Agcy, Meteorol Res Inst, Tsukuba, Japan; [Watanabe, Shingo] Japan Agcy Marine Earth Sci &amp; Technol JAMSTEC, Yokohama, Japan; [Miyazaki, Kazuyuki] CALTECH, Jet Prop Lab, Pasadena, CA USA; [Miyazaki, Kazuyuki] Univ Calif Los Angeles, Joint Inst Reg Earth Syst Sci &amp; Engn, Los Angeles, CA USA; [Murphy, Damian] Australian Antarctic Div, Kingston, Tas, Australia; [Meek, Chris] Univ Saskatchewan, Inst Space &amp; Atmospher Studies, Saskatoon, SK, Canada; [Tian, Yufang] Chinese Acad Sci, Inst Atmospher Phys, Key Lab Middle Atmosphere &amp; Global Environm Observ, Beijing, Peoples R China; [Tian, Yufang] Chinese Acad Sci, Inst Atmospher Phys, Xianghe Observ Whole Atmosphere, Beijing, Peoples R China; [Ern, Manfred] Forschungszentrum Julich, Inst Energie &amp; Klimaforsch Stratosphare IEK 7, Julich, Germany; [Baumgarten, Gerd; Chau, Jorge L.; Latteck, Ralph; Luebken, Franz-Josef] Univ Rostock, Leibniz Inst Atmospher Phys, Kuhlungsborn, Germany; [Chu, Xinzhao] Univ Colorado Boulder, Cooperat Inst Res Environm Sci, Boulder, CO USA; [Chu, Xinzhao] Univ Colorado Boulder, Dept Aerosp Engn Sci, Boulder, CO USA; [Collins, Richard] Univ Alaska Fairbanks, Geophys Inst, Fairbanks, AK USA; [Espy, Patrick J.] Norwegian Univ Sci &amp; Technol, Trondheim, Norway; [Espy, Patrick J.] Birkeland Ctr Space Sci, Trondheim, Norway; [Hashiguchi, Hiroyuki] Kyoto Univ, Res Inst Sustainable Humanosphere, Uji, Japan; [Kavanagh, Andrew J.] British Antarctic Survey, Cambridge, England; [Milla, Marco] Pontificia Univ Catolica Peru, Secc Electr &amp; Elect, Lima, Peru; [Nozawa, Satonori; Shiokawa, Kazuo] Nagoya Univ, Inst Space Earth Environm Res, Nagoya, Japan; [Alexander, M. Joan] Boulder Off, NorthWest Res Associates, Boulder, CO USA; [Ward, William E.] Univ New Brunswick, Dept Phys, Fredericton, NB, Canada</t>
  </si>
  <si>
    <t>University of Tokyo; Research Organization of Information &amp; Systems (ROIS); National Institute of Polar Research (NIPR) - Japan; Research Organization of Information &amp; Systems (ROIS); Japan Meteorological Agency; Meteorological Research Institute - Japan; Japan Agency for Marine-Earth Science &amp; Technology (JAMSTEC); California Institute of Technology; National Aeronautics &amp; Space Administration (NASA); NASA Jet Propulsion Laboratory (JPL); University of California System; University of California Los Angeles; Australian Antarctic Division; University of Saskatchewan; Chinese Academy of Sciences; Institute of Atmospheric Physics, CAS; Chinese Academy of Sciences; Institute of Atmospheric Physics, CAS; Helmholtz Association; Research Center Julich; Leibniz Institut fur Atmospharenphysik e.V. an der Universitat Rostock (IAP); University of Rostock; University of Colorado System; University of Colorado Boulder; University of Colorado System; University of Colorado Boulder; University of Alaska System; University of Alaska Fairbanks; Norwegian University of Science &amp; Technology (NTNU); Kyoto University; UK Research &amp; Innovation (UKRI); Natural Environment Research Council (NERC); NERC British Antarctic Survey; Pontificia Universidad Catolica del Peru; Nagoya University; NorthWest Research Associates; University of New Brunswick</t>
  </si>
  <si>
    <t>Sato, K (corresponding author), Univ Tokyo, Dept Earth &amp; Planetary Sci, Tokyo, Japan.</t>
  </si>
  <si>
    <t>kaoru@eps.s.u-tokyo.ac.jp</t>
  </si>
  <si>
    <t>Tomikawa, Yoshihiro/D-5304-2012; Miyazaki, Kazuyuki/AAL-1785-2021; Ern, Manfred/I-8839-2016; Milla, Marco Antonio/L-9345-2013; Chau, Jorge/C-7568-2013; Kohma, Masashi/C-8055-2015; Watanabe, Shingo/L-9689-2014</t>
  </si>
  <si>
    <t>Tomikawa, Yoshihiro/0000-0002-5652-3017; Miyazaki, Kazuyuki/0000-0002-1466-4655; Ern, Manfred/0000-0002-8565-2125; Milla, Marco Antonio/0000-0001-9067-863X; Chau, Jorge/0000-0002-2364-8892; Okui, Haruka/0000-0002-1476-3362; Kohma, Masashi/0000-0001-9875-3032; Watanabe, Shingo/0000-0002-2228-0088; Koshin, Dai/0000-0001-8070-5366</t>
  </si>
  <si>
    <t>Institute of Space and Atmospheric Studies at the University of Saskatchewan; Canadian Space Agency, Canadian Network for the Detection of Atmospheric Change (CANDAC); Eureka; Canadian Space Agency; Canadian Network for the Detection of Atmospheric Change (CANDAC); NSERC; Beijing National Observatory of Space Environment, Institute of Geology and Geophysics Chinese Academy of Sciences through the Geophysics center; National Natural Science Foundation of China [41727803]; Research Council of Norway/CoE [223252/F50]; NSF [OPP-2110428]; JST CREST [JPMJCR1663]; JSPS KAKENHI [22H00169, JP21J20798, 17H02969, 21H04516, 21H04518, 21H01142, 21H01144, 16H06286, 22K21345]; MEXT program for the advanced studies of climate change projection (SENTAN) [JPMXD0722681344]; German Federal Ministry of Education and Research (BMBF) [01LG1905C]; National Aeronautics and Space Administration (NASA); NASA [80NSSC20K0950]</t>
  </si>
  <si>
    <t>Institute of Space and Atmospheric Studies at the University of Saskatchewan; Canadian Space Agency, Canadian Network for the Detection of Atmospheric Change (CANDAC); Eureka; Canadian Space Agency(Canadian Space Agency); Canadian Network for the Detection of Atmospheric Change (CANDAC); NSERC(Natural Sciences and Engineering Research Council of Canada (NSERC)); Beijing National Observatory of Space Environment, Institute of Geology and Geophysics Chinese Academy of Sciences through the Geophysics center; National Natural Science Foundation of China(National Natural Science Foundation of China (NSFC)); Research Council of Norway/CoE; NSF(National Science Foundation (NSF)); JST CREST(Japan Science &amp; Technology Agency (JST)Core Research for Evolutional Science and Technology (CREST)); JSPS KAKENHI(Ministry of Education, Culture, Sports, Science and Technology, Japan (MEXT)Japan Society for the Promotion of ScienceGrants-in-Aid for Scientific Research (KAKENHI)); MEXT program for the advanced studies of climate change projection (SENTAN); German Federal Ministry of Education and Research (BMBF)(Federal Ministry of Education &amp; Research (BMBF)); National Aeronautics and Space Administration (NASA)(National Aeronautics &amp; Space Administration (NASA)); NASA(National Aeronautics &amp; Space Administration (NASA))</t>
  </si>
  <si>
    <t>The PANSY radar was operated by Japanese Antarctic Research Expedition (JARE). The ICSOM observations by the PANSY radar were performed by Phase VIII and Phase IX six-year Japanese Antarctic Prioritized Research Project. The Tromso MF radar is operated by the Tromso Geophysical Observatory (TGO) at UiT, The Arctic University of Norway. Operation of the Saskatoon MF radar was supported by the Institute of Space and Atmospheric Studies at the University of Saskatchewan. The operation of the Eureka meteor radar and ERWIN was supported by the Canadian Space Agency, Canadian Network for the Detection of Atmospheric Change (CANDAC), NSERC and ECCC. We acknowledge the use of data from the Chinese Meridian Project. Beijing MWR data were provided by Beijing National Observatory of Space Environment, Institute of Geology and Geophysics Chinese Academy of Sciences through the Geophysics center, National Earth System Science Data Center ().The all-sky radar at Ledong is a part of the MIOS supported by the National Natural Science Foundation of China (NSFC; granted number: 41727803). The Trondheim meteor radar and analyses were supported by the Research Council of Norway/CoE under contract 223252/F50. The Jicamarca Radio Observatory is a facility of the Instituto Geofisico del Peruoperated with support from NSF award AGS-1732209 through an agreement with Cornell University. We thank the Jicamarca staff for their work in making possible the radar observations presented in this paper. Support for the operation of the Davis MST, MF and meteor radars was provided through AAS project numbers 4025 and 4445. The JAGUAR-DAS reanalysis and the GW-permitting JAGUAR simulations were performed using the Data Analyzer system and the Earth Simulator at the Japan Agency for Marine-Earth Science and Technology (JAMSTEC). The GFD-DENNOU library was used for drawing figures. This research has been supported by the JST CREST Grant JPMJCR1663 and the JSPS KAKENHI Grants 22H00169 (KSa), JP21J20798 (HO), 17H02969 (MT), 21H04516, 21H04518, 21H01142, 21H01144 (SN), 16H06286, 22K21345 (KSh). SW was supported by MEXT program for the advanced studies of climate change projection (SENTAN) Grant JPMXD0722681344. ME acknowledges support for this work by the German Federal Ministry of Education and Research (BMBF) Grant 01LG1905C (QUBICC, ROMIC II). Part of this work was conducted at the Jet Propulsion Laboratory, California Institute of Technology, under contract with the National Aeronautics and Space Administration (NASA) (KM). XC was partially supported by NSF Grant OPP-2110428. MJA acknowledges support from NASA Grant 80NSSC20K0950. Theinternational collaborators acknowledge support from their respective science-funding agencies. We also thank anonymous reviewers for their constructive comments.</t>
  </si>
  <si>
    <t>e2022JD038249</t>
  </si>
  <si>
    <t>10.1029/2022JD038249</t>
  </si>
  <si>
    <t>L4BN4</t>
  </si>
  <si>
    <t>WOS:001022729100001</t>
  </si>
  <si>
    <t>Abdullah, K; Wilkins, D; Ferrari, BC</t>
  </si>
  <si>
    <t>Abdullah, Kristopher; Wilkins, Daniel; Ferrari, Belinda C.</t>
  </si>
  <si>
    <t>Utilization of-Omic technologies in cold climate hydrocarbon bioremediation: a text-mining approach</t>
  </si>
  <si>
    <t>metagenomics; proteomics; transcriptomics; text-mining; Antarctic Soils; diesel biodegradation</t>
  </si>
  <si>
    <t>BACTERIAL COMMUNITY STRUCTURE; MICROBIAL COMMUNITY; AROMATIC-HYDROCARBONS; CONTAMINATED SOILS; ANTARCTIC SOILS; CASEY-STATION; BIOSTIMULATION; OIL; DEGRADATION; DIESEL</t>
  </si>
  <si>
    <t>Hydrocarbon spills in cold climates are a prominent and enduring form of anthropogenic contamination. Bioremediation is one of a suite of remediation tools that has emerged as a cost-effective strategy for transforming these contaminants in soil, ideally into less harmful products. However, little is understood about the molecular mechanisms driving these complex, microbially mediated processes. The emergence of -omic technologies has led to a revolution within the sphere of environmental microbiology allowing for the identification and study of so called 'unculturable' organisms. In the last decade, -omic technologies have emerged as a powerful tool in filling this gap in our knowledge on the interactions between these organisms and their environment in vivo. Here, we utilize the text mining software Vosviewer to process meta-data and visualize key trends relating to cold climate bioremediation projects. The results of text mining of the literature revealed a shift over time from optimizing bioremediation experiments on the macro/community level to, in more recent years focusing on individual organisms of interest, interactions within the microbiome and the investigation of novel metabolic degradation pathways. This shift in research focus was made possible in large part by the rise of omics studies allowing research to focus not only what organisms/metabolic pathways are present but those which are functional. However, all is not harmonious, as the development of downstream analytical methods and associated processing tools have outpaced sample preparation methods, especially when dealing with the unique challenges posed when analyzing soil-based samples.</t>
  </si>
  <si>
    <t>[Abdullah, Kristopher; Ferrari, Belinda C.] Univ New South Wales, Fac Sci, Sch Biotechnol &amp; Biomol Sci, Sydney, NSW, Australia; [Wilkins, Daniel] Dept Climate Change Energy Environm &amp; Water, Environm Stewardship Program, Australian Antarctic Div, Kingston, Tas, Australia</t>
  </si>
  <si>
    <t>University of New South Wales Sydney; Australian Antarctic Division</t>
  </si>
  <si>
    <t>Ferrari, BC (corresponding author), Univ New South Wales, Fac Sci, Sch Biotechnol &amp; Biomol Sci, Sydney, NSW, Australia.</t>
  </si>
  <si>
    <t>b.ferrari@unsw.edu.au</t>
  </si>
  <si>
    <t>Wilkins, Daniel/0000-0003-2081-483X</t>
  </si>
  <si>
    <t>Australian Government research training program (RTP) scholarship; Australian Research Council Future Fellowship [FT170100341]</t>
  </si>
  <si>
    <t>Australian Government research training program (RTP) scholarship(Australian GovernmentDepartment of Industry, Innovation and Science); Australian Research Council Future Fellowship(Australian Research Council)</t>
  </si>
  <si>
    <t>This work was supported by the Australian Government research training program (RTP) scholarship awarded to KA and an Australian Research Council Future Fellowship (FT170100341) grant awarded to BF.</t>
  </si>
  <si>
    <t>10.3389/fmicb.2023.1113102</t>
  </si>
  <si>
    <t>K8SC0</t>
  </si>
  <si>
    <t>WOS:001019069700001</t>
  </si>
  <si>
    <t>Adiwira, H; Suga, T</t>
  </si>
  <si>
    <t>Adiwira, Hanani; Suga, Toshio</t>
  </si>
  <si>
    <t>The interannual variability of the Indian Ocean subtropical mode water based on the Argo data</t>
  </si>
  <si>
    <t>Argo float; subtropical mode water; Indian Ocean; subtropical gyre; air-sea interaction</t>
  </si>
  <si>
    <t>ANTARCTIC INTERMEDIATE WATER; PROFILING FLOAT DATA; NORTH PACIFIC; AGULHAS CURRENT; CIRCULATION; TRANSPORT</t>
  </si>
  <si>
    <t>Gaining insight into the interannual variability of the Indian Ocean Subtropical Mode Water (IOSTMW) is essential for understanding ocean dynamics in the Southwest Indian Ocean, since it carries the signal of winter mixing and transports it into the ocean interior. As the number of Argo profiles in the Southwest Indian Ocean increases, it has become possible to study temporal variations in IOSTMW using observation data. We used Argo products to examine the interannual variability of the IOSTMW from 2005 to 2020. We examined various definitions to determine the most suitable definition for IOSTMW in this study, choosing to define the IOSTMW as a layer with a vertical temperature gradient of less than 1 &amp; DEG;C per 100 meters (dT/dz&lt; 1 &amp; DEG;C/100 m) and a temperature range of 16 &amp; DEG;C-18 &amp; DEG;C because this correlates strongly with winter heat loss in the same year. This method is particularly useful for investigating how mode water captures anomalous winter mixing signals and advects them to the ocean interior via subduction. Furthermore, we found that summer stratification can play a role in either facilitating or hindering the formation of thick IOSTMW layers. Our study indicates that thin IOSTMW layers are primarily caused by extremely weak winter heat loss associated with anomalously weak latent heat, whereas thick IOSTMW formation is aided by weak summer stratification.</t>
  </si>
  <si>
    <t>[Adiwira, Hanani; Suga, Toshio] Tohoku Univ, Grad Sch Sci, Dept Geophys, Sendai, Japan; [Suga, Toshio] Japan Agcy Marine Earth Sci &amp; Technol, Res Inst Global Change, Yokosuka, Japan</t>
  </si>
  <si>
    <t>Tohoku University; Japan Agency for Marine-Earth Science &amp; Technology (JAMSTEC)</t>
  </si>
  <si>
    <t>Adiwira, H (corresponding author), Tohoku Univ, Grad Sch Sci, Dept Geophys, Sendai, Japan.</t>
  </si>
  <si>
    <t>hanani.adiwira.p3@dc.tohoku.ac.jp</t>
  </si>
  <si>
    <t>Adiwira, Hanani/0009-0004-8664-0136</t>
  </si>
  <si>
    <t>10.3389/fmars.2023.1205292</t>
  </si>
  <si>
    <t>K5AY6</t>
  </si>
  <si>
    <t>WOS:001016576900001</t>
  </si>
  <si>
    <t>Ramasamy, KP; Mahawar, L; Rajasabapathy, R; Rajeshwari, K; Miceli, C; Pucciarelli, S</t>
  </si>
  <si>
    <t>Ramasamy, Kesava Priyan; Mahawar, Lovely; Rajasabapathy, Raju; Rajeshwari, Kottilil; Miceli, Cristina; Pucciarelli, Sandra</t>
  </si>
  <si>
    <t>Comprehensive insights on environmental adaptation strategies in Antarctic bacteria and biotechnological applications of cold adapted molecules</t>
  </si>
  <si>
    <t>Antarctic bacteria; climate change; psychrophiles; omics; machine learning; biotechnological applications</t>
  </si>
  <si>
    <t>ICE-BINDING PROTEIN; PSEUDOALTEROMONAS-HALOPLANKTIS; PSYCHROPHILIC BACTERIUM; BETA-GALACTOSIDASE; PSYCHROTROPHIC BACTERIUM; ALKALINE-PHOSPHATASE; SP NOV.; HETEROLOGOUS EXPRESSION; ALCOHOL-DEHYDROGENASE; POTENTIAL APPLICATION</t>
  </si>
  <si>
    <t>Climate change and the induced environmental disturbances is one of the major threats that have a strong impact on bacterial communities in the Antarctic environment. To cope with the persistent extreme environment and inhospitable conditions, psychrophilic bacteria are thriving and displaying striking adaptive characteristics towards severe external factors including freezing temperature, sea ice, high radiation and salinity which indicates their potential in regulating climate change's environmental impacts. The review illustrates the different adaptation strategies of Antarctic microbes to changing climate factors at the structural, physiological and molecular level. Moreover, we discuss the recent developments in omics approaches to reveal polar blackbox of psychrophiles in order to gain a comprehensive picture of bacterial communities. The psychrophilic bacteria synthesize distinctive cold-adapted enzymes and molecules that have many more industrial applications than mesophilic ones in biotechnological industries. Hence, the review also emphasizes on the biotechnological potential of psychrophilic enzymes in different sectors and suggests the machine learning approach to study cold-adapted bacteria and engineering the industrially important enzymes for sustainable bioeconomy.</t>
  </si>
  <si>
    <t>[Ramasamy, Kesava Priyan] Umea Univ, Dept Ecol &amp; Environm Sci, Umea, Sweden; [Mahawar, Lovely] Slovak Univ Agr, Fac Agrobiol &amp; Food Resources, Dept Plant Physiol, Nitra, Slovakia; [Rajasabapathy, Raju] Bharathidasan Univ, Dept Marine Sci, Tiruchirappalli, Tamilnadu, India; [Rajeshwari, Kottilil] Goa Univ, Dept Zool, Taleigao, Goa, India; [Miceli, Cristina; Pucciarelli, Sandra] Univ Camerino, Sch Biosci &amp; Vet Med, Camerino, Italy</t>
  </si>
  <si>
    <t>Umea University; Slovak University of Agriculture Nitra; Bharathidasan University; Goa University; University of Camerino</t>
  </si>
  <si>
    <t>Ramasamy, KP (corresponding author), Umea Univ, Dept Ecol &amp; Environm Sci, Umea, Sweden.</t>
  </si>
  <si>
    <t>kesava.ramasamy@umu.se</t>
  </si>
  <si>
    <t>10.3389/fmicb.2023.1197797</t>
  </si>
  <si>
    <t>K5AT5</t>
  </si>
  <si>
    <t>WOS:001016571800001</t>
  </si>
  <si>
    <t>Descalzo, M; Daneri, GA; Harrington, A; Negrete, J; Negri, A; Corbalán, A; Barrera-Oro, E</t>
  </si>
  <si>
    <t>The relevance of fish in the summer diet of the Antarctic fur seal (Arctocephalus gazella) at Hope Bay, Antarctic Peninsula and Stranger Point, South Shetland Islands</t>
  </si>
  <si>
    <t>Pinnipeds; Antarctica; Trophic ecology; Commercial fishery; Notothenioidei; Myctophidae</t>
  </si>
  <si>
    <t>KING GEORGE ISLAND; ELEPHANT SEAL; SCOTIA ARC; TEMPORAL VARIABILITY; MIROUNGA-LEONINA; HARMONY-POINT; PREDATION; ABUNDANCE; WATERS; WINTER</t>
  </si>
  <si>
    <t>The fish incidence, particularly notothenioids and myctophids, in the diet of non-breeding male Arctocephalus gazella in the western Antarctic Peninsula (AP) region is widely variable according to the studied locality. We made a comparative diet analysis on 158 fecal samples collected in summer 2005 at Hope Bay (HB), AP and at Stranger Point (SP), South Shetland Islands (SSI). The frequency of occurrence of Antarctic krill Euphausia superba and fish as prey was similar at HB, whereas krill was predominant at SP. For each fish species identified based on the otoliths found, their relative importance in the diet was evaluated using the IRI index. Notothenioid fish prevailed at HB, Pleuragramma antarctica being the most important prey. Contrarily, the myctophids Gymnoscopelus nicholsi and Electrona antarctica predominated at SP. Both benthopelagic and pelagic fish species were represented at HB, while the latter were more important at SP. Demersal nototheniid species (e.g., Trematomus spp.) were scarcely represented and only at HB, which might be related to a preference of fur seals for the more abundant pelagic prey there. At SP, demersal nototheniids were not represented in the scats. The fish species consumption was higher in diversity at SP in comparison with HB but low in overlap between the two sites. We surmise that the differences found in the dietary composition of fur seals from both sites could be related to 1-different topographical and hydrological conditions associated to the study areas; 2-historical finfish fisheries, which took place during the late 1970s at the SSI, but not in the AP. Our findings are compared with studies from other localities of the AP and the Scotia Arc.</t>
  </si>
  <si>
    <t>[Descalzo, Mariana; Daneri, Gustavo A.; Negri, Agustina; Barrera-Oro, Esteban] Consejo Nacl Invest Cient &amp; Tecn CONICET, Museo Argentino Ciencias Nat Bernardino Rivadavia, Av Angel Gallardo 470, Buenos Aires, Argentina; [Negrete, Javier; Corbalan, Aldo] Inst Antart Argentino, Dept Biol Predadores Tope, Av 25 Mayo 1143, Buenos Aires, DF, Argentina; [Harrington, Ana] Univ Buenos Aires, Consejo Nacl Invest Cient &amp; Tecn CONICET, Inst Invest Prod Anim INPA, Av Chorroarin 280, Buenos Aires, Argentina; [Negrete, Javier] Univ Nacl La Plata, Fac Ciencias Nat &amp; Museo, Casco Urbano B1900, RA-1900 La Plata, Argentina</t>
  </si>
  <si>
    <t>Museo Argentino de Ciencias Naturales Bernardino Rivadavia (MACN); Consejo Nacional de Investigaciones Cientificas y Tecnicas (CONICET); Instituto Antartico Argentino; University of Buenos Aires; Consejo Nacional de Investigaciones Cientificas y Tecnicas (CONICET); National University of La Plata; Museo La Plata</t>
  </si>
  <si>
    <t>Daneri, Gustavo/0000-0003-0366-5828; Negrete, Javier/0000-0001-6853-8307; Negri, Agustina/0000-0002-8694-5296</t>
  </si>
  <si>
    <t>Direccion Nacional del Antartico [PICTA 2010-01]; Agencia Nacional de Promocion Cientifica y Tecnologica [PICT 2018:03310]</t>
  </si>
  <si>
    <t>Direccion Nacional del Antartico; Agencia Nacional de Promocion Cientifica y Tecnologica(ANPCyTSpanish Government)</t>
  </si>
  <si>
    <t>This work was funded by Direccion Nacional del Antartico (PICTA 2010-01) and Agencia Nacional de Promocion Cientifica y Tecnologica (PICT 2018:03310), Argentina. The permits for this work were granted by the Direccion Nacional del Antartico (Environmental Office). We thank Dr. Enrique Marschoff for his advice on statistical procedures.</t>
  </si>
  <si>
    <t>10.1007/s00300-023-03159-z</t>
  </si>
  <si>
    <t>WOS:001009181800001</t>
  </si>
  <si>
    <t>Tan, SW; Thurnherr, AM</t>
  </si>
  <si>
    <t>Tan, Shuwen; Thurnherr, Andreas M.</t>
  </si>
  <si>
    <t>On the Global Decrease in the Deep and Abyssal Density Stratification Along the Spreading Pathways of Antarctic Bottom Water Since the 1990s</t>
  </si>
  <si>
    <t>deep ocean; decadal change; ocean stratification</t>
  </si>
  <si>
    <t>SEA-LEVEL RISE; SOUTHERN-OCEAN; FLOW PATTERNS; ATLANTIC; CIRCULATION; HEAT; DISSIPATION</t>
  </si>
  <si>
    <t>The density stratification in the ocean is directly related to the diapycnal mixing, which drives the abyssal cell of the Meridional Overturning Circulation (MOC). It is important to understand how stratification has been changing in the world's deep and abyssal oceans under climate change. Using repeat hydrographic data obtained since the 1990s, we find a decreasing stratification associated with changes in the source Antarctica Bottom Water (AABW) properties in its formation basins as well as in basins along its dispersal pathways. Averaged south of 60 degrees S, the squared buoyancy frequency N-2 shows a negative trend of -6% per decade in waters deeper than 4,000 m. The observed decadal reduction in stratification is associated with large spatial variability, especially in the Southern Ocean basins with multiple AABW sources. Additionally, there are also significant differences between neighboring basins that are related to the blocking effect of topography.</t>
  </si>
  <si>
    <t>[Tan, Shuwen; Thurnherr, Andreas M.] Columbia Univ, Lamont Doherty Earth Observ, Palisades, NY 10964 USA</t>
  </si>
  <si>
    <t>Columbia University</t>
  </si>
  <si>
    <t>Tan, SW (corresponding author), Columbia Univ, Lamont Doherty Earth Observ, Palisades, NY 10964 USA.</t>
  </si>
  <si>
    <t>shuwent@ldeo.columbia.edu</t>
  </si>
  <si>
    <t>Tan, Shuwen/0000-0002-4598-3472</t>
  </si>
  <si>
    <t>National Science Foundation [OCE-1437015, OCE-2023545]; U.S. GO-SHIP Postdoctoral Fellowship by LDEO institutional funding</t>
  </si>
  <si>
    <t>National Science Foundation(National Science Foundation (NSF)); U.S. GO-SHIP Postdoctoral Fellowship by LDEO institutional funding</t>
  </si>
  <si>
    <t>This work was supported by the National Science Foundation under Grants U.S. GO-SHIP NSF OCE-1437015 and OCE-2023545. S. Tan acknowledges the support of the U.S. GO-SHIP Postdoctoral Fellowship augmented by LDEO institutional funding. The authors acknowledge the long-term efforts of the project PIs, cruise participants, ship officers, and crew members who helped collect, calibrate, and process the data. We thank the two anonymous reviewers for their constructive comments and suggestions.</t>
  </si>
  <si>
    <t>e2022GL102422</t>
  </si>
  <si>
    <t>10.1029/2022GL102422</t>
  </si>
  <si>
    <t>I1ZF2</t>
  </si>
  <si>
    <t>WOS:001000829500001</t>
  </si>
  <si>
    <t>Yang, LW; Nikurashin, M; Hogg, AM; Sloyan, BM</t>
  </si>
  <si>
    <t>Yang, Luwei; Nikurashin, Maxim; Hogg, Andrew McC.; Sloyan, Bernadette M.</t>
  </si>
  <si>
    <t>Lee Waves Break Eddy Saturation of the Antarctic Circumpolar Current</t>
  </si>
  <si>
    <t>lee waves; Antarctic Circumpolar Current; sensitivity to wind forcing</t>
  </si>
  <si>
    <t>SOUTHERN-OCEAN; OVERTURNING CIRCULATION; MESOSCALE EDDIES; INTERNAL WAVES; DRIVEN; SENSITIVITY; ENERGY; IMPACT; DISSIPATION; STATE</t>
  </si>
  <si>
    <t>Eddy-resolving ocean models suggest that the transport of the Antarctic Circumpolar Current (ACC) may be insensitive to increasing wind. This insensitivity is due to eddies that flatten the isopycnals and compensate for their wind-driven steepening. However, the eddy-resolving models do not accurately represent the eddy dissipation processes that occur at scales smaller than the model resolution, including lee wave generation at rough topography. Using a lee wave parameterization in an idealized model of the Southern Ocean, we show that the ACC transport becomes more sensitive to wind when the lee wave drag is included. The sensitivity arises from the dependence of the lee wave drag on the bottom stratification. When the bottom stratification increases in response to wind, it increases the lee wave generation, and hence the eddy dissipation, at rough topography. As a result, the ACC shear (baroclinic transport) increases to drive stronger eddy generation to compensate.</t>
  </si>
  <si>
    <t>[Yang, Luwei; Nikurashin, Maxim] Univ Tasmania, Inst Marine &amp; Antarctic Studies, Hobart, Tas, Australia; [Yang, Luwei] Univ Tasmania, ARC Ctr Excellence Climate Syst Sci, Hobart, Tas, Australia; [Yang, Luwei] Univ Calif Los Angeles, Dept Atmospher &amp; Ocean Sci, Los Angeles, CA USA; [Nikurashin, Maxim] Univ Tasmania, ARC Ctr Excellence Climate Extremes, Hobart, Tas, Australia; [Nikurashin, Maxim] Australian Antarctic Program Partnership, Hobart, Tas, Australia; [Nikurashin, Maxim] Australian Ctr Excellence Antarctic Sci, Hobart, Tas, Australia; [Hogg, Andrew McC.] Australian Natl Univ, Res Sch Earth Sci, Canberra, ACT, Australia; [Hogg, Andrew McC.] Australian Natl Univ, ARC Ctr Excellence Climate Extremes, Canberra, ACT, Australia; [Sloyan, Bernadette M.] CSIRO, Environm, Hobart, Tas, Australia; [Sloyan, Bernadette M.] Ctr Southern Hemisphere Oceans Res, Hobart, Tas, Australia</t>
  </si>
  <si>
    <t>University of Tasmania; University of Tasmania; ARC Centre of Excellence for Climate System Science; University of California System; University of California Los Angeles; University of Tasmania; Australian National University; Australian National University; Commonwealth Scientific &amp; Industrial Research Organisation (CSIRO)</t>
  </si>
  <si>
    <t>Sloyan, BM (corresponding author), CSIRO, Environm, Hobart, Tas, Australia.;Sloyan, BM (corresponding author), Ctr Southern Hemisphere Oceans Res, Hobart, Tas, Australia.</t>
  </si>
  <si>
    <t>Bernadette.Sloyan@csiro.au</t>
  </si>
  <si>
    <t>Hogg, Andy McC./A-7553-2011; Sloyan, Bernadette/N-8989-2014</t>
  </si>
  <si>
    <t>Hogg, Andy McC./0000-0001-5898-7635; Sloyan, Bernadette/0000-0003-0250-0167; Nikurashin, Maxim/0000-0002-5714-8343</t>
  </si>
  <si>
    <t>Australian Government; Australian Research Council (ARC) Discovery Project [DP170102162]; CSIRO and Center for Southern Hemisphere Oceans Research</t>
  </si>
  <si>
    <t>Australian Government(Australian Government); Australian Research Council (ARC) Discovery Project(Australian Research Council); CSIRO and Center for Southern Hemisphere Oceans Research</t>
  </si>
  <si>
    <t>This research was undertaken on the NCI National Facility in Canberra, Australia, which is supported by the Australian Government. L.Y. was supported by the joint CSIRO-UTAS QMS program. M.N. was supported by the Australian Research Council (ARC) Discovery Project (DP170102162). B.M.S. was jointly funded through CSIRO and Center for Southern Hemisphere Oceans Research. The authors thank Angus Gibson for his help on MOM6-related issues during the implementation of lee-wave parameterization.</t>
  </si>
  <si>
    <t>e2023GL103866</t>
  </si>
  <si>
    <t>10.1029/2023GL103866</t>
  </si>
  <si>
    <t>H6ZF0</t>
  </si>
  <si>
    <t>WOS:000997412700001</t>
  </si>
  <si>
    <t>Trinh, R; Ducklow, HW; Steinberg, DK; Fraser, WR</t>
  </si>
  <si>
    <t>Trinh, Rebecca; Ducklow, Hugh W.; Steinberg, Deborah K.; Fraser, William R.</t>
  </si>
  <si>
    <t>Krill body size drives particulate organic carbon export in West Antarctica</t>
  </si>
  <si>
    <t>EUPHAUSIA-SUPERBA; SOUTHERN-OCEAN; FECAL PELLETS; TIME-SERIES; INTERANNUAL VARIABILITY; ATMOSPHERIC CO2; PARTICLE FLUXES; CLIMATE-CHANGE; VERTICAL FLUX; ICE-ZONE</t>
  </si>
  <si>
    <t>The export of carbon from the ocean surface and storage in the ocean interior is important in the modulation of global climate(1-4). The West Antarctic Peninsula experiences some of the largest summer particulate organic carbon (POC) export rates, and one of the fastest warming rates, in the world(5,6). To understand how warming may alter carbon storage, it is necessary to first determine the patterns and ecological drivers of POC export(7,8). Here we show that Antarctic krill (Euphausia superba) body size and life-history cycle, as opposed to their overall biomass or regional environmental factors, exert the dominant control on the POC flux. We measured POC fluxes over 21 years, the longest record in the Southern Ocean, and found a significant 5-year periodicity in the annual POC flux, which oscillated in synchrony with krill body size, peaking when the krill population was composed predominately of large individuals. Krill body size alters the POC flux through the production and export of size-varying faecal pellets(9), which dominate the total flux. Decreases in winter sea ice(10), an essential habitat for krill, are causing shifts in the krill population(11), which may alter these export patterns of faecal pellets, leading to changes in ocean carbon storage.</t>
  </si>
  <si>
    <t>[Trinh, Rebecca; Ducklow, Hugh W.] Columbia Univ, Dept Earth &amp; Environm Sci, New York, NY 10027 USA; [Trinh, Rebecca; Ducklow, Hugh W.] Columbia Univ, Lamont Doherty Earth Observ, Palisades, NY 10964 USA; [Steinberg, Deborah K.] William &amp; Mary, Virginia Inst Marine Sci, Gloucester Point, VA USA; [Fraser, William R.] Polar Oceans Res Grp, Sheridan, MT USA</t>
  </si>
  <si>
    <t>Columbia University; Columbia University; William &amp; Mary; Virginia Institute of Marine Science</t>
  </si>
  <si>
    <t>Trinh, R (corresponding author), Columbia Univ, Dept Earth &amp; Environm Sci, New York, NY 10027 USA.;Trinh, R (corresponding author), Columbia Univ, Lamont Doherty Earth Observ, Palisades, NY 10964 USA.</t>
  </si>
  <si>
    <t>rtrinh@ldeo.columbia.edu</t>
  </si>
  <si>
    <t>Trinh, Rebecca/IVH-2474-2023</t>
  </si>
  <si>
    <t>Trinh, Rebecca/0000-0003-4966-8928; Steinberg, Deborah K./0000-0001-9884-4655</t>
  </si>
  <si>
    <t>NSF [OPP 9011927, 9632763, 0217282 2026045, 0823101, 1440435]; NSF Graduate Research Fellowship Program; Department of Earth and Environmental Sciences at Columbia University; Detroit Zoological Society; NSF Office of Polar Programs [ANT-1745018]</t>
  </si>
  <si>
    <t>NSF(National Science Foundation (NSF)); NSF Graduate Research Fellowship Program(National Science Foundation (NSF)); Department of Earth and Environmental Sciences at Columbia University; Detroit Zoological Society; NSF Office of Polar Programs(National Science Foundation (NSF))</t>
  </si>
  <si>
    <t>This research was supported by NSF grants OPP 9011927, 9632763, 0217282 2026045, 0823101, and 1440435 for the Palmer Long-Term Ecological Research (PAL-LTER) project. R.T. thanks the NSF Graduate Research Fellowship Program, and the Department of Earth and Environmental Sciences at Columbia University for support. W.R.F. acknowledges support from the Detroit Zoological Society and NSF Office of Polar Programs (ANT-1745018). We are grateful to the officers and crews of the MV Polar Duke and ARSV Laurence M. Gould, and the science and logistics support on the PAL-LTER research cruises. This work would not be possible without the PAL-LTER field teams who aided in data collection. We thank D. Karl (University of Hawaii), who started the sediment-trap time series in 1992; T. Houlihan (1992-1997) and C. Carrillo (1998-2002) who supervised University of Hawaii sediment-trap deployments; and N. Shelton (2014-2019) for management efforts, deployment and recovery of Lamont-Doherty Earth Observatory sediment traps. U. Magaard (1992-2002) and H. Quinby (2003-2006) supervised sample analyses at University of Hawaii and VIMS, respectively. We thank J. Cope, M. Gleiber and J. Conroy (Virginia Institute of Marine Science) who compiled and supplied krill data for this analysis; R. Ross and L. Quetin for PAL-LTER krill collection and data before 2009; and PAL-LTER colleagues for discussions.</t>
  </si>
  <si>
    <t>JUN 15</t>
  </si>
  <si>
    <t>10.1038/s41586-023-06041-4</t>
  </si>
  <si>
    <t>Q0MV9</t>
  </si>
  <si>
    <t>WOS:001054550600004</t>
  </si>
  <si>
    <t>Cruz-Chamorro, I; Santos-Sánchez, G; Bollati, C; Bartolomei, M; Capriotti, AL; Cerrato, A; Laganà, A; Pedroche, J; Millán, F; Millán-Linares, MD; Arnoldi, A; Carrillo-Vico, A; Lammi, C</t>
  </si>
  <si>
    <t>Cruz-Chamorro, Ivan; Santos-Sanchez, Guillermo; Bollati, Carlotta; Bartolomei, Martina; Capriotti, Anna Laura; Cerrato, Andrea; Lagana, Aldo; Pedroche, Justo; Millan, Francisco; Millan-Linares, Maria del Carmen; Arnoldi, Anna; Carrillo-Vico, Antonio; Lammi, Carmen</t>
  </si>
  <si>
    <t>Chemical and biological characterization of the DPP-IV inhibitory activity exerted by lupin (Lupinus angustifolius) peptides: From the bench to the bedside investigation</t>
  </si>
  <si>
    <t>Bioactive peptides; Diabetes; DPP-IV; Food clinical trial; Glycemia; Lupin peptides</t>
  </si>
  <si>
    <t>PERFORMANCE LIQUID-CHROMATOGRAPHY; EXPERIMENTAL VALIDATION; ANTARCTIC KRILL; DIPEPTIDYL; PROTEIN; IDENTIFICATION; EXPRESSION; CACO-2; ENZYME</t>
  </si>
  <si>
    <t>Dipeptidyl peptidase IV (DPP-IV) is considered a key target for the diabetes treatment, since it is involved in glucose metabolism. Although lupin protein consumption shown hypoglycemic activity, there is no evidence of its effect on DPP-IV activity. This study demonstrates that a lupin protein hydrolysate (LPH), obtained by hydrolysis with Alcalase, exerts anti-diabetic activity by modulating DPP-IV activity. In fact, LPH decreased DPP-IV activity in a cell-free and cell-based system. Contextually, Caco-2 cells were employed to identify LPH peptides that can be intestinally trans-epithelial transported. Notably, 141 different intestinally transported LPH sequences were identified using nano- and ultra-chromatography coupled to mass spectrometry. Hence, it was demonstrated that LPH modulated the glycemic response and the glucose concentration in mice, by inhibiting the DPP-IV. Finally, a beverage containing 1 g of LPH decreased DPP-IV activity and glucose levels in humans.</t>
  </si>
  <si>
    <t>[Cruz-Chamorro, Ivan; Santos-Sanchez, Guillermo; Bollati, Carlotta; Bartolomei, Martina; Arnoldi, Anna; Lammi, Carmen] Univ Milan, Dept Pharmaceut Sci, I-20133 Milan, Italy; [Cruz-Chamorro, Ivan; Santos-Sanchez, Guillermo; Carrillo-Vico, Antonio] Univ Seville, Fac Med, Dept Bioquim Med &amp; Biol Mol &amp; Inmunol, Seville 41009, Spain; [Cruz-Chamorro, Ivan; Santos-Sanchez, Guillermo; Carrillo-Vico, Antonio] Univ Seville, Hosp Univ Virgen Rocio, Inst Biomed Sevilla, CSIC,IBiS, Seville 41013, Spain; [Lagana, Aldo] Sapienza Univ Roma, Dipartimento Chim, Piazzale Aldo Moro 5, I-00185 Rome, Italy; [Pedroche, Justo; Millan, Francisco; Millan-Linares, Maria del Carmen] CSIC, Ctra, Inst Grasa, Dept Food &amp; Hlth, Utrera Km 1, Seville 41013, Spain</t>
  </si>
  <si>
    <t>University of Milan; University of Sevilla; Virgen del Rocio University Hospital; Consejo Superior de Investigaciones Cientificas (CSIC); University of Sevilla; CSIC-JA-USE - Instituto de Biomedicina de Sevilla (IBIS); Sapienza University Rome; Consejo Superior de Investigaciones Cientificas (CSIC); CSIC - Instituto de la Grasa (IG)</t>
  </si>
  <si>
    <t>Lammi, C (corresponding author), Univ Milan, Dept Pharmaceut Sci, I-20133 Milan, Italy.;Carrillo-Vico, A (corresponding author), Univ Seville, Fac Med, Dept Bioquim Med &amp; Biol Mol &amp; Inmunol, Seville 41009, Spain.</t>
  </si>
  <si>
    <t>vico@us.es; carmen.lammi@unimi.it</t>
  </si>
  <si>
    <t>Cruz Chamorro, Ivan/H-7467-2015; Carrillo Vico, Antonio/K-5265-2014</t>
  </si>
  <si>
    <t>Cruz Chamorro, Ivan/0000-0002-6547-8078; Carrillo Vico, Antonio/0000-0002-8516-0999; Bartolomei, Martina/0000-0002-3851-3392; Santos-Sanchez, Guillermo/0000-0001-5790-2302; BOLLATI, CARLOTTA/0000-0002-5698-1325</t>
  </si>
  <si>
    <t>Ministerio de Economia y Competitividad, Gobierno de Espana [AGL2012-40247-C02-01, AGL2012-40247-C02-02]; Consejeria de Salud [PC-0111-2016-0111]; PAIDI Program from Junta de Andalucia [CTS160]; Ministerio de Educacion, Cultura y Deporte, Gobierno de Espana [FPU13/01210, DOC_00587/2020]; Universidad de Sevilla [FPU16/02339]; Consejeria de Transformacion Economica, Industria, Conocimiento y Universidades, Junta de Andalucia [VIPPIT-2020-II.4]; Erasmus+ Mobility Programme</t>
  </si>
  <si>
    <t>Ministerio de Economia y Competitividad, Gobierno de Espana(Spanish Government); Consejeria de Salud; PAIDI Program from Junta de Andalucia(Junta de Andalucia); Ministerio de Educacion, Cultura y Deporte, Gobierno de Espana(Spanish Government); Universidad de Sevilla; Consejeria de Transformacion Economica, Industria, Conocimiento y Universidades, Junta de Andalucia(Junta de Andalucia); Erasmus+ Mobility Programme</t>
  </si>
  <si>
    <t>Ministerio de Economia y Competitividad, Gobierno de Espana [AGL2012-40247-C02-01 and AGL2012-40247-C02-02]. Consejeria de Salud [PC-0111-2016-0111], and the PAIDI Program [CTS160] from Junta de Andalucia.I.C.-C. was supported by Ministerio de Educacion, Cultura y Deporte, Gobierno de Espana [FPU13/01210], by the Universidad de Sevilla [VIPPIT-2020-II.4], and by a postdoctoral fellowship from the Consejeria de Transformacion Economica, Industria, Conocimiento y Universidades, Junta de Andalucia [DOC_00587/2020]. G.S.-S. was supported by Ministerio de Educacion, Cultura y Deporte, Gobierno de Espana [FPU16/02339], and by an Erasmus+ Mobility Programme.</t>
  </si>
  <si>
    <t>10.1016/j.foodchem.2023.136458</t>
  </si>
  <si>
    <t>L8CN5</t>
  </si>
  <si>
    <t>WOS:001025485700001</t>
  </si>
  <si>
    <t>Rowlands, E; Galloway, T; Cole, M; Lewis, C; Hacker, C; Peck, VL; Thorpe, S; Blackbird, S; Wolff, GA; Manno, C</t>
  </si>
  <si>
    <t>Rowlands, Emily; Galloway, Tamara; Cole, Matthew; Lewis, Ceri; Hacker, Christian; Peck, Victoria L.; Thorpe, Sally; Blackbird, Sabena; Wolff, George A.; Manno, Clara</t>
  </si>
  <si>
    <t>Scoping intergenerational effects of nanoplastic on the lipid reserves of Antarctic krill embryos</t>
  </si>
  <si>
    <t>AQUATIC TOXICOLOGY</t>
  </si>
  <si>
    <t>Plastic; Nanoparticle; Lipid reserves; Zooplankton; Eggs; Southern Ocean</t>
  </si>
  <si>
    <t>EUPHAUSIA-SUPERBA; POLYSTYRENE NANOPARTICLES; SOUTHERN-OCEAN; MICROPLASTICS; TOXICITY; FATE; SEA; ZOOPLANKTON; RECRUITMENT; FECUNDITY</t>
  </si>
  <si>
    <t>Antarctic krill (Euphausia superba) plays a central role in the Antarctic marine food web and biogeochemical cycles and has been identified as a species that is potentially vulnerable to plastic pollution. While plastic pollution has been acknowledged as a potential threat to Southern Ocean marine ecosystems, the effect of nanoplastics (&lt;1000 nm) is poorly understood. Deleterious impacts of nanoplastic are predicted to be higher than that of larger plastics, due to their small size which enables their permeation of cell membranes and potentially provokes toxicity. Here, we investigated the intergenerational impact of exposing Antarctic krill to nanoplastics. We focused on whether embryonic energy resources were affected when gravid female krill were exposed to nanoplastic by determining lipid and fatty acid compositions of embryos produced in incubation. Embryos were collected from females who had spawned under three different exposure treatments (control, nanoplastic, nanoplastic + algae). Embryos collected from each maternal treatment were incubated for a further 6 days under three nanoplastic exposure treatments (control, low concentration nanoplastic, and high concentration nanoplastic). Nanoplastic additions to seawater did not impact lipid metabolism (total lipid or fatty acid composition) across the maternal or direct embryo treatments, and no interactive effects were observed. The provision of a food source during maternal exposure to nanoplastic had a positive effect on key fatty acids identified as important during embryogenesis, including higher total polyunsaturated fatty acids (PUFA), eicosapentaenoic acid (EPA) and docosahexaenoic acid (DHA) when compared to the control and nanoplastic treatments. Whilst the short exposure time was ample for lipids from maternally digested algae to be incorporated into embryos, we discuss why the nanoplastic-fatty acid relationship may be more complex. Our study is the first to scope intergeneration effects of nanoplastic on Antarctic krill lipid and fatty acid reserves. From this, we suggest directions for future research including long term exposures, multi-stressor scenarios and exploring other critical energy reserves such as proteins.</t>
  </si>
  <si>
    <t>[Rowlands, Emily; Peck, Victoria L.; Thorpe, Sally; Manno, Clara] British Antarctic Survey, High Cross, Madingley Rd, Cambridge CB3 0ET, England; [Galloway, Tamara; Lewis, Ceri; Hacker, Christian] Univ Exeter, Fac Hlth &amp; Life Sci, Biosci, Stocker Rd, Exeter EX4 4QD, England; [Cole, Matthew] Plymouth Marine Lab, Prospect Pl, Plymouth PL1 3DH, England; [Blackbird, Sabena; Wolff, George A.] Univ Liverpool, Dept Earth Ocean &amp; Ecol Sci, Jane Herdman Bldg,4 Brownlow St, Liverpool L69 3GP, England</t>
  </si>
  <si>
    <t>UK Research &amp; Innovation (UKRI); Natural Environment Research Council (NERC); NERC British Antarctic Survey; University of Exeter; Plymouth Marine Laboratory; University of Liverpool</t>
  </si>
  <si>
    <t>Rowlands, E; Manno, C (corresponding author), British Antarctic Survey, High Cross, Madingley Rd, Cambridge CB3 0ET, England.</t>
  </si>
  <si>
    <t>emirow@bas.ac.uk; Clanno@bas.ac.uk</t>
  </si>
  <si>
    <t>Wolff, George A/B-7982-2018</t>
  </si>
  <si>
    <t>Cole, Matthew/0000-0001-5910-1189; Blackbird, Sabena/0000-0003-0942-6836</t>
  </si>
  <si>
    <t>NERC GW4+ scholarship [NE/L002434/1]; UKRI-FLF project CUPIDO</t>
  </si>
  <si>
    <t>NERC GW4+ scholarship; UKRI-FLF project CUPIDO</t>
  </si>
  <si>
    <t>Funding ER was funded by a NERC GW4+ scholarship NE/L002434/1. CM was supported by UKRI-FLF project CUPIDO. SET was supported by NC-ALI funding to the Ecosystems team at the British Antarctic Survey.</t>
  </si>
  <si>
    <t>0166-445X</t>
  </si>
  <si>
    <t>1879-1514</t>
  </si>
  <si>
    <t>AQUAT TOXICOL</t>
  </si>
  <si>
    <t>Aquat. Toxicol.</t>
  </si>
  <si>
    <t>10.1016/j.aquatox.2023.106591</t>
  </si>
  <si>
    <t>Marine &amp; Freshwater Biology; Toxicology</t>
  </si>
  <si>
    <t>L0TB7</t>
  </si>
  <si>
    <t>WOS:001020454900001</t>
  </si>
  <si>
    <t>Otosaka, IN; Horwath, M; Mottram, R; Nowicki, S</t>
  </si>
  <si>
    <t>Otosaka, Ines N.; Horwath, Martin; Mottram, Ruth; Nowicki, Sophie</t>
  </si>
  <si>
    <t>Mass Balances of the Antarctic and Greenland Ice Sheets Monitored from Space</t>
  </si>
  <si>
    <t>Ice sheets; Sea level; Earth Observations; Greenland; Antarctica</t>
  </si>
  <si>
    <t>SEA-LEVEL RISE; MODEL INTERCOMPARISON PROJECT; BASAL MELT RATES; PINE ISLAND; ELEVATION CHANGE; RADAR ALTIMETRY; WEST ANTARCTICA; GRAVITY OBSERVATIONS; BRIEF COMMUNICATION; THWAITES GLACIER</t>
  </si>
  <si>
    <t>Satellite data have revealed that the Greenland and Antarctic Ice Sheets are changing rapidly due to warming air and ocean temperatures. Crucially, Earth Observations can now be used to measure ice sheet mass balance at the continental scale, which can help reduce uncertainties in the ice sheets' past, present, and future contributions to global mean sea level. The launch of satellite missions dedicated to the polar regions led to great progress towards a better assessment of the state of the ice sheets, which, in combination with ice sheet models, have furthered our understanding of the physical processes leading to changes in the ice sheets' properties. There is now a three-decade-long satellite record of Antarctica and Greenland mass changes, and new satellite missions are planned to both continue this record and further develop our observational capabilities, which is critical as the ice sheets remain the most uncertain component of future sea-level rise. In this paper, we review the mechanisms leading to ice sheets' mass changes and describe the state of the art of the satellite techniques used to monitor Greenland's and Antarctica's mass balance, providing an overview of the contributions of Earth Observations to our knowledge of these vast and remote regions.</t>
  </si>
  <si>
    <t>[Otosaka, Ines N.] Northumbria Univ, Ctr Polar Observat &amp; Modelling, Dept Geog &amp; Environm Sci, Newcastle Upon Tyne NE1 8ST, England; [Horwath, Martin] Tech Univ Dresden, Inst Planetare Geodasie, D-01062 Dresden, Germany; [Mottram, Ruth] Danish Meteorol Inst, Res &amp; Dev Dept, DK-2100 Copenhagen O, Denmark; [Nowicki, Sophie] SUNY Buffalo, Dept Geol, Buffalo, NY 14260 USA; [Nowicki, Sophie] SUNY Buffalo, RENEW Inst, Buffalo, NY 14260 USA</t>
  </si>
  <si>
    <t>Northumbria University; Technische Universitat Dresden; Danish Meteorological Institute DMI; State University of New York (SUNY) System; State University of New York (SUNY) Buffalo; State University of New York (SUNY) System; State University of New York (SUNY) Buffalo</t>
  </si>
  <si>
    <t>Otosaka, IN (corresponding author), Northumbria Univ, Ctr Polar Observat &amp; Modelling, Dept Geog &amp; Environm Sci, Newcastle Upon Tyne NE1 8ST, England.</t>
  </si>
  <si>
    <t>ines.otosaka@northumbria.ac.uk</t>
  </si>
  <si>
    <t>UK Natural Environment Research Council Centre for Polar Observation and Modelling [cpom300001]; NASA Cryosphere; NASA Sea Level Change Programs</t>
  </si>
  <si>
    <t>UK Natural Environment Research Council Centre for Polar Observation and Modelling; NASA Cryosphere; NASA Sea Level Change Programs</t>
  </si>
  <si>
    <t>IO acknowledges support from the UK Natural Environment Research Council Centre for Polar Observation and Modelling (Grant No. cpom300001). SN acknowledges funding support from the NASA Cryosphere and NASA Sea Level Change Programs. The presented data products on gravimetry-based mass change estimates were developed in the framework of the ESA Climate Change Initiative (CCI) projects Antarctic Ice Sheet CCI and CCI+ (Contract Numbers 4000112227/15/I-NB, 4000126813/19/I-NB) and Greenland Ice Sheet CCI and CCI+ (Contract Numbers 4000112228/15/I-NB, 4000126523/19/I-NB).</t>
  </si>
  <si>
    <t>10.1007/s10712-023-09795-8</t>
  </si>
  <si>
    <t>S3FH5</t>
  </si>
  <si>
    <t>WOS:001008432800001</t>
  </si>
  <si>
    <t>Hudson, TS; Kufner, SK; Brisbourne, AM; Kendall, JM; Smith, AM; Alley, RB; Arthern, RJ; Murray, T</t>
  </si>
  <si>
    <t>Hudson, T. S.; Kufner, S. K.; Brisbourne, A. M.; Kendall, J. M.; Smith, A. M.; Alley, R. B.; Arthern, R. J.; Murray, T.</t>
  </si>
  <si>
    <t>Highly variable friction and slip observed at Antarctic ice stream bed</t>
  </si>
  <si>
    <t>SEA-LEVEL RISE; SUBGLACIAL WATER; WEST ANTARCTICA; DEPENDENT FRICTION; MICRO-EARTHQUAKES; BASAL ICEQUAKES; GLACIER; BENEATH; STABILITY; MECHANICS</t>
  </si>
  <si>
    <t>The slip of glaciers over the underlying bed is the dominant mechanism governing the migration of ice from land into the oceans, with accelerating slip contributing to sea-level rise. Yet glacier slip remains poorly understood, and observational constraints are sparse. Here we use passive seismic observations to measure both frictional shear stress and slip at the bed of the Rutford Ice Stream in Antarctica using 100,000 repetitive stick-slip icequakes. We find that basal shear stresses and slip rates vary from 10(4) to 10(7) Pa and 0.2 to 1.5 m per day, respectively. Friction and slip vary temporally over the order of hours, and spatially over 10s of metres, due to corresponding variations in effective normal stress and ice-bed interface material. Our findings suggest that the bed is substantially more complex than currently assumed in ice stream models and that basal effective normal stresses may be significantly higher than previously thought. Our observations can provide constraints on the basal boundary conditions for ice-dynamics models. This is critical for constraining the primary contribution of ice mass loss in Antarctica and hence for reducing uncertainty in sea-level rise projections.</t>
  </si>
  <si>
    <t>[Hudson, T. S.; Kendall, J. M.] Univ Oxford, Dept Earth Sci, Oxford, England; [Kufner, S. K.] Karlsruhe Inst Technol, Inst Geophys, Karlsruhe, Germany; [Brisbourne, A. M.; Smith, A. M.; Arthern, R. J.] UKRI British Antarct Survey, Cambridge, England; [Alley, R. B.] Penn State Univ, Dept Geosci, University Pk, PA USA; [Alley, R. B.] Penn State Univ, Earth &amp; Environm Syst Inst, University Pk, PA USA; [Murray, T.] Swansea Univ, Dept Geog, Swansea, W Glam, Wales</t>
  </si>
  <si>
    <t>University of Oxford; Helmholtz Association; Karlsruhe Institute of Technology; Pennsylvania Commonwealth System of Higher Education (PCSHE); Pennsylvania State University; Pennsylvania State University - University Park; Pennsylvania Commonwealth System of Higher Education (PCSHE); Pennsylvania State University; Pennsylvania State University - University Park; Swansea University</t>
  </si>
  <si>
    <t>Hudson, TS (corresponding author), Univ Oxford, Dept Earth Sci, Oxford, England.</t>
  </si>
  <si>
    <t>thomas.hudson@earth.ox.ac.uk</t>
  </si>
  <si>
    <t>Kendall, Michael/D-5973-2011; Hudson, Thomas/IQS-9833-2023; Brisbourne, Alex/E-6198-2013</t>
  </si>
  <si>
    <t>Kendall, Michael/0000-0002-1486-3945; Hudson, Thomas/0000-0003-2944-883X; Alley, Richard/0000-0003-1833-0115; SMITH, ANDREW/0000-0001-8577-482X; Kufner, Sofia-Katerina/0000-0002-9687-5455; Brisbourne, Alex/0000-0002-9887-7120; Murray, Tavi/0000-0001-6714-6512</t>
  </si>
  <si>
    <t>Natural Environment Research Council [NE/G014159/1, NE/G013187/1]; National Science Foundation's Seismological Facilities for the Advancement of Geoscience (SAGE) award [EAR-1851048]</t>
  </si>
  <si>
    <t>Natural Environment Research Council(UK Research &amp; Innovation (UKRI)Natural Environment Research Council (NERC)); National Science Foundation's Seismological Facilities for the Advancement of Geoscience (SAGE) award</t>
  </si>
  <si>
    <t>We thank Natural Environment Research Council (NERC) British Antarctic Survey (BAS) for logistics and field support and specifically the Basal Conditions on Rutford Ice Stream: Bed Access, Monitoring and Ice Sheet History (BEAMISH) field team (2018/2019). We also thank J. Hawthorne and R. Katz for valuable discussions and feedback. We also thank Brent Minchew, Bradley Lipovsky, Dominik Graff and the other anonymous reviewer(s) for their valuable comments that improved the manuscript. T.S.H., A.M.B., A.M.S. and T.M. were funded by Natural Environment Research Council grants NE/G014159/1 and NE/G013187/1. Seismic instruments were provided by NERC SEIS-UK (loans 1017 and 1111), by BAS and by the Incorporated Research Institutions for Seismology (IRIS) through the Portable Array Seismic Studies of the Continental Lithosphere (PASSCAL) Instrument Center at New Mexico Tech. The facilities of the IRIS Consortium are supported by the National Science Foundation's Seismological Facilities for the Advancement of Geoscience (SAGE) award under cooperative support agreement EAR-1851048.</t>
  </si>
  <si>
    <t>10.1038/s41561-023-01204-4</t>
  </si>
  <si>
    <t>Green Accepted, hybrid, Green Submitted, Green Published</t>
  </si>
  <si>
    <t>WOS:001008415900001</t>
  </si>
  <si>
    <t>Botté, ES; Bennett, H; Engelberts, JP; Thomas, T; Bell, JJ; Webster, NS; Luter, HM</t>
  </si>
  <si>
    <t>Botte, Emmanuelle S.; Bennett, Holly; Engelberts, J. Pamela; Thomas, Torsten; Bell, James J.; Webster, Nicole S.; Luter, Heidi M.</t>
  </si>
  <si>
    <t>Future ocean conditions induce necrosis, microbial dysbiosis and nutrient cycling imbalance in the reef sponge Stylissa flabelliformis</t>
  </si>
  <si>
    <t>BARREL SPONGE; EXPRESSION; SYMBIOSIS; BACTERIAL; COMMUNITIES; TEMPERATURE; METABOLISM; HOLOBIONT; ENZYMES; PROTEIN</t>
  </si>
  <si>
    <t>Oceans are rapidly warming and acidifying in the context of climate change, threatening sensitive marine biota including coral reef sponges. Ocean warming (OW) and ocean acidification (OA) can impact host health and associated microbiome, but few studies have investigated these effects, which are generally studied in isolation, on a specific component of the holobiont. Here we present a comprehensive view of the consequences of simultaneous OW and OA for the tropical sponge Stylissa flabelliformis. We found no interactive effect on the host health or microbiome. Furthermore, OA (pH 7.6 versus pH 8.0) had no impact, while OW (31.5 &amp; DEG;C versus 28.5 &amp; DEG;C) caused tissue necrosis, as well as dysbiosis and shifts in microbial functions in healthy tissue of necrotic sponges. Major taxonomic shifts included a complete loss of archaea, reduced proportions of Gammaproteobacteria and elevated relative abundances of Alphaproteobacteria. OW weakened sponge-microbe interactions, with a reduced capacity for nutrient exchange and phagocytosis evasion, indicating lower representations of stable symbionts. The potential for microbially-driven nitrogen and sulphur cycling was reduced, as was amino acid metabolism. Crucially, the dysbiosis annihilated the potential for ammonia detoxification, possibly leading to accumulation of toxic ammonia, nutrient imbalance, and host tissue necrosis. Putative defence against reactive oxygen species was greater at 31.5 &amp; DEG;C, perhaps as microorganisms capable of resisting temperature-driven oxidative stress were favoured. We conclude that healthy symbiosis in S. flabelliformis is unlikely to be disrupted by future OA but will be deeply impacted by temperatures predicted for 2100 under a business-as-usual carbon emission scenario.</t>
  </si>
  <si>
    <t>[Botte, Emmanuelle S.; Thomas, Torsten] Univ New South Wales, Ctr Marine Sci &amp; Innovat, Sch Biol Earth &amp; Environm Sci, Sydney, NSW, Australia; [Botte, Emmanuelle S.; Bennett, Holly; Webster, Nicole S.; Luter, Heidi M.] Australian Inst Marine Sci, Townsville, Qld, Australia; [Bennett, Holly; Bell, James J.] Victoria Univ Wellington, Wellington, New Zealand; [Bennett, Holly] Cawthron Inst, Nelson, New Zealand; [Engelberts, J. Pamela; Webster, Nicole S.] Univ Queensland, Australian Ctr Ecogenom, Sch Chem &amp; Mol Biosci, Brisbane, Qld, Australia; [Webster, Nicole S.] Australian Antarctic Div, Hobart, Tas, Australia</t>
  </si>
  <si>
    <t>University of New South Wales Sydney; Australian Institute of Marine Science; Victoria University Wellington; Cawthron Institute; University of Queensland; Australian Antarctic Division</t>
  </si>
  <si>
    <t>Botté, ES (corresponding author), Univ New South Wales, Ctr Marine Sci &amp; Innovat, Sch Biol Earth &amp; Environm Sci, Sydney, NSW, Australia.;Botté, ES; Luter, HM (corresponding author), Australian Inst Marine Sci, Townsville, Qld, Australia.</t>
  </si>
  <si>
    <t>e.botte@unsw.edu.au; h.luter@aims.gov.au</t>
  </si>
  <si>
    <t>Engelberts, J. Pamela/AAW-5997-2021; Luter, Heidi M/E-9519-2016; Luter, Heidi/N-2139-2013</t>
  </si>
  <si>
    <t>Engelberts, J. Pamela/0000-0002-1185-3741; Botte, Emmanuelle/0000-0001-5070-5891; Luter, Heidi/0000-0001-7810-7076; Bell, James/0000-0001-9996-945X</t>
  </si>
  <si>
    <t>Australian Institute of Marine Science; Victoria University of Wellington; Royal Society of New Zealand Marsden Fund [VUW1505]</t>
  </si>
  <si>
    <t>Australian Institute of Marine Science; Victoria University of Wellington; Royal Society of New Zealand Marsden Fund(Royal Society of New ZealandMarsden Fund (NZ))</t>
  </si>
  <si>
    <t>This work was funded by the Australian Institute of Marine Science, the Victoria University of Wellington and the Royal Society of New Zealand Marsden Fund VUW1505. We thank Christine Altenrath as well as all staff involved at the National Sea Simulator, for their assistance during the experimental procedure. Thank you to Bettina Glasl for her help with Fig.&amp; nbsp;5. We are grateful to Jean-Baptiste Raina, Shan Zhang and Patrick Laffy for their support throughout the writing of this manuscript. We acknowledge the Traditional Owners of the sea Country where the sampling took place. We pay our respects to their elders, past, present and emerging and we acknowledge their continuing spiritual connection to their sea Country.</t>
  </si>
  <si>
    <t>JUN 14</t>
  </si>
  <si>
    <t>10.1038/s43705-023-00247-3</t>
  </si>
  <si>
    <t>P7CT0</t>
  </si>
  <si>
    <t>WOS:001052222300001</t>
  </si>
  <si>
    <t>Cordero, RR; Feron, S; Sepúlveda, E; Damiani, A; Jorquera, J; Rowe, PM; Carrasco, J; Rayas, JA; Llanillo, P; MacDonell, S; Seckmeyer, G</t>
  </si>
  <si>
    <t>Cordero, Raul R.; Feron, Sarah; Sepulveda, Edgardo; Damiani, Alessandro; Jorquera, Jose; Rowe, Penny M.; Carrasco, Jorge; Rayas, Juan A.; Llanillo, Pedro; MacDonell, Shelley; Seckmeyer, Gunther</t>
  </si>
  <si>
    <t>Ground-based measurements of the weather-driven sky radiance distribution in the Southern Hemisphere</t>
  </si>
  <si>
    <t>RADIATIVE-TRANSFER MODEL; SPECTRAL RADIANCE; MAX-DOAS; UV; IRRADIANCE; LUMINANCE; CALIBRATION; DIRECTIONS; IMPACT</t>
  </si>
  <si>
    <t>The angular distribution of the sky radiance determines the energy generation of solar power technologies as well as the ultraviolet (UV) doses delivered to the biosphere. The sky-diffuse radiance distribution depends on the wavelength, the solar elevation, and the atmospheric conditions. Here, we report on ground-based measurements of the all-sky radiance at three sites in the Southern Hemisphere across a transect of about 5,000 km: Santiago (33 degrees S, a mid-latitude city of 6 million inhabitants with endemic poor air quality), King George Island (62 degrees S, at the northern tip of the Antarctic Peninsula, one of the cloudiest regions on Earth), and Union Glacier (79 degrees S, a snow-covered glacier in the vast interior of Western Antarctica). The sites were strategically selected for studying the influence of urban aerosols, frequent and thick clouds, and extremely high albedo on the sky-diffuse radiance distribution. Our results show that, due to changing site-specific atmospheric conditions, the characterization of the weather-driven sky radiance distribution may require ground-based measurements.</t>
  </si>
  <si>
    <t>[Cordero, Raul R.; Feron, Sarah; Sepulveda, Edgardo; Jorquera, Jose] Univ Santiago Chile, Santiago, Chile; [Feron, Sarah] Univ Groningen, Knowledge Infrastruct, Leeuwarden, Netherlands; [Damiani, Alessandro] Natl Inst Environm Studies, Ctr Climate Change Adaptat, Tsukuba, Japan; [Rowe, Penny M.] NorthWest Res Associates, Redmond, WA USA; [Carrasco, Jorge] Univ Magallanes, Punta Arenas, Chile; [Rayas, Juan A.] Ctr Invest Opt AC, Leon, Gto, Mexico; [Llanillo, Pedro] Alfred Wegener Inst AWI, Bremerhaven, Germany; [MacDonell, Shelley] Ctr Estudios Avanzados Zonas Aridas CEAZA, La Serena, Chile; [Seckmeyer, Gunther] Leibniz Univ Hannover, Hannover, Germany</t>
  </si>
  <si>
    <t>Universidad de Santiago de Chile; University of Groningen; National Institute for Environmental Studies - Japan; NorthWest Research Associates; Universidad de Magallanes; CIO - Centro de Investigaciones en Optica A.C.; Helmholtz Association; Alfred Wegener Institute, Helmholtz Centre for Polar &amp; Marine Research; Leibniz University Hannover</t>
  </si>
  <si>
    <t>Feron, S (corresponding author), Univ Santiago Chile, Santiago, Chile.;Feron, S (corresponding author), Univ Groningen, Knowledge Infrastruct, Leeuwarden, Netherlands.</t>
  </si>
  <si>
    <t>sferon@stanford.edu</t>
  </si>
  <si>
    <t>Llanillo, Pedro J/L-5877-2015; Carrasco, Jorge/ACG-6766-2022; MacDonell, Shelley/J-2480-2016</t>
  </si>
  <si>
    <t>Carrasco, Jorge/0000-0003-2154-5483; Feron, Sarah/0000-0002-0572-5639; MacDonell, Shelley/0000-0001-9641-4547; Cordero, Raul R./0000-0001-7607-7993</t>
  </si>
  <si>
    <t>ANID [ACT210046]; INACH [RT_32-15]; USACH-DICYT [042231CC_Ayudante]</t>
  </si>
  <si>
    <t>ANID; INACH; USACH-DICYT</t>
  </si>
  <si>
    <t>R.R. Cordero acknowledges the support of ANID (ANILLO ACT210046) and INACH (RT_32-15). E. Sepulveda acknowledges the support of USACH-DICYT (042231CC_Ayudante). The funders had no role in study design, data collection and analysis, decision to publish, or preparation of the manuscript.</t>
  </si>
  <si>
    <t>e0286397</t>
  </si>
  <si>
    <t>10.1371/journal.pone.0286397</t>
  </si>
  <si>
    <t>J6JC2</t>
  </si>
  <si>
    <t>WOS:001010646600029</t>
  </si>
  <si>
    <t>Spagnesi, A; Barbaro, E; Feltracco, M; De Blasi, F; Zannoni, D; Dreossi, G; Petteni, A; Noto, H; Lodi, R; Gabrieli, J; Holzinger, R; Gambaro, A; Barbante, C</t>
  </si>
  <si>
    <t>Spagnesi, Azzurra; Barbaro, Elena; Feltracco, Matteo; De Blasi, Fabrizio; Zannoni, Daniele; Dreossi, Giuliano; Petteni, Agnese; Noto, Hanne; Lodi, Rachele; Gabrieli, Jacopo; Holzinger, Rupert; Gambaro, Andrea; Barbante, Carlo</t>
  </si>
  <si>
    <t>An upgraded CFA-FLC-MS/MS system for the semi-continuous detection of levoglucosan in ice cores</t>
  </si>
  <si>
    <t>TALANTA</t>
  </si>
  <si>
    <t>Continuous flow analysis; Fast liquid chromatography; Levoglucosan; Ice core</t>
  </si>
  <si>
    <t>CONTINUOUS-FLOW ANALYSIS; ANTARCTIC ICE; RECORDS</t>
  </si>
  <si>
    <t>A new Continuous Flow Analysis (CFA) system coupled with Fast Liquid Chromatography - tandem Mass Spectrometry (FLC-MS/MS) has been recently developed for determining organic markers in ice cores. In this work we present an upgrade of this innovative technique, optimized for the detection of levoglucosan in ice cores, a crucial tracer for reconstructing past fires. The upgrade involved a specific optimization of the chro-matographic and mass spectrometric parameters, allowing for a higher sampling resolution (down to 1 cm) and the simultaneous collection of discrete samples, for off-line analysis of water stable isotopes and additional chemical markers. The robustness and repeatability of the method has been tested by the analysis of multiple sticks of ice cut from the same shallow alpine ice core, and running the system for several hours on different days. The results show similar and comparable trends between the ice sticks. With this upgraded system, a higher sensitivity and a lower limit of detection (LOD) was achieved compared to discrete analysis of alpine samples for levoglucosan measurements. The new LOD was as low as 66 ng L-1, a net improvement over the previous LOD of 600 ng L-1.</t>
  </si>
  <si>
    <t>[Spagnesi, Azzurra; Barbaro, Elena; De Blasi, Fabrizio; Dreossi, Giuliano; Petteni, Agnese; Gabrieli, Jacopo; Gambaro, Andrea; Barbante, Carlo] CNR Inst Polar Sci ISP CNR, 155 Via Torino, I-30170 Venice, Italy; [Spagnesi, Azzurra; Feltracco, Matteo; Zannoni, Daniele; Dreossi, Giuliano; Petteni, Agnese; Lodi, Rachele; Gambaro, Andrea; Barbante, Carlo] CaFoscari Univ Venice, Dept Environm Sci Informat &amp; Stat, Venice, Italy; [Noto, Hanne; Holzinger, Rupert] Univ Utrecht, Inst Marine &amp; Atmospher Res, Dept Phys, IMAU, Utrecht, Netherlands; [Barbaro, Elena] Via Torino 155, I-30172 Venice, Italy</t>
  </si>
  <si>
    <t>Universita Ca Foscari Venezia; Utrecht University</t>
  </si>
  <si>
    <t>Barbaro, E (corresponding author), Via Torino 155, I-30172 Venice, Italy.</t>
  </si>
  <si>
    <t>elena.barbaro@cnr.it</t>
  </si>
  <si>
    <t>Lodi, Rachele/JXX-8191-2024; Holzinger, Rupert/C-9160-2009</t>
  </si>
  <si>
    <t>Lodi, Rachele/0000-0003-4315-3587; Feltracco, Matteo/0000-0003-3907-4798; Jacopo, Gabrieli/0009-0001-7005-7390; Spagnesi, Azzurra/0000-0001-8686-1052; Holzinger, Rupert/0000-0003-1902-1824; Noto, Hanne Odegaard/0000-0001-8032-0191</t>
  </si>
  <si>
    <t>Italian Ministry of University and Research (MIUR); Ice Memory: an international salvage program (FISR); European Union [955750]; Marie Curie Actions (MSCA) [955750] Funding Source: Marie Curie Actions (MSCA)</t>
  </si>
  <si>
    <t>Italian Ministry of University and Research (MIUR)(Ministry of Education, Universities and Research (MIUR)); Ice Memory: an international salvage program (FISR); European Union(European Union (EU)); Marie Curie Actions (MSCA)(Marie Curie Actions)</t>
  </si>
  <si>
    <t>&amp; nbsp;This research was funded by the Italian Ministry of University and Research (MIUR) within the framework of the project Innovative Analytical Methods to study biogenic and anthropogenic proxies in Ice Cores AMICO (PRIN 2017) and Ice Memory: an international salvage program (FISR)his project has received funding from the European Union's Horizon 2020 research and innovation programme under the Marie Sklodowska-Curie grant agreement No 955750.</t>
  </si>
  <si>
    <t>0039-9140</t>
  </si>
  <si>
    <t>1873-3573</t>
  </si>
  <si>
    <t>Talanta</t>
  </si>
  <si>
    <t>10.1016/j.talanta.2023.124799</t>
  </si>
  <si>
    <t>Chemistry, Analytical</t>
  </si>
  <si>
    <t>M1AV1</t>
  </si>
  <si>
    <t>WOS:001027552200001</t>
  </si>
  <si>
    <t>Bhadra, SR; Saraswat, R; Kumar, S; Verma, S; Naik, DK</t>
  </si>
  <si>
    <t>Bhadra, Sudhira R.; Saraswat, Rajeev; Kumar, Sanjeev; Verma, Sangeeta; Naik, Dinesh Kumar</t>
  </si>
  <si>
    <t>Mid-Pleistocene Transition altered upper water column structure in the Bay of Bengal</t>
  </si>
  <si>
    <t>Indian Ocean; Indian monsoon; Planktic foraminifera; Oxygen isotope; Quaternary</t>
  </si>
  <si>
    <t>LIVING PLANKTONIC-FORAMINIFERA; OXYGEN ISOTOPIC COMPOSITION; SUMMER MONSOON; VERTICAL-DISTRIBUTION; STABLE-ISOTOPES; WESTERN BAY; ICE VOLUME; GLOBIGERINA-BULLOIDES; CLIMATE TRANSITION; ANTARCTIC CLIMATE</t>
  </si>
  <si>
    <t>The unique water column structure and seasonal change in the hydrodynamics make the Bay of Bengal an interesting area to understand the effect of monsoon on the water column stratification. We have reconstructed a 1.45 Myr record of planktic foraminifera assemblages and a 1.16 Myr (MIS 47- MIS 8) record of the difference in the stable oxygen isotopic ratio (&amp; UDelta;&amp; delta;18O) between the mixed layer dwelling Globigerinoides ruber and thermocline dweller Neogloboquadrina dutertrei from the IODP Site U1446 to understand the change in water column stratification and its relationship with the monsoon. From the glacial-interglacial shift in &amp; UDelta;&amp; delta;18O and mixed layer and thermocline assemblages, we infer a stronger stratification during the warm interstadials and comparatively weaker stratification during the cold stadials. The strengthened summer monsoon induced high direct rainfall and riverine influx inhibited mixing in the upper layer and created a shallow thermocline during the interstadials. We report a large variability in &amp; UDelta;&amp; delta;18O prior to the mid-Pleistocene transition (MPT). Interestingly, the glacial-interglacial shift in &amp; UDelta;&amp; delta;18O significantly decreased post MPT. A stronger upwelling and deeper mixed layer during the stadial periods reduced the glacial-interglacial shift in &amp; UDelta;&amp; delta;18O post mid-Pleistocene transition. The strengthened summer monsoon during the post MPT period increased the stratification in the Bay of Bengal.</t>
  </si>
  <si>
    <t>[Bhadra, Sudhira R.; Saraswat, Rajeev] Natl Inst Oceanog, Geol Oceanog Div, Panaji, Goa, India; [Kumar, Sanjeev; Verma, Sangeeta] Phys Res Lab, Ahmadabad, Gujarat, India; [Naik, Dinesh Kumar] Banaras Hindu Univ, Dept Geol, Varanasi, India</t>
  </si>
  <si>
    <t>Council of Scientific &amp; Industrial Research (CSIR) - India; CSIR - National Institute of Oceanography (NIO); Department of Space (DoS), Government of India; Physical Research Laboratory - India; Banaras Hindu University (BHU)</t>
  </si>
  <si>
    <t>Bhadra, SR; Saraswat, R (corresponding author), Natl Inst Oceanog, Geol Oceanog Div, Panaji, Goa, India.</t>
  </si>
  <si>
    <t>sudhirabhadra@gmail.com; rsaraswat@nio.org</t>
  </si>
  <si>
    <t>Kumar, Sanjeev/JTV-5459-2023</t>
  </si>
  <si>
    <t>Bhadra, Sudhira Ranjan/0000-0003-2698-4047</t>
  </si>
  <si>
    <t>National Center for Polar and Ocean Research, Ministry of Earth Sciences, Goa, India; Council of Scientific and Industrial Research (LEMAP Project)</t>
  </si>
  <si>
    <t>We thank the International Ocean Discovery Program for providing the samples of Site U1446. Authors also thank the National Center for Polar and Ocean Research, Ministry of Earth Sciences, Goa, India forsponsoring the participation of Dr. Dinesh Kumar Naik in Expedition 353. Authors thank the Director, National Institute of Oceanography, Goa, India for the infrastructural support and permission to publish the findings. The financial support from the Council of Scientific and Industrial Research (LEMAP Project) is duly acknowledged. We also thank the editor and reviewers for their constructive comments in improving the manuscript. This manuscript is National Institute of Oceanography contribution number 7082.</t>
  </si>
  <si>
    <t>10.1016/j.gloplacha.2023.104174</t>
  </si>
  <si>
    <t>L7OE4</t>
  </si>
  <si>
    <t>WOS:001025108500001</t>
  </si>
  <si>
    <t>Wang, Z; Chen, G; Ma, CY; Liu, YL</t>
  </si>
  <si>
    <t>Wang, Zhi; Chen, Ge; Ma, Chunyong; Liu, Yalong</t>
  </si>
  <si>
    <t>Southwestern Atlantic ocean fronts detected from the fusion of multi-source remote sensing data by a deep learning model</t>
  </si>
  <si>
    <t>Southwestern Atlantic fronts; multi-source remote sensing data; deep learning; ocean dynamics; ocean thermodynamics</t>
  </si>
  <si>
    <t>ANTARCTIC POLAR FRONT; SURFACE; LOCATION</t>
  </si>
  <si>
    <t>In the Southwestern Atlantic, the Falkland Current intrudes onto the South American shelf, resulting in the meeting of two water masses which are completely different in temperature and dynamic characteristics, thus generating the Southwestern Atlantic Front (SAF). Therefore, the SAF has prominent characteristics of thermal and dynamics. The current ocean front detection is mainly by performing gradient operations on sea surface temperature (SST) data, where regions with large temperature gradients are considered as ocean fronts. The thermal gradient method largely ignores the dynamical features, leading to inaccurate manifestation of SAF. This study develops a deep learning model, SAFNet, to detect the SAF through the synergy of 10-year (2010-2019) satellite-derived SST and sea surface height (SSH) observations to achieve high accuracy detection of SAF with fused thermal and dynamic characteristics. The comparative experimental results show that the detection accuracy of SAFNet reaches 99.45%, which is significantly better than other models. By comparing the frontal probability (FP) obtained by SST, SSH and SST-SSH fusion data respectively, it is proved that the necessity of fusion multi-source remote sensing data for SAF detection. The detection results of fusion data can reflect the spatial distribution of SAF more comprehensively and accurately. According to the meridional variation of FP, the main reason for the seasonal variation of the SAF is the change in its thermal characteristics, and the SAF has stable dynamic characteristics.</t>
  </si>
  <si>
    <t>[Wang, Zhi; Chen, Ge; Ma, Chunyong] Ocean Univ China, Coll Marine Technol, Qingdao, Peoples R China; [Chen, Ge; Ma, Chunyong] Qingdao Natl Lab Marine Sci &amp; Technol, Lab Reg Oceanog &amp; Numer Modelling, Qingdao, Peoples R China; [Liu, Yalong] State Ocean Adm, Yantai Marine Environm Monitoring Ctr Stn, Yantai, Peoples R China</t>
  </si>
  <si>
    <t>Ocean University of China; Laoshan Laboratory</t>
  </si>
  <si>
    <t>Ma, CY (corresponding author), Ocean Univ China, Coll Marine Technol, Qingdao, Peoples R China.;Ma, CY (corresponding author), Qingdao Natl Lab Marine Sci &amp; Technol, Lab Reg Oceanog &amp; Numer Modelling, Qingdao, Peoples R China.</t>
  </si>
  <si>
    <t>chunyongma@ouc.edu.cn</t>
  </si>
  <si>
    <t>Liu, Yalong/JOK-9744-2023</t>
  </si>
  <si>
    <t>International Research Center of Big Data for Sustainable Development Goals [CBAS2022GSP01]; National Natural Science Foundation of China [42276179, 42030406]; Pilot National Laboratory For Marine Science and Technology (Qingdao) Laboratory open fund project [2019B02]</t>
  </si>
  <si>
    <t>International Research Center of Big Data for Sustainable Development Goals; National Natural Science Foundation of China(National Natural Science Foundation of China (NSFC)); Pilot National Laboratory For Marine Science and Technology (Qingdao) Laboratory open fund project</t>
  </si>
  <si>
    <t>This work was supported in part by the International Research Center of Big Data for Sustainable Development Goals under Grant CBAS2022GSP01, and in part by the National Natural Science Foundation of China under Grant 42276179 and 42030406, and in part by the Pilot National Laboratory For Marine Science and Technology (Qingdao) Laboratory open fund project under Grant 2019B02.</t>
  </si>
  <si>
    <t>10.3389/fmars.2023.1140645</t>
  </si>
  <si>
    <t>K7PU5</t>
  </si>
  <si>
    <t>WOS:001018330500001</t>
  </si>
  <si>
    <t>Malyarenko, A; Gossart, A; Sun, R; Krapp, M</t>
  </si>
  <si>
    <t>Malyarenko, Alena; Gossart, Alexandra; Sun, Rui; Krapp, Mario</t>
  </si>
  <si>
    <t>Conservation of heat and mass in P-SKRIPS version 1: the coupled atmosphere-ice-ocean model of the Ross Sea</t>
  </si>
  <si>
    <t>REGIONAL CLIMATE MODEL; POLAR WEATHER RESEARCH; ANTARCTIC PRECIPITATION; SOUTHERN-OCEAN; LATE WINTER; SURFACE; BALANCE; SHELF; V1.0; SNOW</t>
  </si>
  <si>
    <t>Ocean-atmosphere-sea ice interactions are key to understanding the future of the Southern Ocean and the Antarctic continent. Regional coupled climate-sea ice-ocean models have been developed for several polar regions; however the conservation of heat and mass fluxes between coupled models is often overlooked due to computational difficulties. At regional scale, the non-conservation of water and energy can lead to model drift over multi-year model simulations. Here we present P-SKRIPS version 1, a new version of the SKRIPS coupled model setup for the Ross Sea region. Our development includes a full conservation of heat and mass fluxes transferred between the climate (PWRF) and sea ice-ocean (MITgcm) models. We examine open water, sea ice cover, and ice sheet interfaces. We show the evidence of the flux conservation in the results of a 1-month-long summer and 1-month-long winter test experiment. P-SKRIPS v.1 shows the implications of conserving heat flux over the Terra Nova Bay and Ross Sea polynyas in August 2016, eliminating the mismatch between total flux calculation in PWRF and MITgcm up to 922 W m(-2).</t>
  </si>
  <si>
    <t>[Malyarenko, Alena] Natl Inst Water &amp; Atmospher Res Taihoro Nukurangi, 301 Evans Bay Parade, Wellington, New Zealand; [Malyarenko, Alena; Gossart, Alexandra; Krapp, Mario] Victoria Univ Wellington, Antarctic Res Ctr Te Puna Patiotio, CO 549,Cotton Bldg, Gate 7,Kelburn Parade, Wellington 6012, New Zealand; [Sun, Rui] Scripps Inst Oceanog, La Jolla, CA USA; [Krapp, Mario] GNS Sci Te Pu Ao, 30 Gracefield Rd, Lower Hutt 5010, New Zealand</t>
  </si>
  <si>
    <t>University of California System; University of California San Diego; Scripps Institution of Oceanography</t>
  </si>
  <si>
    <t>Malyarenko, A (corresponding author), Natl Inst Water &amp; Atmospher Res Taihoro Nukurangi, 301 Evans Bay Parade, Wellington, New Zealand.;Malyarenko, A; Gossart, A (corresponding author), Victoria Univ Wellington, Antarctic Res Ctr Te Puna Patiotio, CO 549,Cotton Bldg, Gate 7,Kelburn Parade, Wellington 6012, New Zealand.</t>
  </si>
  <si>
    <t>alena.malyarenko@niwa.co.nz; alexandra.gossart@vuw.ac.nz</t>
  </si>
  <si>
    <t>Krapp, Mario/AAB-9229-2020</t>
  </si>
  <si>
    <t>Krapp, Mario/0000-0002-2599-0683; Gossart, Alexandra/0000-0002-1927-2685</t>
  </si>
  <si>
    <t>New Zealand e-Science Infrastructure (NeSI)</t>
  </si>
  <si>
    <t>The modelling has been supported by the New Zealand e-Science Infrastructure (NeSI). Alena Malyarenko and Alexandra Gossart would like to thank Alexander Pletzer, Chris Scott, Wes Harrell, and Aleksandr Beliaev for technical help.</t>
  </si>
  <si>
    <t>10.5194/gmd-16-3355-2023</t>
  </si>
  <si>
    <t>J4VV5</t>
  </si>
  <si>
    <t>WOS:001009617100001</t>
  </si>
  <si>
    <t>Butkovic, A; Kraberger, S; Smeele, Z; Martin, DP; Schmidlin, K; Fontenele, RS; Shero, MR; Beltran, RS; Kirkham, AL; Aleamotu'a, M; Burns, JM; Koonin, EV; Varsani, A; Krupovic, M</t>
  </si>
  <si>
    <t>Butkovic, Anamarija; Kraberger, Simona; Smeele, Zoe; Martin, Darren P.; Schmidlin, Kara; Fontenele, Rafaela S.; Shero, Michelle R.; Beltran, Roxanne S.; Kirkham, Amy L.; Aleamotu'a, Maketalena; Burns, Jennifer M.; Koonin, Eugene, V; Varsani, Arvind; Krupovic, Mart</t>
  </si>
  <si>
    <t>Evolution of anelloviruses from a circovirus-like ancestor through gradual augmentation of the jelly-roll capsid protein</t>
  </si>
  <si>
    <t>VIRUS EVOLUTION</t>
  </si>
  <si>
    <t>Anellovirus; structural modelling; capsid proteins; jelly-roll fold; virus evolution; taxonomy and classification; Commensaviricota</t>
  </si>
  <si>
    <t>TORQUE-TENO-VIRUS; CHICKEN ANEMIA VIRUS; TT-VIRUS; HYPERVARIABLE REGIONS; MESSENGER-RNAS; HUMAN VIROME; DNA GENOME; REPLICATION; DIVERSITY; PREVALENCE</t>
  </si>
  <si>
    <t>Anelloviruses are highly prevalent in diverse mammals, including humans, but so far have not been linked to any disease and are considered to be part of the 'healthy virome'. These viruses have small circular single-stranded DNA (ssDNA) genomes and encode several proteins with no detectable sequence similarity to proteins of other known viruses. Thus, anelloviruses are the only family of eukaryotic ssDNA viruses currently not included in the realm Monodnaviria. To gain insights into the provenance of these enigmatic viruses, we sequenced more than 250 complete genomes of anelloviruses from nasal and vaginal swab samples of Weddell seal (Leptonychotes weddellii) from Antarctica and a fecal sample of grizzly bear (Ursus arctos horribilis) from the USA and performed a comprehensive family-wide analysis of the signature anellovirus protein ORF1. Using state-of-the-art remote sequence similarity detection approaches and structural modeling with AlphaFold2, we show that ORF1 orthologs from all Anelloviridae genera adopt a jelly-roll fold typical of viral capsid proteins (CPs), establishing an evolutionary link to other eukaryotic ssDNA viruses, specifically, circoviruses. However, unlike CPs of other ssDNA viruses, ORF1 encoded by anelloviruses from different genera display remarkable variation in size, due to insertions into the jelly-roll domain. In particular, the insertion between beta-strands H and I forms a projection domain predicted to face away from the capsid surface and function at the interface of virus-host interactions. Consistent with this prediction and supported by recent experimental evidence, the outermost region of the projection domain is a mutational hotspot, where rapid evolution was likely precipitated by the host immune system. Collectively, our findings further expand the known diversity of anelloviruses and explain how anellovirus ORF1 proteins likely diverged from canonical jelly-roll CPs through gradual augmentation of the projection domain. We suggest assigning Anelloviridae to a new phylum, 'Commensaviricota', and including it into the kingdom Shotokuvirae (realm Monodnaviria), alongside Cressdnaviricota and Cossaviricota.</t>
  </si>
  <si>
    <t>[Butkovic, Anamarija; Krupovic, Mart] Univ Paris Cite, Inst Pasteur, Archaeal Virol Unit, CNRS UMR6047, 25 Rue Dr Roux, F-75015 Paris, France; [Kraberger, Simona; Smeele, Zoe; Schmidlin, Kara; Fontenele, Rafaela S.; Varsani, Arvind] Arizona State Univ, Biodesign Ctr Fundamental &amp; Appl Microbi, Ctr Evolut &amp; Med, Sch Life Sci, 1001 S McAllister Ave, Tempe, AZ 85287 USA; [Martin, Darren P.] Univ Cape Town, Inst Infect Dis &amp; Mol Med, Dept Integrat Biomed Sci, Computat Biol Div, 1 Anzio Rd, ZA-7925 Cape Town, South Africa; [Shero, Michelle R.] Woods Hole Oceanog Inst, Biol Dept, 266 Woods Hole Rd, Woods Hole, MA 02543 USA; [Beltran, Roxanne S.] Univ Calif Santa Cruz, Dept Ecol &amp; Evolutionary Biol, 130 McAllister Way, Santa Cruz, CA 95060 USA; [Kirkham, Amy L.] US Fish &amp; Wildlife Serv, Marine Mammals Management, 1011 E,Tudor Rd, Anchorage, AK 99503 USA; [Aleamotu'a, Maketalena] Univ Newcastle, Sch Environm &amp; Life Sci, Univ Dr, Callaghan, NSW 2308, Australia; [Burns, Jennifer M.] Texas Tech Univ, Dept Biol Sci, 2500 Broadway, Lubbock, TX 79409 USA; [Koonin, Eugene, V] Natl Ctr Biotechnol Informat, Natl Lib Med, 8600 Rockville Pike, Bethesda, MD 20894 USA</t>
  </si>
  <si>
    <t>Pasteur Network; Universite Paris Cite; Institut Pasteur Paris; Arizona State University; Arizona State University-Tempe; University of Cape Town; Woods Hole Oceanographic Institution; University of California System; University of California Santa Cruz; United States Department of the Interior; US Fish &amp; Wildlife Service; University of Newcastle; Texas Tech University System; Texas Tech University; National Institutes of Health (NIH) - USA; NIH National Library of Medicine (NLM)</t>
  </si>
  <si>
    <t>Krupovic, M (corresponding author), Univ Paris Cite, Inst Pasteur, Archaeal Virol Unit, CNRS UMR6047, 25 Rue Dr Roux, F-75015 Paris, France.;Varsani, A (corresponding author), Arizona State Univ, Biodesign Ctr Fundamental &amp; Appl Microbi, Ctr Evolut &amp; Med, Sch Life Sci, 1001 S McAllister Ave, Tempe, AZ 85287 USA.</t>
  </si>
  <si>
    <t>arvind.varsani@asu.edu; mart.krupovic@pasteur.fr</t>
  </si>
  <si>
    <t>Krupovic, Mart/I-4209-2012; Varsani, Arvind/JOZ-5299-2023</t>
  </si>
  <si>
    <t>Krupovic, Mart/0000-0001-5486-0098; Varsani, Arvind/0000-0003-4111-2415; Martin, Darren/0000-0002-8785-0870; Butkovic, Anamarija/0000-0002-1435-0912</t>
  </si>
  <si>
    <t>Foundation pour la Recherche Medicale [SPF202110014092]; l'Agence Nationale de la Recherche [ANR-20-CE20-0009-02]; National Institute of General Medical Sciences of the National Institutes of Health (NIH) [P20GM103395]; Intramural Research Program of the NIH (National Library of Medicine); National Science Foundation [ANT-1246463]; Center of Evolution and Medicine Venture Fund (Center of Evolution and Medicine, Arizona State University, USA); Agence Nationale de la Recherche (ANR) [ANR-20-CE20-0009] Funding Source: Agence Nationale de la Recherche (ANR)</t>
  </si>
  <si>
    <t>Foundation pour la Recherche Medicale(Fondation pour la Recherche Medicale); l'Agence Nationale de la Recherche(Agence Nationale de la Recherche (ANR)); National Institute of General Medical Sciences of the National Institutes of Health (NIH)(United States Department of Health &amp; Human ServicesNational Institutes of Health (NIH) - USANIH National Institute of General Medical Sciences (NIGMS)); Intramural Research Program of the NIH (National Library of Medicine); National Science Foundation(National Science Foundation (NSF)); Center of Evolution and Medicine Venture Fund (Center of Evolution and Medicine, Arizona State University, USA); Agence Nationale de la Recherche (ANR)(Agence Nationale de la Recherche (ANR))</t>
  </si>
  <si>
    <t>A.B. was supported by a post-doctoral fellowship from Foundation pour la Recherche Medicale (grant number SPF202110014092). M.K. was supported by a grant from the l'Agence Nationale de la Recherche (ANR-20-CE20-0009-02). A.L.K. and R.S.B. were supported by Institutional Development Awards (IDeA) Networks of Biomedical Research Excellence Assistantships (grant number P20GM103395) from the National Institute of General Medical Sciences of the National Institutes of Health (NIH). E.V.K. was supported by the Intramural Research Program of the NIH (National Library of Medicine). Weddell seal samples were collected under National Marine Fisheries Service Marine Mammal permit #17411, Antarctic Conservation Act permit #2014-003, and the University of Alaska Anchorage and University of Alaska Fairbanks's Institutional Animal Care and Use Committee approvals #419971 and #854089, with funding from the National Science Foundation grant ANT-1246463 to J.M.B. The molecular work described in this study is supported by the Center of Evolution and Medicine Venture Fund (Center of Evolution and Medicine, Arizona State University, USA) grant awarded to A.V. The content is solely the responsibility of the authors and does not necessarily reflect the official views of the NIH. J.M.B. contributed to this work while serving at the National Science Foundation. Any opinion, findings, and conclusions or recommendations expressed in this material are those of the author(s) and do not necessarily reflect the views of the National Science Foundation. The findings and conclusions in this article are those of the authors and do not necessarily represent the views of the US Fish and Wildlife Service. Collection of grizzly bear fecal samples was undertaken by Daniel Thompson and Kent Schmidlin at the Wyoming Game and Fish Department (Lander, Wyoming, USA) and the team at Trophy Game (USA).</t>
  </si>
  <si>
    <t>2057-1577</t>
  </si>
  <si>
    <t>VIRUS EVOL</t>
  </si>
  <si>
    <t>Virus Evol.</t>
  </si>
  <si>
    <t>vead035</t>
  </si>
  <si>
    <t>10.1093/ve/vead035</t>
  </si>
  <si>
    <t>J2WK9</t>
  </si>
  <si>
    <t>WOS:001008263200001</t>
  </si>
  <si>
    <t>Rohr, T; Richardson, AJ; Lenton, A; Chamberlain, MA; Shadwick, EH</t>
  </si>
  <si>
    <t>Rohr, Tyler; Richardson, Anthony J.; Lenton, Andrew; Chamberlain, Matthew A.; Shadwick, Elizabeth H.</t>
  </si>
  <si>
    <t>Zooplankton grazing is the largest source of uncertainty for marine carbon cycling in CMIP6 models</t>
  </si>
  <si>
    <t>AUSTRALIAN COMMUNITY CLIMATE; SYSTEM SIMULATOR ACCESS-ESM1; GLOBAL OCEAN; FUNCTIONAL-RESPONSES; BIOGEOCHEMICAL MODEL; EXPORT PRODUCTION; SOUTHERN-OCEAN; PLANKTONIC ECOSYSTEM; DYNAMICS; BIOMASS</t>
  </si>
  <si>
    <t>The current generation of Earth system models used by the United Nations to project future climate scenarios (CMIP6) relies heavily on marine biogeochemical models to track the fate of carbon absorbed into the oceans. Here we compare 11 CMIP6 marine biogeochemical models and find the largest source of inter-model uncertainty in their representation of the marine carbon cycle is phytoplankton-specific loss rates to zooplankton grazing. This uncertainty is over three times larger than that of net primary production and driven by large differences in prescribed zooplankton grazing dynamics. We run a controlled sensitivity experiment in a global marine biogeochemical model and find that small changes in prescribed grazing dynamics (roughly 5% of what is used across CMIP6 models) can increase secondary and export production by 5 and 2 PgC yr(-1), respectively, even when tuned to identical net primary production, likely biasing predictions of future climate states and food security. The rate of phytoplankton biomass loss to zooplankton grazing is the largest source of uncertainty across 11 CMIP6 model simulations of marine carbon cycling, which suggests that projected changes in ocean carbon export, and thus climate, are extremely sensitive to grazing pressure.</t>
  </si>
  <si>
    <t>[Rohr, Tyler; Shadwick, Elizabeth H.] Australian Antarctic Program Partnership, Hobart, Tas 7000, Australia; [Rohr, Tyler] Univ Tasmania, Inst Marine &amp; Antarctic Studies, Hobart, Tas 7000, Australia; [Richardson, Anthony J.] Univ Queensland, Sch Environm, Brisbane, Qld 4072, Australia; [Richardson, Anthony J.; Chamberlain, Matthew A.] Commonwealth Sci &amp; Ind Res Org CSIRO Environm, Queensland Biosci Precinct QBP, St Lucia, Qld 4067, Australia; [Lenton, Andrew; Shadwick, Elizabeth H.] Commonwealth Sci &amp; Ind Res Org CSIRO Environm, Hobart, Tas 7000, Australia</t>
  </si>
  <si>
    <t>Rohr, T (corresponding author), Australian Antarctic Program Partnership, Hobart, Tas 7000, Australia.;Rohr, T (corresponding author), Univ Tasmania, Inst Marine &amp; Antarctic Studies, Hobart, Tas 7000, Australia.</t>
  </si>
  <si>
    <t>tyler.rohr@utas.edu.au</t>
  </si>
  <si>
    <t>Chamberlain, Matthew/D-4805-2012; Lenton, Andrew/D-2077-2012</t>
  </si>
  <si>
    <t>Chamberlain, Matthew/0000-0002-3287-3282; Lenton, Andrew/0000-0001-9437-8896; Rohr, Tyler/0000-0001-6599-8068</t>
  </si>
  <si>
    <t>10.1038/s43247-023-00871-w</t>
  </si>
  <si>
    <t>J2KI2</t>
  </si>
  <si>
    <t>WOS:001007946500001</t>
  </si>
  <si>
    <t>Evans, N; Tichota, J; Moffett, JW; Devol, AH</t>
  </si>
  <si>
    <t>Evans, Natalya; Tichota, Juliana; Moffett, James W.; Devol, Allan H.</t>
  </si>
  <si>
    <t>Prolific nitrite reoxidation across the Eastern Tropical North Pacific Ocean</t>
  </si>
  <si>
    <t>OXYGEN MINIMUM ZONE; ANTARCTIC INTERMEDIATE WATER; SOUTH-PACIFIC; FIXED NITROGEN; ORGANIC-MATTER; OXIDATION; DENITRIFICATION; RATIOS; PATHWAYS; FIXATION</t>
  </si>
  <si>
    <t>Nitrite is a key intermediate during fixed nitrogen loss in the ocean, and it accumulates within marine Oxygen Deficient Zones (ODZ). ODZs are vast subsurface regions where nitrate is the dominant electron acceptor, and these regions host approximately 50% of the fixed nitrogen loss in the world's oceans. Nitrite accumulates in these waters, and recent research has discovered substantial reoxidation of nitrite back to nitrate, a significant process in the global nitrogen cycle. Partitioning between reduction and oxidation determines if marine fixed nitrogen is lost or recycled. Investigations into nitrite oxidation typically rely on results from incubations, which limits the spatiotemporal sampling coverage. Using basin-scale data, we analyzed the ratios of nutrient regeneration within the three water masses that feed the Eastern Tropical North Pacific (ETNP) ODZ. Deviations in the ratios of nutrient regeneration from Redfield stoichiometry indicated prolific nitrite reoxidation across this region. We estimate that 79 +/- 7% of the nitrite produced in the ODZ between the 26.2 and 26.4 kg m(-3) isopycnals is reoxidized, whereas 54 +/- 2% of the nitrite produced between the 26.7 and 26.9 kg m(-3) isopycnals is reoxidized. Our analysis also illustrates discrete metabolic switching points from primarily aerobic to primary anaerobic processes, which occur in each water mass. We applied water mass analysis to repeat cruises on the WOCE P18 line from Baja California to 10 degrees N, which revealed high spatiotemporal variability in nitrite reoxidation. These results confirm previous measurements of significant fixed nitrogen recycling across the ETNP; however, our analysis enables high-resolution estimates of this process.</t>
  </si>
  <si>
    <t>[Evans, Natalya; Tichota, Juliana; Moffett, James W.] Univ Southern Calif, Dept Biol Sci, Los Angeles, CA USA; [Devol, Allan H.] Univ Washington, Sch Oceanog, Seattle, WA 98195 USA</t>
  </si>
  <si>
    <t>University of Southern California; University of Washington; University of Washington Seattle</t>
  </si>
  <si>
    <t>Devol, AH (corresponding author), Univ Washington, Sch Oceanog, Seattle, WA 98195 USA.</t>
  </si>
  <si>
    <t>devol@uw.edu</t>
  </si>
  <si>
    <t>Evans, Natalya/0000-0002-2726-8272; Moffett, James/0000-0002-2359-8899</t>
  </si>
  <si>
    <t>NSF OCE [2023708, 1657958]; University of Southern California Wrigley REU program</t>
  </si>
  <si>
    <t>NSF OCE(National Science Foundation (NSF)NSF - Directorate for Geosciences (GEO)); University of Southern California Wrigley REU program</t>
  </si>
  <si>
    <t>Natalya Evans and James W. Moffett were supported by NSF OCE 2023708 and Juliana Tichota was supported by the University of Southern California Wrigley REU program. Allan H. Devol was supported by NSF OCE 1657958. We would like to acknowledge the extensive programs that went into compiling the World Ocean Atlas and World Ocean Database such that these resources could be publicly available. Subsets of these datasets used for this analysis, as well as the code for processing them, is available at . Amanda Taing provided copy edits for this manuscript. Avanti Shrikumar assisted immensely in training the authors in using the pyompa package. Ricardo Locarnini provided advice about cleaning nitrite concentrations from nitrate measurements in the WOD18 database, and JL Weissman helped proofread this manuscript.</t>
  </si>
  <si>
    <t>2023 JUN 14</t>
  </si>
  <si>
    <t>10.1002/lno.12380</t>
  </si>
  <si>
    <t>J0FF6</t>
  </si>
  <si>
    <t>WOS:001006441200001</t>
  </si>
  <si>
    <t>Liu, MX; Burridge, CP; Crlarke, LJ; Baker, SC; Jordan, GJ</t>
  </si>
  <si>
    <t>Liu, Mingxi; Burridge, Christopher P.; Crlarke, Laurence J.; Baker, Susan C.; Jordan, Gregory J.</t>
  </si>
  <si>
    <t>Does phylogeny explain bias in quantitative DNA metabarcoding?</t>
  </si>
  <si>
    <t>METABARCODING AND METAGENOMICS</t>
  </si>
  <si>
    <t>Coleoptera; high-throughput sequencing; PCR amplification; phylogenetic signal; species biomass</t>
  </si>
  <si>
    <t>Estimating species biomass or abundance from the number of high-throughput sequencing (HTS) reads is an aspirational goal for DNA metabarcoding, yet studies have found varied correlations. Performance varies depending on the gene marker and taxonomic group and, in part, may be related to primer-template mismatches, which are likely to exhibit phyloge-netic signals. In this study, we compared commonly used fragments of two gene markers for beetles, the mitochondrial cytochrome c oxidase subunit I (COI) and 16S ribosomal RNA (16S), which have similar lengths, but different propensity for primer-template mismatch-es. We tested whether primer-template mismatches influence the relationship between species biomass and HTS read abundance and whether the effect of mismatches was explained by phylogeny. A significant correlation between species biomass and HTS read abundance existed for 16S, but not for COI, which had more primer-template mismatches. Models incorporating the effects of mismatch type or number improved the estimation of species biomass from HTS read abundance for COI and strong phylogenetic signals were identified. Researchers seeking to quantify biomass from metabarcoding studies should consider the effect of primer-template mismatches for the taxonomic group of interest and, for beetles, 16S appears a good candidate. Phylogenetic correction can also improve biomass estimation when using gene markers with higher primer mismatching.</t>
  </si>
  <si>
    <t>[Liu, Mingxi; Burridge, Christopher P.; Crlarke, Laurence J.; Baker, Susan C.; Jordan, Gregory J.] Univ Tasmania, Biol Sci, Private Bag 55, Hobart, Tas 7001, Australia; [Liu, Mingxi; Burridge, Christopher P.; Crlarke, Laurence J.; Baker, Susan C.; Jordan, Gregory J.] Univ Tasmania, ARC Ctr Forest Value, Hobart, Tas 7001, Australia; [Liu, Mingxi] Peking Univ, Inst Ecol, Coll Urban &amp; Environm Sci, Beijing 100871, Peoples R China; [Crlarke, Laurence J.] Australian Antarctic Div, Kingston, Tas 7050, Australia; [Crlarke, Laurence J.] Inst Marine &amp; Antarctic Studies, Hobart, Tas 7001, Australia; [Jordan, Gregory J.] Univ Tasmania, ARC Ctr Excellence Plant Success Nat &amp; Agr, Hobart, Tas 7001, Australia</t>
  </si>
  <si>
    <t>University of Tasmania; University of Tasmania; Peking University; Australian Antarctic Division; University of Tasmania; University of Tasmania</t>
  </si>
  <si>
    <t>Liu, MX (corresponding author), Univ Tasmania, Biol Sci, Private Bag 55, Hobart, Tas 7001, Australia.;Liu, MX (corresponding author), Univ Tasmania, ARC Ctr Forest Value, Hobart, Tas 7001, Australia.;Liu, MX (corresponding author), Peking Univ, Inst Ecol, Coll Urban &amp; Environm Sci, Beijing 100871, Peoples R China.</t>
  </si>
  <si>
    <t>mingxinl@pku.edu</t>
  </si>
  <si>
    <t>Liu, Mingxi/C-1343-2017; Liu, Mingxin/L-2073-2019; Burridge, Christopher/J-2653-2012</t>
  </si>
  <si>
    <t>Liu, Mingxin/0000-0003-0436-4058; Burridge, Christopher/0000-0002-8185-6091</t>
  </si>
  <si>
    <t>Australian Research Council [LP140100075]; Sustainable Timber Tasmania; VicForests; Forest Practices Authority; China Scholarship Council (CSC) [201608360109]</t>
  </si>
  <si>
    <t>Australian Research Council(Australian Research Council); Sustainable Timber Tasmania; VicForests; Forest Practices Authority; China Scholarship Council (CSC)(China Scholarship Council)</t>
  </si>
  <si>
    <t>This project was funded by the Australian Research Council Linkage Grant (LP140100075) with partner organisations Sustainable Timber Tasmania and VicForests, a Holsworth Wildlife Research Endowment for fieldwork and a student research grant for laboratory work from the Forest Practices Authority. ML was also supported by the China Scholarship Council (CSC No. 201608360109) .</t>
  </si>
  <si>
    <t>2534-9708</t>
  </si>
  <si>
    <t>METABARCOD METAGENOM</t>
  </si>
  <si>
    <t>Metabarcod. Metagenom.</t>
  </si>
  <si>
    <t>JUN 13</t>
  </si>
  <si>
    <t>10.3897/mbmg.7.101266</t>
  </si>
  <si>
    <t>X3DX3</t>
  </si>
  <si>
    <t>WOS:001097303300001</t>
  </si>
  <si>
    <t>Kimbrough, AK; Gagan, MK; Dunbar, GB; Hantoro, WS; Shen, CC; Hu, HM; Cheng, H; Edwards, RL; Rifai, H; Suwargadi, BW</t>
  </si>
  <si>
    <t>Kimbrough, Alena K.; Gagan, Michael K.; Dunbar, Gavin B.; Hantoro, Wahyoe S.; Shen, Chuan-Chou; Hu, Hsun-Ming; Cheng, Hai; Edwards, R. Lawrence; Rifai, Hamdi; Suwargadi, Bambang W.</t>
  </si>
  <si>
    <t>Multi-proxy validation of glacial-interglacial rainfall variations in southwest Sulawesi</t>
  </si>
  <si>
    <t>EAST-ASIAN MONSOON; PACIFIC WARM POOL; HIGH-RESOLUTION; MILLENNIAL-SCALE; WEST PACIFIC; SEA-LEVEL; CLIMATE VARIABILITY; ELEMENT RECORDS; HIGH-PRECISION; DRIP WATERS</t>
  </si>
  <si>
    <t>Speleothem delta O-18 is widely used as a proxy for rainfall amount in the tropics on glacial-interglacial to interannual scales. However, uncertainties in the interpretation of this renowned proxy pose a vexing problem in tropical paleoclimatology. Here, we present paired multi-proxy geochemical measurements for stalagmites from southwest Sulawesi, Indonesia, and confirm changes in rainfall amount across ice age terminations. Collectively, the stalagmites span two glacial-interglacial transitions from similar to 380,000 to 330,000 and 230,000 to 170,000 years ago. Mg/Ca in the slow-growing stalagmites is affected by water moving through the karst and prior calcite precipitation, making it a good proxy for changes in local rainfall. When paired, Mg/Ca and delta O-18 corroborate prominent shifts from drier glacials to wetter interglacials in the core of the Australasian monsoon domain. These shifts in rainfall occur 4,000-7,000 years later than glacial-interglacial increases in global temperature and the associated response of Sulawesi vegetation, determined by speleothem delta C-13.</t>
  </si>
  <si>
    <t>[Kimbrough, Alena K.; Gagan, Michael K.] Australian Natl Univ, Res Sch Earth Sci, Acton, ACT 2601, Australia; [Kimbrough, Alena K.; Gagan, Michael K.; Hantoro, Wahyoe S.] Univ Wollongong, Sch Earth Atmospher &amp; Life Sci, Wollongong, NSW 2522, Australia; [Gagan, Michael K.; Hu, Hsun-Ming] Univ Queensland, Sch Earth &amp; Environm Sci, St Lucia, Qld 4072, Australia; [Dunbar, Gavin B.] Victoria Univ Wellington, Antarctic Res Ctr, Wellington 6140, New Zealand; [Hantoro, Wahyoe S.; Suwargadi, Bambang W.] Indonesian Inst Sci, Res Ctr Geotechnol, Bandung 40135, Indonesia; [Shen, Chuan-Chou; Hu, Hsun-Ming] Natl Taiwan Univ, Dept Geosci, High Precis Mass Spectrometry &amp; Environm Change La, Taipei 10617, Taiwan; [Shen, Chuan-Chou; Hu, Hsun-Ming] Natl Taiwan Univ, Res Ctr Future Earth, Taipei 10617, Taiwan; [Cheng, Hai] Xi An Jiao Tong Univ, Inst Global Environm Change, Xian 710054, Peoples R China; [Cheng, Hai] CAGS, Inst Karst Geol, Key Lab Karst Dynam, MLR, Guilin 541004, Peoples R China; [Edwards, R. Lawrence] Univ Minnesota, Dept Earth &amp; Environm Sci, Minneapolis, MN 55455 USA; [Rifai, Hamdi] Univ Negeri Padang, Dept Phys, Padang 25131, Indonesia</t>
  </si>
  <si>
    <t>Australian National University; University of Wollongong; University of Queensland; Victoria University Wellington; National Research &amp; Innovation Agency of Indonesia (BRIN); Indonesian Institute of Sciences (LIPI); National Taiwan University; National Taiwan University; Xi'an Jiaotong University; China Geological Survey; Institute of Karst Geology, Chinese Academy of Geological Sciences; University of Minnesota System; University of Minnesota Twin Cities; Universitas Negeri Padang</t>
  </si>
  <si>
    <t>Kimbrough, AK (corresponding author), Australian Natl Univ, Res Sch Earth Sci, Acton, ACT 2601, Australia.;Kimbrough, AK (corresponding author), Univ Wollongong, Sch Earth Atmospher &amp; Life Sci, Wollongong, NSW 2522, Australia.</t>
  </si>
  <si>
    <t>akimbrough@uow.edu.au</t>
  </si>
  <si>
    <t>Edwards, Richard/JAX-3732-2023; Shen, Chuan-Chou/JCE-1989-2023</t>
  </si>
  <si>
    <t>Shen, Chuan-Chou/0000-0003-2833-2771; Hu, Hsun-Ming/0000-0002-9204-8874</t>
  </si>
  <si>
    <t>trace element incorporation, and conceptual models of drip pathways [DP0663274, DP1095673]; Australian Research Council Discovery Project [DP0663274, DP1095673, DP110101161, DP180103762]; Australian Postgraduate Award and International Postgraduate Research Scholarship; Science Vanguard Research Program of the Ministry of Science and Technology [110-2123-M-002-009]; Higher Education Sprout Project of the Ministry of Education, Taiwan, ROC [110L901001]; National Taiwan University [110L8907]; U.S. National Science Foundation [2202913, 1702816]; National Natural Science Foundation of China [NSFC 41731174, NSFC 41888101]</t>
  </si>
  <si>
    <t>trace element incorporation, and conceptual models of drip pathways; Australian Research Council Discovery Project(Australian Research Council); Australian Postgraduate Award and International Postgraduate Research Scholarship; Science Vanguard Research Program of the Ministry of Science and Technology; Higher Education Sprout Project of the Ministry of Education, Taiwan, ROC; National Taiwan University(National Taiwan University); U.S. National Science Foundation(National Science Foundation (NSF)); National Natural Science Foundation of China(National Natural Science Foundation of China (NSFC))</t>
  </si>
  <si>
    <t>The project was carried out in Indonesia with permission to collect samples granted under Kementerian Negara Riset dan Teknologi (RISTEK) research permit numbers 04/TKPIPA/FRP/SM/IV/2009, 1b/TKPIPA/FRP/SM/I/2011 and 1889/TKPIPA/FRP/SM/V/2013. We thank the Research Center for Geotechnology, Indonesian Institute of Sciences (LIPI) for logistical support and are indebted to Baharudin (of Konservasi Sumber Daya Alam) and the staff of Bantimurung-Bulusaraung National Park (with special thanks to Syaiful Fajrin). Engkos Kosasih, Djupriono, Neil Anderson, Dan Zwartz, Garry Smith, Linda Ayliffe, Nick Scroxton, Joel Zwartz and Daniel Becker provided invaluable technical assistance in the field. We also thank Linda McMorrow, Joan Cowley, Heather Scott-Gagan, Joe Cali, Katharine Grant, Daniel Becker, and Hailong Sun for laboratory assistance. We thank Pauline Treble for informative discussions around speleothem morphology, trace element incorporation, and conceptual models of drip pathways. This study was supported by Australian Research Council Discovery Project grants DP0663274, DP1095673, DP110101161, and DP180103762 to M.K.G., W.S.H., R.L.E., H.C. and C.-C.S.; an Australian Postgraduate Award and International Postgraduate Research Scholarship to A.K.K.; Science Vanguard Research Program of the Ministry of Science and Technology (110-2123-M-002-009), the Higher Education Sprout Project of the Ministry of Education, Taiwan, ROC (110L901001), and National Taiwan University (110L8907) to C.-C.S.; U.S. National Science Foundation grants (2202913) and (1702816) to R.L.E. and H.C.; and National Natural Science Foundation of China grants to H.C. (NSFC 41731174 and NSFC 41888101).</t>
  </si>
  <si>
    <t>10.1038/s43247-023-00873-8</t>
  </si>
  <si>
    <t>I9TL8</t>
  </si>
  <si>
    <t>WOS:001006132500004</t>
  </si>
  <si>
    <t>Shah, F; Miraj, MAF; Ali, A; Ahsan, N; Mehmood, T; Sajid, M; Salaam, A; Fazal, AG</t>
  </si>
  <si>
    <t>Shah, F.; Miraj, M. A. F.; Ali, A.; Ahsan, N.; Mehmood, T.; Sajid, M.; Salaam, A.; Fazal, A. G.</t>
  </si>
  <si>
    <t>Tectonics of Jacobabad-Khairpur High and Its Impact on Petroleum Fields of the Region, Southern Indus Basin, Pakistan: A Case Study</t>
  </si>
  <si>
    <t>Jacobabad-Khairpur High; Sukkur Rift Zone; Chiltan Limestone; Carbonate Shelf; Ghazij Formation</t>
  </si>
  <si>
    <t>NNW-SSE-trending Jacobabad-Khairpur High (JKH) is a part of Sukkur rift zone in the Lower Indus Basin (Pakistan), and it evolved during Jurassic rifting when Indian Plate separated from Australian-Antarctic Plate. At that time, fractures developed due to the upwelling of magma which resulted in the development of detached blocks which dropped relatively to the other ones. Jacobabad-Khairpur High represents one of those blocks which maintained its original position. This study works out the causes of failure of exploration wells drilled at and in the vicinity of Jacobabad-Khairpur High (JKH), and comprehends the tectonics, structural trends, and subsurface geology of the region to delineate role of JKH in distribution of source, reservoir and seal rocks for future prospects. This work is based on construction of stratigraphic cross-sections along and across Jacobabad-Khairpur High, isopach and depth maps to delineate paleo- and present shapes of JKH and its impacts on the petroleum system of the region. This study indicates that Jacobabad-Khairpur High developed in three stages from Jurassic to Early Eocene. Initially, JKH developed after the deposition of Middle Jurassic Chiltan Limestone and remained uplifted. This interpretation is supported by the absence of main source rocks - Cretaceous Sembar Formation, of the basin on the northern and southern crest of the Jacobabad-Khairpur High and absence of entire Cretaceous succession on the northern part of the JKH indicating subaerial conditions. Moreover, Cretaceous reservoir rocks-Lower Goru Sand, is also absent in the northern portion of the Jacobabad-Khairpur High as Paleocene Dunghan Formation is directly overlying the Chiltan Limestone. Furthermore, due to absence of marl and shale of Upper Cretaceous Goru Formation (seal rocks) proper seals are absent in the area. It resulted in the dry holes like Kandra-01, Khairpur-01, Khairpur-02 and Jhatpat-01. However, rocks of petroleum system were deposited all around Jacobabad-Khairpur High. At the same time, presence of Cretaceous source (Sembar Formation), reservoir (Lower Goru Sand) and seal (Goru Shale) rocks around Jacobabad-Khairpur High resulted in many discoveries of oil and gas in the Middle and Lower Indus Basin. The Jacobabad-Khairpur High submerged again during Paleocene when the Indian Plate passed over Kerguelen Hot Spot and became a part of the carbonate shelf to deposit Dunghan Formation over Chiltan Limestone in the northern part of the high. Finally, the Jacobabad-Khairpur High again reactivated and uplifted to the present position, after the deposition of early Eocene Ghazij Formation when Indian Plate collided with Eurasian Plate.</t>
  </si>
  <si>
    <t>[Shah, F.; Sajid, M.; Salaam, A.; Fazal, A. G.] Abbottabad Univ Sci &amp; Technol, Dept Earth Sci, Havelian 22500, Pakistan; [Miraj, M. A. F.; Ali, A.; Ahsan, N.] Univ Punjab, Inst Geol, Lahore 54590, Pakistan; [Mehmood, T.] Oil &amp; Gas Dev Co Ltd OGDCL, Islamabad 44000, Pakistan</t>
  </si>
  <si>
    <t>University of Punjab</t>
  </si>
  <si>
    <t>Miraj, MAF (corresponding author), Univ Punjab, Inst Geol, Lahore 54590, Pakistan.</t>
  </si>
  <si>
    <t>armghan.geo@pu.edu.pk</t>
  </si>
  <si>
    <t>Ali, Abid/0000-0003-2748-9427</t>
  </si>
  <si>
    <t>10.1134/S001685212303007X</t>
  </si>
  <si>
    <t>P4PP6</t>
  </si>
  <si>
    <t>WOS:001005812200001</t>
  </si>
  <si>
    <t>Diehl, N; Steiner, N; Bischof, K; Karsten, U; Heesch, S</t>
  </si>
  <si>
    <t>Diehl, Nora; Steiner, Niko; Bischof, Kai; Karsten, Ulf; Heesch, Svenja</t>
  </si>
  <si>
    <t>Exploring intraspecific variability - biochemical and morphological traits of the sugar kelp Saccharina latissima along latitudinal and salinity gradients in Europe</t>
  </si>
  <si>
    <t>abiotic factors; diversity; haplotype network; PCA; phenotype; salinity; speciation; variety</t>
  </si>
  <si>
    <t>HELGOLAND NORTH-SEA; PHENOTYPIC PLASTICITY; ULTRAVIOLET-RADIATION; CHEMICAL-COMPOSITION; LAMINARIA-DIGITATA; GENETIC DIVERSITY; PHAEOPHYCEAE; TEMPERATURE; GROWTH; MARINE</t>
  </si>
  <si>
    <t>Broadly distributed seaweeds, such as the boreal-temperate kelp species Saccharina latissima, contain a multitude of metabolites supporting acclimation to environmental changes, such as temperature and salinity. In Europe, S. latissima occurs along the coasts from Spitsbergen to Portugal, including the Baltic Sea, exhibiting great morphological plasticity. We investigated the morphological and biochemical traits of field-collected sporophytes from 16 different locations across the species entire distributional range in relation to local abiotic conditions (sea surface temperature, salinity). By statistically linking morphological and biochemical data to geographic information that also took into account the respective sampling depth, we aimed to obtain first insights into the site-specific adaptive features of this species. Frond length and width, mannitol and phlorotannin contents, and molar C:N ratio showed strong intraspecific variability among S. latissima sporophytes dependent on individual local abiotic drivers. Despite the conspicuous impact of local abiotic factors on specimens' morphology, we could not determine habitat-specific signatures in the biochemical phenotypes. Even though our findings are based on a relative small sample size per site, they cover a broad biogeographical range and support a high plasticity of S. latissima sporophytes. The study provides a first base for studying separation processes of populations across latitudes and conservation ecology.</t>
  </si>
  <si>
    <t>[Diehl, Nora; Steiner, Niko; Bischof, Kai] Univ Bremen, Fac Biol &amp; Chem &amp; MARUM, Marine Bot, Bremen, Germany; [Diehl, Nora] Alfred Wegener Inst, Helmholtz Ctr Polar &amp; Marine Res, Bremerhaven, Germany; [Karsten, Ulf; Heesch, Svenja] Univ Rostock, Inst Biol Sci, Dept Appl Ecol &amp; Phycol, Rostock, Germany</t>
  </si>
  <si>
    <t>University of Bremen; Helmholtz Association; Alfred Wegener Institute, Helmholtz Centre for Polar &amp; Marine Research; University of Rostock</t>
  </si>
  <si>
    <t>Diehl, N (corresponding author), Univ Bremen, Fac Biol &amp; Chem &amp; MARUM, Marine Bot, Bremen, Germany.;Diehl, N (corresponding author), Alfred Wegener Inst, Helmholtz Ctr Polar &amp; Marine Res, Bremerhaven, Germany.</t>
  </si>
  <si>
    <t>ndiehl@uni-bremen.de</t>
  </si>
  <si>
    <t>Diehl, Nora/0000-0002-7245-340X; Steiner, Niko/0000-0003-2559-5891</t>
  </si>
  <si>
    <t>Kellner amp; Stoll-Stiftung fur Klima und Umwelt; 2015-2016 BiodivERsA COFUND; German Research Foundation (DFG) [VA 105/25-1]; DFG via the SPP 1158 Antarctic Research [KA899/30-13]; FACE-IT (The Future of Arctic Coastal Ecosystems - Identifying Transitions in Fjord Systems and Adjacent Coastal Areas); European Union [869154]</t>
  </si>
  <si>
    <t>Kellner amp; Stoll-Stiftung fur Klima und Umwelt; 2015-2016 BiodivERsA COFUND; German Research Foundation (DFG)(German Research Foundation (DFG)); DFG via the SPP 1158 Antarctic Research; FACE-IT (The Future of Arctic Coastal Ecosystems - Identifying Transitions in Fjord Systems and Adjacent Coastal Areas); European Union(European Union (EU))</t>
  </si>
  <si>
    <t>The genetic analyses were funded by the Kellner &amp; Stoll-Stiftung fur Klima und Umwelt. The study was further supported by the 2015-2016 BiodivERsA COFUND call for research proposals (program MARFOR), with the national funder German Research Foundation (DFG; grant no. VA 105/25-1), the DFG via the SPP 1158 Antarctic Research (Coordination; grant no. KA899/30-13 to UK, University of Rostock) and the project FACE-IT (The Future of Arctic Coastal Ecosystems - Identifying Transitions in Fjord Systems and Adjacent Coastal Areas). FACE-IT has received funding from the European Union's Horizon 2020 research and innovation programme under grant agreement No 869154.</t>
  </si>
  <si>
    <t>10.3389/fmars.2023.995982</t>
  </si>
  <si>
    <t>K5JA3</t>
  </si>
  <si>
    <t>WOS:001016788200001</t>
  </si>
  <si>
    <t>Sinnl, G; Adolphi, F; Christl, M; Welten, KC; Woodruff, T; Caffee, M; Svensson, A; Muscheler, R; Rasmussen, SO</t>
  </si>
  <si>
    <t>Sinnl, Giulia; Adolphi, Florian; Christl, Marcus; Welten, Kees C.; Woodruff, Thomas; Caffee, Marc; Svensson, Anders; Muscheler, Raimund; Rasmussen, Sune Olander</t>
  </si>
  <si>
    <t>Synchronizing ice-core and U / Th timescales in the Last Glacial Maximum using Hulu Cave 14C and new 10Be measurements from Greenland and Antarctica</t>
  </si>
  <si>
    <t>HIGH-RESOLUTION RECORD; ABRUPT CLIMATE-CHANGE; OXYGEN-ISOTOPE; BERYLLIUM 10; EVENT; GISP2; TEMPERATURE; MONSOON; PERIOD; NGRIP</t>
  </si>
  <si>
    <t>Between 15 and 27 kyr b2k (thousands of years before 2000 CE) during the last glacial, Greenland experienced a prolonged cold stadial phase, interrupted by two short-lived warm interstadials. Greenland ice-core calcium data show two periods, preceding the interstadials, of anomalously high atmospheric dust loading, the origin of which is not well understood. At approximately the same time as the Greenland dust peaks, the Chinese Hulu Cave speleothems exhibit a climatic signal suggested to be a response to Heinrich Event 2, a period of enhanced ice-rafted debris deposition in the North Atlantic. In the climatic signal of Antarctic ice cores, moreover, a relative warming occurs between 23 and 24.5 kyr b2k that is generally interpreted as a counterpart to a cool climate phase in the Northern Hemisphere. Proposed centennial-scale offsets between the polar ice-core timescales and the speleothem timescale hamper the precise reconstruction of the global sequence of these climatic events. Here, we examine two new Be-10 datasets from Greenland and Antarctic ice cores to test the agreement between different timescales, by taking advantage of the globally synchronous cosmogenic radionuclide production rates. Evidence of an event similar to the Maunder Solar Minimum is found in the new Be-10 datasets, supported by lowerresolution radionuclide data from Greenland and C-14 in the Hulu Cave speleothem, representing a good synchronization candidate at around 22 kyr b2k. By matching the respective 10Be data, we determine the offset between the Greenland ice-core chronology, GICC05, and the Antarctic chronology for the West Antarctic Ice Sheet Divide ice core (WDC), WD2014, to be 125 +/- 40 years. Furthermore, via radionuclide wiggle-matching, we determine the offset between the Hulu speleothem and ice-core timescales to be 375 years for GICC05 (75-625 years at 68% confidence) and 225 years for WD2014 (25-425 years at 68% confidence). The rather wide uncertainties are intrinsic to the wiggle-matching algorithm and the limitations set by data resolution. The undercounting of annual layers in GICC05 inferred from the offset is hypothesized to have been caused by a combination of underdetected annual layers, especially during periods with low winter precipitation, and misinterpreted unusual patterns in the annual signal during the extremely cold period often referred to as Heinrich Stadial 1.</t>
  </si>
  <si>
    <t>[Sinnl, Giulia; Svensson, Anders; Rasmussen, Sune Olander] Univ Copenhagen, Niels Bohr Inst, Phys Ice Climate &amp; Earth, Copenhagen, Denmark; [Adolphi, Florian] Alfred Wegener Inst, Helmholtz Ctr Polar &amp; Marine Res, Bremerhaven, Germany; [Christl, Marcus] Swiss Fed Inst Technol, Lab Ion Beam Phys, Zurich, Switzerland; [Welten, Kees C.] Univ Calif Berkeley, Space Sci Lab, Berkeley, CA USA; [Woodruff, Thomas; Caffee, Marc] Purdue Univ, Dept Phys &amp; Astron, Lafayette, IN USA; [Muscheler, Raimund] Lund Univ, Dept Geol, Quaternary Sci, Lund, Sweden</t>
  </si>
  <si>
    <t>University of Copenhagen; Niels Bohr Institute; Helmholtz Association; Alfred Wegener Institute, Helmholtz Centre for Polar &amp; Marine Research; Swiss Federal Institutes of Technology Domain; ETH Zurich; University of California System; University of California Berkeley; Purdue University System; Purdue University; Lund University</t>
  </si>
  <si>
    <t>Sinnl, G (corresponding author), Univ Copenhagen, Niels Bohr Inst, Phys Ice Climate &amp; Earth, Copenhagen, Denmark.</t>
  </si>
  <si>
    <t>giulia.sinnl@nbi.ku.dk</t>
  </si>
  <si>
    <t>Rasmussen, Sune/B-5560-2008; Svensson, Anders/A-2643-2010; Rasmussen, Sune Olander/AAA-3190-2021; Christl, Marcus/J-4769-2016</t>
  </si>
  <si>
    <t>Svensson, Anders/0000-0002-4364-6085; Rasmussen, Sune Olander/0000-0002-4177-3611; Christl, Marcus/0000-0002-3131-6652; Adolphi, Florian/0000-0003-0014-8753; Muscheler, Raimund/0000-0003-2772-3631</t>
  </si>
  <si>
    <t>ChronoClimate project - Carlsberg Foundation; Helmholtz Association [DNR2013-8421]; Swedish research council [DNR2018-05469, 0440817]; NSF [0230396, 0839042, 0839137, 16572]; WAIS Divide Science Coordination Office at the Desert Research Institute in Reno; NSF Office of Polar Programs - Ice Drilling Program; Villum Investigator Project IceFlow; USA (NSF, Office of Polar Programs); Denmark (SNF); Belgium (FNRS-CFB); France (IPEV); France (INSU/CNRS); Germany (AWI); Iceland (RannIs); Japan (MEXT); Sweden (SPRS); Switzerland (SNF); [VH-NG-1501]</t>
  </si>
  <si>
    <t>ChronoClimate project - Carlsberg Foundation; Helmholtz Association(Helmholtz Association); Swedish research council(Swedish Research Council); NSF(National Science Foundation (NSF)); WAIS Divide Science Coordination Office at the Desert Research Institute in Reno; NSF Office of Polar Programs - Ice Drilling Program; Villum Investigator Project IceFlow; USA (NSF, Office of Polar Programs); Denmark (SNF); Belgium (FNRS-CFB)(Fonds de la Recherche Scientifique - FNRS); France (IPEV); France (INSU/CNRS)(Centre National de la Recherche Scientifique (CNRS)); Germany (AWI); Iceland (RannIs); Japan (MEXT)(Ministry of Education, Culture, Sports, Science and Technology, Japan (MEXT)); Sweden (SPRS); Switzerland (SNF);</t>
  </si>
  <si>
    <t>Giulia Sinnl and Sune Olander Rasmussen acknowledge support via the ChronoClimate project funded by the Carlsberg Foundation. Sune Olander Rasmussen also received support from the Villum Investigator Project IceFlow (grant no. 16572). Giulia Sinnl thanks Stefanie Mueller and Chiara Paleari for their support during the sample preparation in Lund.Florian Adolphi acknowledges support through the Helmholtz Association (grant VH-NG-1501). Raimund Muscheler acknowledges support from the Swedish research council (grants DNR2013-8421 and DNR2018-05469).Kees C. Welten, Thomas Woodruff, and Marc Caffee??????? were supported by NSF grants 0839042 and 0839137. These authors acknowledge the support of the WAIS Divide Science Coordination Office at the Desert Research Institute in Reno, Nevada, for the collection and distribution of the WAIS Divide ice core (Kendrick Taylor, NSF grants 0440817 and 0230396); support from the NSF Office of Polar Programs, which funds the Ice Drilling Program; Raytheon Polar Services for logistics support in Antarctica; and the 109th New York Air National Guard for transport of equipment, people, and ice cores in Antarctica. Finally, we acknowledge Geoff Hargreaves and his staff at the NSF Ice Core Facility for archiving the ice core and organizing and hosting ice-core processing.NorthGRIP was directed and organized by the Department of Geophysics at the Niels Bohr Institute for Astronomy, Physics and Geophysics, University of Copenhagen. It was supported by funding agencies in Denmark (SNF), Belgium (FNRS-CFB), France (IPEV and INSU/CNRS), Germany (AWI), Iceland (RannIs), Japan (MEXT), Sweden (SPRS), Switzerland (SNF), and the USA (NSF, Office of Polar Programs).</t>
  </si>
  <si>
    <t>10.5194/cp-19-1153-2023</t>
  </si>
  <si>
    <t>J1YC8</t>
  </si>
  <si>
    <t>WOS:001007627000001</t>
  </si>
  <si>
    <t>Morales-Torres, DF; Valdivia, N; Rodriguez, SM; Navedo, JG</t>
  </si>
  <si>
    <t>Morales-Torres, Diego F.; Valdivia, Nelson; Rodriguez, Sara M.; Navedo, Juan G.</t>
  </si>
  <si>
    <t>The importance of feeding quickly when thieves are around: Kleptoparasitism on Curlews feeding on an exposed sandy beach in southern Chile</t>
  </si>
  <si>
    <t>Spanish</t>
  </si>
  <si>
    <t>Charadriiformes; gaviotas; cleptoparasitismo; tiempo de manipulacion; rentabilidad</t>
  </si>
  <si>
    <t>FORAGING BEHAVIOR; ENERGY-INTAKE; PREY CHOICE; GULLS; HOST; SHOREBIRD; MIGRATION; CRAB; RISK; ABUNDANCE</t>
  </si>
  <si>
    <t>Resumen La rentabilidad es uno de los factores que mas influye en la seleccion de presas. Este factor varia en funcion del tamano de la presa y del tiempo de manipulacion. Por lo tanto, generalmente las presas grandes son altamente rentables para los consumidores e intensifican la competencia. El cleptoparasitismo es una forma de competencia en la que un individuo roba alimento previamente obtenido por otro individuo. En consecuencia, la manipulacion de presas grandes deberia aumentar la probabilidad de ocurrencia de cleptoparasitismo, sin embargo, estas relaciones siguen siendo poco conocidas. En este trabajo estudiamos la ocurrencia de cleptoparasitismo de la Gaviota Cahuil (Chroicocephalus maculipennis - Laridae) sobre Zarapitos (Numenius phaeopus hudsonicus - Scolopacidae) que se alimentan de chanchitos de mar (Emerita analoga) en una playa arenosa expuesta al oleaje en el sur de Chile. Los modelos lineales generalizados, ajustados a los datos de video secuencias focales-individuales, mostraron que la probabilidad de cleptoparasitismo tuvo una respuesta sigmoidal positiva al tiempo de manipulacion. Ademas, con un aumento de un segundo en el tiempo de manipulacion, los Zarapitos duplicaron su probabilidad de ser cleptoparasitados. Ademas, la probabilidad de ser cleptoparasitado fue un 17% mas alta con un aumento de 10mm en la longitud de la presa y un 47% mas alta con un aumento de una gaviota por hospedador. Sin embargo, el efecto del tiempo de manipulacion sobre la probabilidad de cleptoparasitismo disminuyo ligeramente (2%) con un aumento de 10mm en la clase de tamano de la presa. Nuestros resultados sugieren la existencia de un umbral de tiempo en el que los consumidores pueden manipular a sus presas antes de que la probabilidad de cleptoparasitismo sea demasiado alta. Sin embargo, la tasa media de ingesta de los zarapitos alcanzo 0,15 +/- 0,13kJs(-1), permitiendo que los zarapitos cumplan, en teoria, con sus requerimientos energeticos a pesar de perder algunas presas a causa de los cleptoparasitos. Este estudio proporciona una nueva vision sobre una forma comun de competencia entre consumidores, destacando la importancia del tiempo de manipulacion de presas para las aves playeras con un tiempo de alimentacion restringido a causa de los ciclos de marea.</t>
  </si>
  <si>
    <t>[Morales-Torres, Diego F.; Valdivia, Nelson; Navedo, Juan G.] Univ Austral Chile, Fac Ciencias, Inst Ciencias Marinas &amp; Limnol, Valdivia, Chile; [Valdivia, Nelson] Ctr FONDAP Invest Dinam Ecosistemas Marinos Altas, Valdivia, Chile; [Rodriguez, Sara M.] Univ Catolica Santisima Concepcion, Fac Ciencias, Dept Ecol, Concepcion, Chile; [Rodriguez, Sara M.] Univ Bernardo OHiggins, Ctr Invest Recursos Nat &amp; Sustentabil CIRENYS, Santiago, Chile; [Navedo, Juan G.] Millennium Inst Biodivers Antarctic &amp; Subantarct E, Santiago, Chile</t>
  </si>
  <si>
    <t>Universidad Austral de Chile; Universidad Catolica de la Santisima Concepcion; Universidad Bernardo O'Higgins</t>
  </si>
  <si>
    <t>Morales-Torres, DF (corresponding author), Univ Austral Chile, Fac Ciencias, Inst Ciencias Marinas &amp; Limnol, Valdivia, Chile.</t>
  </si>
  <si>
    <t>diegomoralestorres96@gmail.com</t>
  </si>
  <si>
    <t>Valdivia, Nelson A/C-3613-2009</t>
  </si>
  <si>
    <t>FONDECYT [1190529, 1161224]</t>
  </si>
  <si>
    <t>FONDECYT(Comision Nacional de Investigacion Cientifica y Tecnologica (CONICYT)CONICYT FONDECYT)</t>
  </si>
  <si>
    <t>The study was financially supported by the FONDECYT #1190529 (NV) and FONDECYT #1161224 (JGN). This work is part of DFM-T Honors thesis, submitted to the Universidad Austral de Chile.</t>
  </si>
  <si>
    <t>10.1111/aec.13373</t>
  </si>
  <si>
    <t>KA5M5</t>
  </si>
  <si>
    <t>WOS:001010546500001</t>
  </si>
  <si>
    <t>Sun, JB; Guo, J; Wang, Y; Shan, JC; Yin, JH; Cao, Z</t>
  </si>
  <si>
    <t>Sun, Jianbin; Guo, Jing; Wang, Yan; Shan, Jicheng; Yin, Juhui; Cao, Zheng</t>
  </si>
  <si>
    <t>Preparation and characterization of sodium alginate/Antarctic krill protein/Genipin scaffold for skin tissue engineering</t>
  </si>
  <si>
    <t>JOURNAL OF BIOACTIVE AND COMPATIBLE POLYMERS</t>
  </si>
  <si>
    <t>Genipin; scaffold material; sodium alginate; krill protein; biocompatibility</t>
  </si>
  <si>
    <t>ALGINATE; CHITOSAN</t>
  </si>
  <si>
    <t>In this study, sodium alginate (SA)/Antarctic krill protein(AKP)/Genipin (GP) scaffold was obtained by freeze-drying, in which Antarctic krill protein was used as enhanced the cell adsorption activity of the materials; GP and Ca2+, which have very low cytotoxicity, were selected to cross-link AKP and SA in steps, the interpenetrating network structure of covalent cross-linking-ion complex-hydrogen bonding was finally constructed. By changing the content of GP, the structure, surface morphology, mechanical properties, water absorption, water retention, and cytotoxicity of the scaffold were studied using FTIR, SEM, and other test methods. The results showed that the pore area of the prepared SA/AKP/GP scaffolds exhibited an increase and then a decrease with the increase of GP content; the fracture strength and elongation at break exhibited an increase and then a decrease with the increase of GP content. The breaking strength and elongation at break achieved their maximum values of 32.9 MPa and 4.43% when the content of GP hit 0.8%; The scaffold had good water absorption and water retention; The cytotoxicity grade of the scaffold was grade 0, and the addition of AKP made the fibroblasts have good growth and proliferation ability on the scaffold.</t>
  </si>
  <si>
    <t>[Sun, Jianbin; Guo, Jing; Wang, Yan; Shan, Jicheng; Yin, Juhui; Cao, Zheng] Dalian Polytech Univ, Coll Text &amp; Mat Engn, 1 Light Ind Court, Dalian 116034, Peoples R China; [Guo, Jing] Dalian Polytech Univ, Liaoning Engn Technol Res Ctr Funct Fiber &amp; Its Co, Dalian, Peoples R China</t>
  </si>
  <si>
    <t>Guo, J (corresponding author), Dalian Polytech Univ, Coll Text &amp; Mat Engn, 1 Light Ind Court, Dalian 116034, Peoples R China.</t>
  </si>
  <si>
    <t>guojing8161@163.com</t>
  </si>
  <si>
    <t>National Natural Science Foundation of China [51773024, 51373027]; Science Foundation of Education Department of Liaoning [J2020046]; Liaoning Province Education Department on Scientific Research Project [J2020047]; National Advanced Functional Fiber Innovation Center [CCFA-LVYU-9-02, 2021-fx0100207]</t>
  </si>
  <si>
    <t>National Natural Science Foundation of China(National Natural Science Foundation of China (NSFC)); Science Foundation of Education Department of Liaoning; Liaoning Province Education Department on Scientific Research Project; National Advanced Functional Fiber Innovation Center</t>
  </si>
  <si>
    <t>The author(s) disclosed receipt of the following financial support for the research, authorship, and/or publication of this article: This article was funded by the National Natural Science Foundation of China (grant numbers: 51773024 &amp; 51373027); The Science Foundation of Education Department of Liaoning (grant number: J2020046); Liaoning Province Education Department on Scientific Research Project (grant number: J2020047); The National Advanced Functional Fiber Innovation Center CCFA-LVYU-9-02 (grant number: 2021-fx0100207).</t>
  </si>
  <si>
    <t>SAGE PUBLICATIONS LTD</t>
  </si>
  <si>
    <t>1 OLIVERS YARD, 55 CITY ROAD, LONDON EC1Y 1SP, ENGLAND</t>
  </si>
  <si>
    <t>0883-9115</t>
  </si>
  <si>
    <t>1530-8030</t>
  </si>
  <si>
    <t>J BIOACT COMPAT POL</t>
  </si>
  <si>
    <t>J. Bioact. Compat. Polym.</t>
  </si>
  <si>
    <t>10.1177/08839115231180020</t>
  </si>
  <si>
    <t>Biotechnology &amp; Applied Microbiology; Materials Science, Biomaterials; Polymer Science</t>
  </si>
  <si>
    <t>Biotechnology &amp; Applied Microbiology; Materials Science; Polymer Science</t>
  </si>
  <si>
    <t>J9AF5</t>
  </si>
  <si>
    <t>WOS:001005338800001</t>
  </si>
  <si>
    <t>Soto, FA; Rodríguez, SM; Leonardi, MS; Negrete, J; Cremonte, F</t>
  </si>
  <si>
    <t>Soto, F. A.; Rodriguez, S. M.; Leonardi, M. S.; Negrete, J.; Cremonte, F.</t>
  </si>
  <si>
    <t>New perspectives on morphological and genetic variability of Corynosoma bullosum [Linstow, 1892] parasitizing southern elephant seals from the Antarctic Peninsula</t>
  </si>
  <si>
    <t>JOURNAL OF HELMINTHOLOGY</t>
  </si>
  <si>
    <t>Acanthocephala; Corynosoma bullosum; 18S; Mirounga leonine; Polymorphidae</t>
  </si>
  <si>
    <t>ACANTHOCEPHALA POLYMORPHIDAE; PHYLOGENETIC-RELATIONSHIPS; SYSTEMATIC POSITION; PROFILICOLLIS MEYER; MARINE MAMMALS; PSEUDOCORYNOSOMA; ERECTION; NUCLEAR; WATERS; GENERA</t>
  </si>
  <si>
    <t>Previous descriptions of Corynosoma bullosum (Linstow, 1892) show that specimens vary greatly in the proportions of different body structures, measurements of females and males, number of rows of hooks, and egg measurements, among other features. We redescribe this species from specimens found in southern elephant seal faeces from King George Island. We also provide a molecular characterization, in addition to 5.8S and internal transcribed spacer (ITS) existing sequences. We examined 41 elephant seals, and 30 adult acanthocephalans were found in 15 of them. The specimens were identified as belonging to the genus Corynosoma due to each having a tubular body with an inflated anterior part forming a thorny disk and the posterior part bearing somatic spines on the ventral surface, and genital spines surrounding the genital pore. Individual morphology corresponded to C. bullosum: large size, marked sexual dimorphism, and proboscis with 16-18 rows of spines with 11-15 spines per row. The molecular profile of three specimens of C. bullosum was analysed using 18S rDNA. We inferred phylogenetic relationships of the family Polymorphidae using maximum likelihood and Bayesian inference. We provide an updated morphological redescription for C. bullosum including electron microscopy photographs and molecular data. The 18S gene sequences showed low genetic variation and supported that C. bullosum is a sister to Corynosoma australe.</t>
  </si>
  <si>
    <t>[Soto, F. A.; Leonardi, M. S.; Cremonte, F.] CCT CONICET CENPAT, Inst Biol Organismos Marinos IBIOMAR, Blvd Brown 2915,U9120ACF, Puerto Madryn, Argentina; [Rodriguez, S. M.] Univ Catolica Santisima Concepcion, Fac Ciencias, Dept Ecol, Concepcion, Chile; [Rodriguez, S. M.] Univ Bernardo OHiggins, Ctr Invest Recurso Nat &amp; Sustentabil CIRENYS, Santiago, Chile; [Negrete, J.] Inst Antartico Argentino, Dept Biol Predadores Tope, Buenos Aires, DF, Argentina; [Negrete, J.] Univ Nacl La Plata, Fac Ciencias Nat &amp; Museo, La Plata, Argentina</t>
  </si>
  <si>
    <t>Centro Nacional Patagonico (CENPAT); Universidad Catolica de la Santisima Concepcion; Universidad Bernardo O'Higgins; Instituto Antartico Argentino; National University of La Plata; Museo La Plata</t>
  </si>
  <si>
    <t>Soto, FA (corresponding author), CCT CONICET CENPAT, Inst Biol Organismos Marinos IBIOMAR, Blvd Brown 2915,U9120ACF, Puerto Madryn, Argentina.</t>
  </si>
  <si>
    <t>fsoto@cenpat-conicet.gob.ar</t>
  </si>
  <si>
    <t>Leonardi, Maria Soledad/0000-0002-1736-7031; Cremonte, Florencia/0000-0003-1747-9305; Negrete, Javier/0000-0001-6853-8307; Soto, Florencia/0000-0003-0139-9327</t>
  </si>
  <si>
    <t>0022-149X</t>
  </si>
  <si>
    <t>1475-2697</t>
  </si>
  <si>
    <t>J HELMINTHOL</t>
  </si>
  <si>
    <t>J. Helminthol.</t>
  </si>
  <si>
    <t>e45</t>
  </si>
  <si>
    <t>10.1017/S0022149X23000238</t>
  </si>
  <si>
    <t>Parasitology; Zoology</t>
  </si>
  <si>
    <t>I8BU3</t>
  </si>
  <si>
    <t>WOS:001004992100001</t>
  </si>
  <si>
    <t>Xie, AH; Zhu, JP; Qin, X; Wang, SM; Xu, B; Wang, YC</t>
  </si>
  <si>
    <t>Xie, Aihong; Zhu, Jiangping; Qin, Xiang; Wang, Shimeng; Xu, Bing; Wang, Yicheng</t>
  </si>
  <si>
    <t>Surface warming from altitudinal and latitudinal amplification over Antarctica since the International Geophysical Year</t>
  </si>
  <si>
    <t>POLAR AMPLIFICATION; TEMPERATURE VARIABILITY; CLIMATE-CHANGE; ICE-SHEET; TRENDS; REANALYSES; MOUNTAINS; PENINSULA; REGIONS</t>
  </si>
  <si>
    <t>Warming has been and is being enhanced at high latitudes or high elevations, whereas the quantitative estimation for warming from altitude and latitude effects has not been systematically investigated over Antarctic Ice Sheet, which covers more than 27 degrees of latitude and 4000 m altitude ranges. Based on the monthly surface air temperature data (1958-2020) from ERA5 reanalysis, this work aims to explore whether elevation-dependent warming (EDW) and latitude-dependent warming (LDW) exist. Results show that both EDW and LDW have the cooperative effect on Antarctic warming, and the magnitude of EDW is stronger than LDW. The negative EDW appears between 250 m and 2500 m except winter, and is strongest in autumn. The negative LDW occurs between 83 degrees S and 90 degrees S except in summer. Moreover, the surface downward long-wave radiation that related to the specific humidity, total cloud cover and cloud base height is a major contributor to the EDW over Antarctica. Further research on EDW and LDW should be anticipated to explore the future Antarctic amplification under different emission scenarios.</t>
  </si>
  <si>
    <t>[Xie, Aihong; Zhu, Jiangping; Qin, Xiang; Wang, Shimeng] Chinese Acad Sci, Northwest Inst Ecoenvironm &amp; Resources, State Key Lab Cryospher Sci, Lanzhou, Peoples R China; [Zhu, Jiangping] Univ Chinese Acad Sci, Beijing, Peoples R China; [Xu, Bing] Weather Modificat Off Liaoning Prov, Shenyang, Peoples R China; [Wang, Yicheng] Lanzhou Cent Meteorol Observ, Lanzhou, Peoples R China</t>
  </si>
  <si>
    <t>Zhu, JP (corresponding author), Chinese Acad Sci, Northwest Inst Ecoenvironm &amp; Resources, State Key Lab Cryospher Sci, Lanzhou, Peoples R China.;Zhu, JP (corresponding author), Univ Chinese Acad Sci, Beijing, Peoples R China.</t>
  </si>
  <si>
    <t>zhujiangping@nieer.ac.cn</t>
  </si>
  <si>
    <t>AcknowledgementsThis research was funded by National Natural Science Foundation of China, Grant Number 42276260, and the 2021 technical support talent project of the Chinese Academy of Sciences. We gratefully acknowledge the National Centre for Atmospheric Science and European Center for Medium-Range Weather Forecasts for providing data to improve the paper.</t>
  </si>
  <si>
    <t>JUN 12</t>
  </si>
  <si>
    <t>10.1038/s41598-023-35521-w</t>
  </si>
  <si>
    <t>J2GW8</t>
  </si>
  <si>
    <t>WOS:001007856900054</t>
  </si>
  <si>
    <t>Sun, Y; Lian, F; Yang, ZZ</t>
  </si>
  <si>
    <t>Sun, Yu; Lian, Feng; Yang, Zhongzhen</t>
  </si>
  <si>
    <t>Analysis of the activities of high sea fishing vessels from China, Japan, and Korea via AIS data mining</t>
  </si>
  <si>
    <t>OCEAN &amp; COASTAL MANAGEMENT</t>
  </si>
  <si>
    <t>AIS; High sea fishing; Pelagic fishery; Fishing vessel; China; Japan and Korea</t>
  </si>
  <si>
    <t>AUTOMATIC IDENTIFICATION SYSTEM</t>
  </si>
  <si>
    <t>In addition to offshore fishing, high sea fishing has become another important supply channel for seafood. The pelagic catches of China, Japan, and Korea (CJK) account for 60% of the global total, and an analysis of their activities adds essential clarity regarding global fishery resources. This paper develops a framework for analyzing the activities of HSF vessels based on satellite AIS data from 2019, which is used to study the spatial-temporal characteristics of the lengths, speeds, trajectories, and trajectory densities of HSF vessels, the numbers of active vessels, and their average fishing times. The analysis results show that: 1) Chinese HSF vessels are mostly small, relative to Japanese and Korean ships; 2) The speed of Japanese HSF vessels is consistently the highest; 3) All HSF vessels mainly fish in the Northwest Pacific, Western Central Pacific, Eastern Central Pacific, Southeast Pacific, Eastern Central Atlantic, Southeast Atlantic, and Western Indian Oceans; 4) The trajectory distribution of Chinese and Japanese vessels are similar, and both are more widely distributed than Korean vessels; 5) Chinese and Korean HSF vessels mostly enter the Atlantic through the Drake Passage, while Japanese ships mostly enter through the Panama Canal; 6) Chinese HSF vessels fish in Antarctic fisheries all year, while Korean ships aim to fish in Antarctic fisheries in the Spring, Summer, and Winter; 7) China has the largest number of HSF vessels in all fisheries, but their average fishing time is the shortest; 8) The average fishing time of all HSF vessels in Spring and Summer is short, increases during the Autumn, and continues to rise in some fisheries during Winter. This study is not only of great significance for the management and conservation of marine resources, but is also a valuable reference for the promotion of international cooperation in safeguarding marine fisheries.</t>
  </si>
  <si>
    <t>[Sun, Yu; Lian, Feng; Yang, Zhongzhen] Ningbo Univ, Donghai Acad, Ningbo, Peoples R China</t>
  </si>
  <si>
    <t>Ningbo University</t>
  </si>
  <si>
    <t>Yang, ZZ (corresponding author), Ningbo Univ, Donghai Acad, Ningbo, Peoples R China.</t>
  </si>
  <si>
    <t>yangzhongzhen@nbu.edu.cn</t>
  </si>
  <si>
    <t>YANG, Zhongzhen/AAW-2750-2020</t>
  </si>
  <si>
    <t>National Natural Science Foundation of China [72271132, 72072097]</t>
  </si>
  <si>
    <t>This work was supported by the National Natural Science Foundation of China [grant number 72271132 and 72072097] .</t>
  </si>
  <si>
    <t>0964-5691</t>
  </si>
  <si>
    <t>1873-524X</t>
  </si>
  <si>
    <t>OCEAN COAST MANAGE</t>
  </si>
  <si>
    <t>Ocean Coastal Manage.</t>
  </si>
  <si>
    <t>10.1016/j.ocecoaman.2023.106690</t>
  </si>
  <si>
    <t>Oceanography; Water Resources</t>
  </si>
  <si>
    <t>L8XT1</t>
  </si>
  <si>
    <t>WOS:001026045900001</t>
  </si>
  <si>
    <t>Zhou, SJ; Meijers, AJS; Meredith, MP; Abrahamsen, EP; Holland, PR; Silvano, A; Sallée, JB; Osterhus, S</t>
  </si>
  <si>
    <t>Zhou, Shenjie; Meijers, Andrew J. S.; Meredith, Michael P. P.; Abrahamsen, E. Povl; Holland, Paul R. R.; Silvano, Alessandro; Sallee, Jean-Baptiste; Osterhus, Svein</t>
  </si>
  <si>
    <t>Slowdown of Antarctic Bottom Water export driven by climatic wind and sea-ice changes</t>
  </si>
  <si>
    <t>SOUTHERN-OCEAN; LEVEL RISE; VARIABILITY; SHELF; DEEP; TEMPERATURE; CIRCULATION; TOPOGRAPHY; ATLANTIC; BUDGETS</t>
  </si>
  <si>
    <t>Dense-water formation around Antarctica could be reduced as climate change alters sea-ice formation and circulation patterns. This study shows there has been an over 40% reduction in dense-water formation in the Weddell Sea since 1992, which could affect global overturning circulation. Antarctic Bottom Water (AABW) is pivotal for oceanic heat and carbon sequestrations on multidecadal to millennial timescales. The Weddell Sea contributes nearly a half of global AABW through Weddell Sea Deep Water and denser underlying Weddell Sea Bottom Water that form on the continental shelves via sea-ice production. Here we report an observed 30% reduction of Weddell Sea Bottom Water volume since 1992, with the largest decrease in the densest classes. This is probably driven by a multidecadal reduction in dense-water production over southern continental shelf associated with a &gt;40% decline in the sea-ice formation rate. The ice production decrease is driven by northerly wind trend, related to a phase transition of the Interdecadal Pacific Oscillation since the early 1990s, superposed by Amundsen Sea Low intrinsic variability. These results reveal key influences on exported AABW to the Atlantic abyss and their sensitivity to large-scale, multidecadal climate variability.</t>
  </si>
  <si>
    <t>[Zhou, Shenjie; Meijers, Andrew J. S.; Meredith, Michael P. P.; Abrahamsen, E. Povl; Holland, Paul R. R.] British Antarctic Survey, Cambridge, England; [Silvano, Alessandro] Univ Southampton, Natl Oceanog Ctr, Dept Ocean &amp; Earth Sci, Southampton, England; [Sallee, Jean-Baptiste] Sorbonne Univ, CNRS, LOCEAN, IPSL,IRD,MNHN, Paris, France; [Osterhus, Svein] NORCE Norwegian Res Ctr, Bergen, Norway; [Osterhus, Svein] Bjerknes Ctr Climate Res, Bergen, Norway</t>
  </si>
  <si>
    <t>UK Research &amp; Innovation (UKRI); Natural Environment Research Council (NERC); NERC British Antarctic Survey; NERC National Oceanography Centre; University of Southampton; Museum National d'Histoire Naturelle (MNHN); Institut de Recherche pour le Developpement (IRD); Sorbonne Universite; Centre National de la Recherche Scientifique (CNRS); Norwegian Research Centre (NORCE); Bjerknes Centre for Climate Research</t>
  </si>
  <si>
    <t>Zhou, SJ (corresponding author), British Antarctic Survey, Cambridge, England.</t>
  </si>
  <si>
    <t>shezhou@bas.ac.uk</t>
  </si>
  <si>
    <t>sallée, jean-baptiste/A-5837-2010; Abrahamsen, Povl/B-2140-2008</t>
  </si>
  <si>
    <t>Abrahamsen, Povl/0000-0001-5924-5350; Zhou, Shenjie/0000-0002-9124-6270; Osterhus, Svein/0000-0001-9915-2685; Silvano, Alessandro/0000-0002-6441-1496</t>
  </si>
  <si>
    <t>European Union [821001]; Natural Environment Research Council [NE/N018095/1]; ORCHESTRA [NE/V013254/1]; NERC [820575]; [NE/V014285/1]</t>
  </si>
  <si>
    <t>European Union(European Union (EU)); Natural Environment Research Council(UK Research &amp; Innovation (UKRI)Natural Environment Research Council (NERC)); ORCHESTRA; NERC(UK Research &amp; Innovation (UKRI)Natural Environment Research Council (NERC));</t>
  </si>
  <si>
    <t>We thank the originators of all the open-access datasets used in this study, including remotely sensed sea-ice concentration, sea-ice drift, atmospheric reanalysis datasets and climate indices. This study received funding from the European Union's Horizon 2020 research and innovation programme under grant agreement no. 821001 (SO-CHIC) and the Natural Environment Research Council (grant NE/N018095/1, ORCHESTRA, and NE/V013254/1, ENCORE). S.O. received funding from the European Union's Horizon 2020 research and innovation programme under grant agreement no. 820575 (TiPACCs). A.S. acknowledges the funding from NERC (NE/V014285/1).</t>
  </si>
  <si>
    <t>10.1038/s41558-023-01695-4</t>
  </si>
  <si>
    <t>WOS:001004931500003</t>
  </si>
  <si>
    <t>Temme, F; Farías-Barahona, D; Seehaus, T; Jaña, R; Arigony-Neto, J; Gonzalez, I; Arndt, A; Sauter, T; Schneider, C; Fürst, JJ</t>
  </si>
  <si>
    <t>Temme, Franziska; Farias-Barahona, David; Seehaus, Thorsten; Jana, Ricardo; Arigony-Neto, Jorge; Gonzalez, Inti; Arndt, Anselm; Sauter, Tobias; Schneider, Christoph; Fuerst, Johannes J.</t>
  </si>
  <si>
    <t>Strategies for regional modeling of surface mass balance at the Monte Sarmiento Massif, Tierra del Fuego</t>
  </si>
  <si>
    <t>TEMPERATURE LAPSE RATES; HAUT GLACIER DAROLLA; ANTARCTIC ICE-SHEET; ENERGY-BALANCE; OROGRAPHIC PRECIPITATION; EXTREME PRECIPITATION; SNOW ACCUMULATION; CORDILLERA DARWIN; SOUTHERN ANDES; ABLATION ZONE</t>
  </si>
  <si>
    <t>This study investigates strategies for calibration of surface mass balance (SMB) models in the Monte Sarmiento Massif (MSM), Tierra del Fuego, with the goal of achieving realistic simulations of the regional SMB. Applied calibration strategies range from a local single-glacier calibration to a regional calibration with the inclusion of a snowdrift parameterization. We apply four SMB models of different complexity. In this way, we examine the model transferability in space, the benefit of regional mass change observations and the advantage of increasing the complexity level regarding included processes. Measurements include ablation and ice thickness observations at Schiaparelli Glacier as well as elevation changes and flow velocity from satellite data for the entire study site. Performance of simulated SMB is validated against geodetic mass changes and stake observations of surface melting. Results show that transferring SMB models in space is a challenge, and common practices can produce distinctly biased estimates. Model performance can be significantly improved by the use of remotely sensed regional observations. Furthermore, we have shown that snowdrift does play an important role in the SMB in the Cordillera Darwin, where strong and consistent winds prevail. The massif-wide average annual SMB between 2000 and 2022 falls between -0.28 and -0.07 m w.e. yr(-1), depending on the applied model. The SMB is mainly controlled by surface melting and snowfall. The model intercomparison does not indicate one obviously best-suited model for SMB simulations in the MSM.</t>
  </si>
  <si>
    <t>[Temme, Franziska; Farias-Barahona, David; Seehaus, Thorsten; Fuerst, Johannes J.] Friedrich Alexander Univ, Inst Geog, D-91058 Erlangen, Germany; [Farias-Barahona, David] Univ Concepcion, Dept Geog, Concepcion 4030000, Chile; [Jana, Ricardo] Inst Antart Chileno, Dept Cientif, Arenas 6200000, Chile; [Arigony-Neto, Jorge] Univ Fed Rio Grande, Inst Oceanog, Rio Grande 96203, Brazil; [Arigony-Neto, Jorge] Univ Fed Rio Grande, Inst Nacl Ciencia &amp; Tecnol Criosfera, BR-91501970 Porto Alegre, Brazil; [Gonzalez, Inti] Ctr Estudios Cuaternario Fuego Patagonia &amp; Antarc, Punta Arenas 6200000, Chile; [Gonzalez, Inti] Univ Magallanes, Programa Doctorado Ciencias Antart &amp; Subantart, Punta Arenas 6200000, Chile; [Arndt, Anselm; Sauter, Tobias; Schneider, Christoph] Humboldt Univ, Geog Dept, D-10099 Berlin, Germany</t>
  </si>
  <si>
    <t>University of Erlangen Nuremberg; Universidad de Concepcion; Universidade Federal do Rio Grande; Universidade Federal do Rio Grande; Universidad de Magallanes; Humboldt University of Berlin</t>
  </si>
  <si>
    <t>Temme, F (corresponding author), Friedrich Alexander Univ, Inst Geog, D-91058 Erlangen, Germany.</t>
  </si>
  <si>
    <t>franziska.temme@fau.de</t>
  </si>
  <si>
    <t>Jaña, Ricardo/AAR-1225-2020; sauter, tobias/HSD-8208-2023; Jaña, Ricardo A/D-7543-2013</t>
  </si>
  <si>
    <t>Jaña, Ricardo/0000-0003-3319-1168; sauter, tobias/0000-0002-2232-8096; Schneider, Christoph/0000-0002-9914-3217; ARNDT, Anselm/0000-0001-6377-2954; Farias-Barahona, David/0009-0002-2385-7923; Furst, Johannes/0000-0003-3988-5849; Seehaus, Thorsten/0000-0001-5055-8959; Temme, Franziska/0000-0002-4713-5493</t>
  </si>
  <si>
    <t>Bavarian state authorities [FU 1032/5-1]; German Research Foundation (DFG) [FU 1032/5-1]; European Union's Horizon 2020 research and innovation programme via the European Research Council (ERC) [948290]; DFG [FU1032/5-1, BR2105/28-1, FU1032/12-1]; ANID Subvencion a la instalacion a laacademia 2022 [PAI85220007, ACT210080]; ESA Living Planet Fellowship Programme(Project MIT-AP); Rio~Grande do Sul state Research Support Foundastion (FAPERGS) [17/25510000518-0, 21/2551-0002034-2]; European Research Council (ERC) [948290] Funding Source: European Research Council (ERC)</t>
  </si>
  <si>
    <t>Bavarian state authorities; German Research Foundation (DFG)(German Research Foundation (DFG)); European Union's Horizon 2020 research and innovation programme via the European Research Council (ERC); DFG(German Research Foundation (DFG)); ANID Subvencion a la instalacion a laacademia 2022; ESA Living Planet Fellowship Programme(Project MIT-AP); Rio~Grande do Sul state Research Support Foundastion (FAPERGS); European Research Council (ERC)(European Research Council (ERC)Spanish Government)</t>
  </si>
  <si>
    <t>This research was funded by the German Research Foundation (DFG) within the MAGIC project (FU 1032/5-1). Fuerst has received funding from the European Union's Horizon 2020 research and innovation programme via the European Research Council (ERC) as a Starting Grant (StG) under grant agreement No 948290. Farias-Barahona was funded by the DFG withinthe MAGIC and ITERATE projects (FU1032/5-1, BR2105/28-1,FU1032/12-1) as well as by ANID Subvencion a la instalacion a laacademia 2022 (PAI85220007), and Anillo ACT210080. Seehausreceived support by the ESA Living Planet Fellowship Programme(Project MIT-AP). Arigony-Neto received funding from the Rio Grande do Sul state Research Support Foundastion (FAPERGS nos.17/25510000518-0 and 21/2551-0002034-2).</t>
  </si>
  <si>
    <t>10.5194/tc-17-2343-2023</t>
  </si>
  <si>
    <t>J0OZ1</t>
  </si>
  <si>
    <t>WOS:001006698700001</t>
  </si>
  <si>
    <t>Galleguillos, C; Acuña-Rodríguez, IS; Torres-Díaz, C; Gundel, PE; Molina-Montenegro, MA</t>
  </si>
  <si>
    <t>Galleguillos, Carolina; Acuna-Rodriguez, Ian S.; Torres-Diaz, Cristian; Gundel, Pedro E.; Molina-Montenegro, Marco A.</t>
  </si>
  <si>
    <t>Genetic control underlying the flowering-drought tolerance trade-off in the Antarctic plant Colobanthus quitensis</t>
  </si>
  <si>
    <t>PLANT CELL AND ENVIRONMENT</t>
  </si>
  <si>
    <t>antarctica; colobanthus quitensis; drought; flower production; gene expression; latitudinal gradient; trade-off</t>
  </si>
  <si>
    <t>ABIOTIC STRESS TOLERANCE; TRANSCRIPTION FACTORS; OXIDATIVE STRESS; COLD RESISTANCE; HEAT-STRESS; GROWTH; POPULATIONS; EXPRESSION; ALLOCATION; CARYOPHYLLACEAE</t>
  </si>
  <si>
    <t>Plants inhabiting environments with stressful conditions often exhibit a low number of flowers, which can be attributed to the energetic cost associated with reproduction. One of the most stressful environments for plants is the Antarctic continent, characterized by limited soil water availability and low temperatures. Induction of dehydrins like those from the COR gene family and auxin transcriptional response repressor genes (IAAs), which are involved in floral repression, has been described in response to water stress. Here, we investigated the relationship between the water deficit-induced stress response and the number of flowers in Colobanthus quitensis plants collected from populations along a latitudinal gradient. The expression levels of COR47 and IAA12 genes in response to water deficit were found to be associated with the number of flowers. The relationship was observed both in the field and growth chambers. Watering the plants in the growth chambers alleviated the stress and stimualted flowering, thereby eliminating the trade-off observed in the field. Our study provides a mechanistic understanding of the ecological constraints on plant reproduction along a water availability gradient. However, further experiments are needed to elucidate the primary role of water availability in regulating resource allocation to reproduction in plants inhibiting extreme environments.</t>
  </si>
  <si>
    <t>[Galleguillos, Carolina; Acuna-Rodriguez, Ian S.; Gundel, Pedro E.; Molina-Montenegro, Marco A.] Univ Talca, Ctr Ecol Integrat, Inst Ciencias Biol, Talca, Chile; [Acuna-Rodriguez, Ian S.] Univ Talca, Inst Invest Interdisciplinarias I3, Talca, Chile; [Torres-Diaz, Cristian] Univ Bio Bio, Dept Ciencias Nat, Lab Genom &amp; Biodivers LGB, Chillan, Chile; [Gundel, Pedro E.] Univ Buenos Aires, CONICET, IFEVA, Fac Agron, Buenos Aires, Argentina; [Molina-Montenegro, Marco A.] Univ Catolica Maule, Ctr Invest Estudios Avanzados Maule CIEAM, Talca, Chile</t>
  </si>
  <si>
    <t>Universidad de Talca; Universidad de Talca; Universidad del Bio-Bio; Consejo Nacional de Investigaciones Cientificas y Tecnicas (CONICET); University of Buenos Aires; Universidad Catolica del Maule</t>
  </si>
  <si>
    <t>Molina-Montenegro, MA (corresponding author), Univ Talca, Ctr Ecol Integrat, Inst Ciencias Biol, Ave Lircay S-N,Campus Lircay, Talca, Chile.</t>
  </si>
  <si>
    <t>marco.molina@utalca.cl</t>
  </si>
  <si>
    <t>INACH [DG_18_18]; ANID [21171404]</t>
  </si>
  <si>
    <t>INACH; ANID</t>
  </si>
  <si>
    <t>INACH DG_18_18; ANID 21171404</t>
  </si>
  <si>
    <t>0140-7791</t>
  </si>
  <si>
    <t>1365-3040</t>
  </si>
  <si>
    <t>PLANT CELL ENVIRON</t>
  </si>
  <si>
    <t>Plant Cell Environ.</t>
  </si>
  <si>
    <t>10.1111/pce.14645</t>
  </si>
  <si>
    <t>AC8I2</t>
  </si>
  <si>
    <t>WOS:001004713900001</t>
  </si>
  <si>
    <t>Henderson, AF; Cheeseman, T; Curcio, N; Marcías, ML; Andrews, O; Lea, MA</t>
  </si>
  <si>
    <t>Henderson, Angus F.; Cheeseman, Ted; Curcio, Nadia; Marcias, Maria L.; Andrews, Olive; Lea, Mary-Anne</t>
  </si>
  <si>
    <t>The most southerly occurrence of humpback whales in the western Weddell Sea</t>
  </si>
  <si>
    <t>BALAENOPTERA-BONAERENSIS; MEGAPTERA-NOVAEANGLIAE; KRILL; OCEAN</t>
  </si>
  <si>
    <t>[Henderson, Angus F.; Lea, Mary-Anne] Univ Tasmania, Inst Marine &amp; Antarctic Studies, Hobart, Tas, Australia; [Henderson, Angus F.; Lea, Mary-Anne] Univ Tasmania, Ctr Marine Socioecol, Hobart, Tas, Australia; [Cheeseman, Ted] Southern Cross Univ, Marine Ecol Res Ctr, Lismore, Australia; [Cheeseman, Ted] Happywhale, Santa Cruz, CA USA; [Curcio, Nadia] Natl Inst Fisheries Res &amp; Dev INIDEP, Mar Del Plata, Argentina; [Marcias, Maria L.] Autonomous Univ Baja California, La Paz, Mexico; [Andrews, Olive] Univ Auckland, Inst Marine Sci, Auckland, New Zealand; [Andrews, Olive] Whaleology, Auckland, New Zealand</t>
  </si>
  <si>
    <t>University of Tasmania; University of Tasmania; Southern Cross University; National Fisheries Research &amp; Development Institute (INIDEP); Universidad Autonoma de Baja California; University of Auckland</t>
  </si>
  <si>
    <t>Henderson, AF (corresponding author), Inst Marine &amp; Antarctic Studies, 20 Castray Esplanade, Battery Point, Tas 7004, Australia.</t>
  </si>
  <si>
    <t>angus.henderson@utas.edu.au</t>
  </si>
  <si>
    <t>; Lea, Mary-Anne/E-9054-2013</t>
  </si>
  <si>
    <t>Cheeseman, Ted/0000-0002-5805-2431; Lea, Mary-Anne/0000-0001-8318-9299; Andrews, Olive/0000-0002-1053-2161; Marcias, Maria Laura/0000-0001-9865-3242; Curcio, Nadia Soledad/0000-0002-2522-3732</t>
  </si>
  <si>
    <t>10.1111/mms.13033</t>
  </si>
  <si>
    <t>WOS:001004594300001</t>
  </si>
  <si>
    <t>Liu, YL; Li, LZ; Yang, JL; Huang, HL; Song, W</t>
  </si>
  <si>
    <t>Liu, Yongliang; Li, Lingzhi; Yang, Jialiang; Huang, Hongliang; Song, Wei</t>
  </si>
  <si>
    <t>Transcriptome analysis reveals genes connected to temperature adaptation in juvenile antarctic krill Euphausia superba</t>
  </si>
  <si>
    <t>GENES &amp; GENOMICS</t>
  </si>
  <si>
    <t>Euphausia superba; Transcriptome analysis; Differentially expressed genes; Temperature adaptation</t>
  </si>
  <si>
    <t>HEAT-STRESS; RESPONSES; TOLERANCE; INSIGHTS; IMPACTS; GROWTH</t>
  </si>
  <si>
    <t>BackgroundThe Antarctic krill, Euphausia superba (E. superba), is a key organism in the Antarctic marine ecosystem and has been widely studied. However, there is a lack of transcriptome data focusing on temperature responses.MethodsIn this study, we performed transcriptome sequencing of E. superba samples exposed to three different temperatures: -1.19 degrees C (low temperature, LT), - 0.37 degrees C (medium temperature, MT), and 3 degrees C (high temperature, HT).ResultsIllumina sequencing generated 772,109,224 clean reads from the three temperature groups. In total, 1,623, 142, and 842 genes were differentially expressed in MT versus LT, HT versus LT, and HT versus MT, respectively. Moreover, Kyoto Encyclopedia of Genes and Genomes analysis revealed that these differentially expressed genes were mainly involved in the Hippo signaling pathway, MAPK signaling pathway, and Toll-like receptor signaling pathway. Quantitative reverse-transcription PCR revealed that ESG037073 expression was significantly upregulated in the MT group compared with the LT group, and ESG037998 expression was significantly higher in the HT group than in the LT group.ConclusionsThis is the first transcriptome analysis of E. superba exposed to three different temperatures. Our results provide valuable resources for further studies on the molecular mechanisms underlying temperature adaptation in E. superba.</t>
  </si>
  <si>
    <t>[Liu, Yongliang] Yantai Univ, Sch Ocean, 30 Qingquan Rd, Yantai 264005, Peoples R China; [Li, Lingzhi; Yang, Jialiang; Huang, Hongliang; Song, Wei] Chinese Acad Fishery Sci, East China Sea Fisheries Res Inst, Key Lab Ocean &amp; Polar Fisheries, Minist Agr, Shanghai 200090, Peoples R China</t>
  </si>
  <si>
    <t>Yantai University; Chinese Academy of Fishery Sciences; East China Sea Fisheries Research Institute, CAFS; Ministry of Agriculture &amp; Rural Affairs</t>
  </si>
  <si>
    <t>Song, W (corresponding author), Chinese Acad Fishery Sci, East China Sea Fisheries Res Inst, Key Lab Ocean &amp; Polar Fisheries, Minist Agr, Shanghai 200090, Peoples R China.</t>
  </si>
  <si>
    <t>songw@ecsf.ac.cn</t>
  </si>
  <si>
    <t>yang, liu/JXX-5043-2024; Wang, YUJIE/JXY-8442-2024; zhang, lu/KGL-6144-2024; Wang, Yu/KGL-3101-2024; Yu, Shicheng/KHU-3059-2024; yang, xiao/KHT-9445-2024; Wang, Weiyi/JZC-7841-2024; Liu, Xiaohan/KBB-4246-2024; chen, yue/JXW-9556-2024; zhou, wei/JQJ-0490-2023; Wang, Zhuo/JVO-1874-2024; Liu, Yuxuan/JVO-7759-2024; wang, wenjing/KEH-0575-2024; Yuan, Yi/KGL-5178-2024; Zhang, Zixuan/JSL-3603-2023; li, song/JVO-5938-2024; Chen, YiJun/KFS-9282-2024; Wang, Jin/KAM-5595-2024; PENG, CHENG/KCL-2506-2024; Zhang, Xiaoyu/JXR-6386-2024; Wang, Jinlong/KHC-3829-2024; WANG, YUHAO/KBB-0213-2024; li, yuanfang/KHV-1697-2024; LEI, LEI/JTS-4675-2023; LIU, YUTING/JUV-1285-2023; chen, zhuo/JXX-1337-2024; li, fang/KDO-8841-2024; Wang, Xiaojun/JUU-9683-2023; Yang, YiChen/KEI-0140-2024; lei, lei/JSL-3106-2023; wang, wang/KGW-2828-2024; yang, yunfeng/KHT-9566-2024; zhao, wei/JZD-4475-2024</t>
  </si>
  <si>
    <t>Liu, Xiaohan/0009-0009-5291-2494; Yang, Jialiang/0000-0002-2589-566X</t>
  </si>
  <si>
    <t>Impact and Response of Antarctic Seas to Climate Change [IRASCC 01-02-05 A]</t>
  </si>
  <si>
    <t>Impact and Response of Antarctic Seas to Climate Change</t>
  </si>
  <si>
    <t>This work was supported by Impact and Response of Antarctic Seas to Climate Change (IRASCC 01-02-05 A).</t>
  </si>
  <si>
    <t>1976-9571</t>
  </si>
  <si>
    <t>2092-9293</t>
  </si>
  <si>
    <t>GENES GENOM</t>
  </si>
  <si>
    <t>Genes Genom.</t>
  </si>
  <si>
    <t>10.1007/s13258-023-01377-7</t>
  </si>
  <si>
    <t>Biochemistry &amp; Molecular Biology; Biotechnology &amp; Applied Microbiology; Genetics &amp; Heredity</t>
  </si>
  <si>
    <t>L8BS8</t>
  </si>
  <si>
    <t>WOS:001004072100004</t>
  </si>
  <si>
    <t>Cherel, Y; Trouvé, C; Bustamante, P</t>
  </si>
  <si>
    <t>Cherel, Yves; Trouve, Colette; Bustamante, Paco</t>
  </si>
  <si>
    <t>Cephalopod prey of light-mantled sooty albatross Phoebetria palpebrata, resource partitioning amongst Kerguelen albatrosses, and teuthofauna of the southern Indian Ocean</t>
  </si>
  <si>
    <t>Antarctica; Bio-indication; Procellariiformes; Psychroteuthis glacialis; Seabirds; Southern Ocean; Squids; Stable isotopes</t>
  </si>
  <si>
    <t>BLACK-BROWED ALBATROSSES; PROVISIONING STRATEGIES; SYMPATRIC ALBATROSSES; FORAGING AREAS; APTENODYTES-PATAGONICUS; SATELLITE TRACKING; TROPHIC ECOLOGY; STABLE-ISOTOPES; FEEDING ECOLOGY; POLAR FRONT</t>
  </si>
  <si>
    <t>The cephalopod diet of the light-mantled sooty albatross Phoebetria palpebrata was determined for the first time at the subantarctic Kerguelen Islands by sorting similar to 7000 accumulated beaks from 66 regurgitated boluses. Twentytwo taxa were identified, including four dominant squid species that are all endemic to the Southern Ocean: Galiteuthis glacialis (49.8% of the lower beaks) Psychroteuthis glacialis (18.5%), Martialia hyadesi (16.2%) and Moroteuthopsis longimana (6.9%). Beak delta C-13 values indicated that all adult P. glacialis, almost all juvenile M. longimana, and most adult G. glacialis were caught in Antarctic waters, while albatrosses preyed upon juvenile M. hyadesi in subantarctic waters. Comparative analysis of lower beaks accumulated in food samples of Kerguelen albatrosses showed that the four main sympatric albatross species segregate primarily by species-specific foraging grounds. Light-mantled sooty albatross feed on the Antarctic P. glacialis, wandering albatross Diomedea exulans on subantarctic and subtropical histioteuthids (41.4%), and grey-headed albatross Thalassarche chrysostoma and black-browed albatross T. melanophris on subantarctic ommastrephids (69.3% and 65.7%, respectively), with black-browed albatross also preying upon neritic endemic octopuses (17.6%). Cephalopod prey of Kerguelen albatrosses highlight the abundance and importance of some squids in the functioning of the pelagic ecosystem of the southern Indian Ocean, such as ommastrephids, M. longimana, P. glacialis, Histioteuthis atlantica, H. eltaninae, and G. glacialis. Based on the diet of the light-mantled sooty albatross, P. glacialis appears common in high-Antarctic waters of the southern Indian Ocean, whereas the poorly known Psychroteuthis sp. B (Imber) is evidently present in Antarctic waters south of the Kerguelen Islands.</t>
  </si>
  <si>
    <t>[Cherel, Yves; Trouve, Colette] La Rochelle Univ, Ctr Etud Biol Chize, UMR 7372, CNRS, F-79360 Villiers En Bois, France; [Bustamante, Paco] La Rochelle Univ, Littoral Environm &amp; Soc LIENSs, UMR 7266, CNRS, 2 rue Olympe Gouges, F-17000 La Rochelle, France</t>
  </si>
  <si>
    <t>Centre National de la Recherche Scientifique (CNRS); CNRS - Institute of Ecology &amp; Environment (INEE); Centre National de la Recherche Scientifique (CNRS); CNRS - Institute of Ecology &amp; Environment (INEE)</t>
  </si>
  <si>
    <t>Cherel, Y (corresponding author), La Rochelle Univ, Ctr Etud Biol Chize, UMR 7372, CNRS, F-79360 Villiers En Bois, France.</t>
  </si>
  <si>
    <t>cherel@cebc.cnrs.fr</t>
  </si>
  <si>
    <t>Bustamante, Paco/0000-0003-3877-9390</t>
  </si>
  <si>
    <t>CPER (Contrat de Projet Etat-Region); FEDER (Fonds Europeen de Developpement Regional); IPEV [109]; Terres Australes et Antarctiques Francaises</t>
  </si>
  <si>
    <t>CPER (Contrat de Projet Etat-Region); FEDER (Fonds Europeen de Developpement Regional)(European Union (EU)); IPEV; Terres Australes et Antarctiques Francaises</t>
  </si>
  <si>
    <t>The authors thank fieldworkers who collected regurgitated boluses, and Gael Guillou from the Plateforme d'Analyses Elementaires (LIENSs, La Rochelle) for stable isotope analysis. Thanks are due to the CPER (Contrat de Projet Etat-Region) and the FEDER (Fonds Europeen de Developpement Regional) for funding the IRMS of LIENSs laboratory. The IUF (Institut Universitaire de France) is acknowledged for its support to Paco Bustamante as a Senior Member. Fieldwork was approved by the Conseil des Programmes Scientifiques et Technologies Polaires of the Institut Polaire Francais Paul Emile Victor (IPEV), and procedures were approved by the Animal Ethics Committee of IPEV. The present work was supported financially and logistically by IPEV (Programme N ? 109, C. Barbraud) and the Terres Australes et Antarctiques Francaises.</t>
  </si>
  <si>
    <t>10.1016/j.dsr.2023.104082</t>
  </si>
  <si>
    <t>Q5MI5</t>
  </si>
  <si>
    <t>WOS:001057958400001</t>
  </si>
  <si>
    <t>Yao, Q; Guo, J; Guan, FC; Yang, Q; Zhang, X; Xu, Y; Li, J; Bao, D</t>
  </si>
  <si>
    <t>Yao, Qiang; Guo, Jing; Guan, Fucheng; Yang, Qiang; Zhang, Xin; Xu, Yi; Li, Jia; Bao, Da</t>
  </si>
  <si>
    <t>Preparation and characterization of molybdenum disulfide - Sodium alginate/Antarctic krill protein composite fiber for dye adsorption</t>
  </si>
  <si>
    <t>COLLOIDS AND SURFACES A-PHYSICOCHEMICAL AND ENGINEERING ASPECTS</t>
  </si>
  <si>
    <t>Molybdenum disulfide; Sodium alginate fiber; Adsorption; Methylene blue</t>
  </si>
  <si>
    <t>METHYLENE-BLUE; PHOTOCATALYTIC ACTIVITY; EXFOLIATION; EVOLUTION; MEMBRANE; HYDROGEN; WATER; OXIDE</t>
  </si>
  <si>
    <t>The dyeing and finishing industry inevitably produces a large amount of wastewater, and how to treat pollutants such as methylene blue (MB) in the wastewater is a huge challenge. In this paper, molybdenum disulfide (MoS2) after simple ultrasonic treatment was added to the sodium alginate/Antarctic krill protein composite fiber (SAF) as an additive, and the MoS2-sodium alginate/Antarctic krill protein composite fiber (MSAF) was successfully prepared, which was used as an adsorbent for MB. The results indicated that MSAF had an excellent adsorption effect on MB, the maximum adsorption capacity in the experiment could reach 472.68 mg/g, which was 27 % higher than that of SAF, and the theoretical adsorption capacity calculated by fitting could reach 934.58 mg/g. Moreover, the MSAF still has high adsorption efficiency after five adsorption-desorption cycles. Based on the data of the present investigation, MSAF can be used as an efficient and reliable adsorbent and is expected to be used as a functional textile fabric in the fields of filtration and treatment of textile printing and dyeing wastewater.</t>
  </si>
  <si>
    <t>[Yao, Qiang; Guo, Jing; Guan, Fucheng; Yang, Qiang; Zhang, Xin; Xu, Yi; Li, Jia; Bao, Da] Dalian Polytech Univ, Sch Text &amp; Mat Engn, Dalian 116034, Peoples R China; [Yao, Qiang; Guo, Jing; Guan, Fucheng; Yang, Qiang; Zhang, Xin; Xu, Yi; Li, Jia; Bao, Da] Qingdao Univ, State Key Lab Biofibers &amp; Ecotext, Qingdao 266071, Peoples R China</t>
  </si>
  <si>
    <t>Dalian Polytechnic University; Qingdao University</t>
  </si>
  <si>
    <t>Guo, J; Guan, FC (corresponding author), Dalian Polytech Univ, Sch Text &amp; Mat Engn, Dalian 116034, Peoples R China.</t>
  </si>
  <si>
    <t>nosferatu_1922@163.com; guojing8161@163.com; gfc6322577@163.com; q_yang@outlook.com; 77347935@qq.com; xuyi5672@163.com; lj18840597623@163.com; 1586129568@qq.com</t>
  </si>
  <si>
    <t>State Key Laboratory of Bio-Fibers and Eco-Textiles (Qingdao University) [51773024]; National Natural Science Foundation of China [CCFA-LVYU-9-02]; Green Yu Fund of China Chemical Fiber Industry Association; [KFKT202201]</t>
  </si>
  <si>
    <t>State Key Laboratory of Bio-Fibers and Eco-Textiles (Qingdao University); National Natural Science Foundation of China(National Natural Science Foundation of China (NSFC)); Green Yu Fund of China Chemical Fiber Industry Association;</t>
  </si>
  <si>
    <t>This article was supported by State Key Laboratory of Bio-Fibers and Eco-Textiles (Qingdao University) , No. KFKT202201; The National Natural Science Foundation of China, No. 51773024; The Green Yu Fund of China Chemical Fiber Industry Association, No. CCFA-LVYU-9-02.</t>
  </si>
  <si>
    <t>0927-7757</t>
  </si>
  <si>
    <t>1873-4359</t>
  </si>
  <si>
    <t>COLLOID SURFACE A</t>
  </si>
  <si>
    <t>Colloid Surf. A-Physicochem. Eng. Asp.</t>
  </si>
  <si>
    <t>SEP 20</t>
  </si>
  <si>
    <t>10.1016/j.colsurfa.2023.131717</t>
  </si>
  <si>
    <t>Chemistry, Physical</t>
  </si>
  <si>
    <t>Q0SU0</t>
  </si>
  <si>
    <t>WOS:001054708200001</t>
  </si>
  <si>
    <t>Bista, I; Wood, JMD; Desvignes, T; McCarthy, SA; Matschiner, M; Ning, ZM; Tracey, A; Torrance, J; Sims, Y; Chow, W; Smith, M; Oliver, K; Haggerty, L; Salzburger, W; Postlethwait, JH; Howe, K; Clark, MS; Detrich, HW ; Cheng, CHC; Miska, EA; Durbin, R</t>
  </si>
  <si>
    <t>Bista, Iliana; Wood, Jonathan M. D.; Desvignes, Thomas; McCarthy, Shane A.; Matschiner, Michael; Ning, Zemin; Tracey, Alan; Torrance, James; Sims, Ying; Chow, William; Smith, Michelle; Oliver, Karen; Haggerty, Leanne; Salzburger, Walter; Postlethwait, John H.; Howe, Kerstin; Clark, Melody S.; Detrich, H. William, III; Cheng, C. -H. Christina; Miska, Eric A.; Durbin, Richard</t>
  </si>
  <si>
    <t>Genomics of cold adaptations in the Antarctic notothenioid fish radiation</t>
  </si>
  <si>
    <t>ADAPTIVE RADIATION; CLIMATE-CHANGE; EVOLUTION; ANTIFREEZE; GENE; HEMOGLOBIN; SEQUENCE; ACCURATE; DUPLICATION; EXPRESSION</t>
  </si>
  <si>
    <t>Numerous novel adaptations characterise the radiation of notothenioids, the dominant fish group in the freezing seas of the Southern Ocean. To improve understanding of the evolution of this iconic fish group, here we generate and analyse new genome assemblies for 24 species covering all major subgroups of the radiation, including five long-read assemblies. We present a new estimate for the onset of the radiation at 10.7 million years ago, based on a time-calibrated phylogeny derived from genome-wide sequence data. We identify a two-fold variation in genome size, driven by expansion of multiple transposable element families, and use the long-read data to reconstruct two evolutionarily important, highly repetitive gene family loci. First, we present the most complete reconstruction to date of the antifreeze glycoprotein gene family, whose emergence enabled survival in sub-zero temperatures, showing the expansion of the antifreeze gene locus from the ancestral to the derived state. Second, we trace the loss of haemoglobin genes in icefishes, the only vertebrates lacking functional haemoglobins, through complete reconstruction of the two haemoglobin gene clusters across notothenioid families. Both the haemoglobin and antifreeze genomic loci are characterised by multiple transposon expansions that may have driven the evolutionary history of these genes.</t>
  </si>
  <si>
    <t>[Bista, Iliana; Wood, Jonathan M. D.; McCarthy, Shane A.; Ning, Zemin; Tracey, Alan; Torrance, James; Sims, Ying; Chow, William; Smith, Michelle; Oliver, Karen; Howe, Kerstin; Miska, Eric A.; Durbin, Richard] Wellcome Genome Campus, Tree Life, Wellcome Sanger Inst, Hinxton CB10 1SA, England; [Bista, Iliana; McCarthy, Shane A.; Durbin, Richard] Univ Cambridge, Dept Genet, Downing Str, Cambridge CB2 3EH, England; [Bista, Iliana; Miska, Eric A.] Univ Cambridge, Wellcome CRUK Gurdon Inst, Tennis Court Rd, Cambridge CB2 1QN, England; [Bista, Iliana] Naturalis Biodivers Ctr, NL-2333 CR Leiden, Netherlands; [Desvignes, Thomas; Postlethwait, John H.] Univ Oregon, Inst Neurosci, 1254 Univ Oregon,13th Ave, Eugene, OR 97403 USA; [Matschiner, Michael] Univ Oslo, Nat Hist Museum, Sars Gate 1, N-0562 Oslo, Norway; [Matschiner, Michael] Univ Zurich, Dept Palaeontol &amp; Museum, Karl Schmid Str 4, CH-8006 Zurich, Switzerland; [Haggerty, Leanne] Wellcome Genome Campus, European Mol Biol Lab, European Bioinformat Inst, Hinxton CB10 1SA, England; [Salzburger, Walter] Univ Basel, Inst Zool, Dept Environm Sci, Vesalgasse 1, CH-4051 Basel, Switzerland; [Clark, Melody S.] British Antarctic Survey, High Cross,Madingley Rd, Cambridge CB3 0ET, England; [Detrich, H. William, III] Northeastern Univ, Dept Marine &amp; Environm Sci, Ctr Marine Sci, 430 Nahant Rd, Nahant, MA 01908 USA; [Cheng, C. -H. Christina] Univ Illinois, Dept Evolut Ecol &amp; Behaviour, Champaign, IL 61801 USA</t>
  </si>
  <si>
    <t>Wellcome Trust Sanger Institute; University of Cambridge; University of Cambridge; Naturalis Biodiversity Center; University of Oregon; University of Oslo; University of Zurich; European Molecular Biology Laboratory (EMBL); University of Basel; UK Research &amp; Innovation (UKRI); Natural Environment Research Council (NERC); NERC British Antarctic Survey; Northeastern University; University of Illinois System; University of Illinois Urbana-Champaign</t>
  </si>
  <si>
    <t>Bista, I; Durbin, R (corresponding author), Wellcome Genome Campus, Tree Life, Wellcome Sanger Inst, Hinxton CB10 1SA, England.;Bista, I; Durbin, R (corresponding author), Univ Cambridge, Dept Genet, Downing Str, Cambridge CB2 3EH, England.;Bista, I (corresponding author), Univ Cambridge, Wellcome CRUK Gurdon Inst, Tennis Court Rd, Cambridge CB2 1QN, England.;Bista, I (corresponding author), Naturalis Biodivers Ctr, NL-2333 CR Leiden, Netherlands.</t>
  </si>
  <si>
    <t>ilianabista@gmail.com; rd109@cam.ac.uk</t>
  </si>
  <si>
    <t>Bista, Iliana/AFM-5294-2022</t>
  </si>
  <si>
    <t>Bista, Iliana/0000-0002-6155-3093; Wood, Jonathan/0000-0002-7545-2162; Matschiner, Michael/0000-0003-4741-3884</t>
  </si>
  <si>
    <t>Wellcome grants [WT207492, WT206194]; Wellcome [WT206194, 104640, 092096, WT108749, WT222155]; US National Science Foundation [ANT11-42158, OPP-0132032, PLR-1444167, OPP-1955368]; Norwegian Research Council [FRIPRO 275869]; NSF [OPP-1543383, OPP-1947040]; Marine Science Centre at Northeastern University [427]; NERC-UKRI core funding; Swiss National Science Foundation [176039]</t>
  </si>
  <si>
    <t>Wellcome grants(Wellcome Trust); Wellcome(Wellcome Trust); US National Science Foundation(National Science Foundation (NSF)); Norwegian Research Council(Research Council of Norway); NSF(National Science Foundation (NSF)); Marine Science Centre at Northeastern University; NERC-UKRI core funding; Swiss National Science Foundation(Swiss National Science Foundation (SNSF))</t>
  </si>
  <si>
    <t>We thank the Wellcome Sanger Institute Scientific Operations for help with sequencing data production. We thank Laura Gerrish for help with generating an ArcGIS map of Antarctica and the Southern Ocean. I.B., S.A.M., and R.D. were supported by Wellcome grants WT207492 and WT206194; I.B. and E.A.M. by Wellcome grants 104640 and 092096; C.H.C.C. by US National Science Foundation grant ANT11-42158; M.M. by a mobility fellowship from the Norwegian Research Council (FRIPRO 275869); T.D., J.H.P. by NSF OPP-1543383 and OPP-1947040; H.W.D. by US National Science Foundation grants OPP-0132032, PLR-1444167, and OPP-1955368, and the Marine Science Centre at Northeastern University (publication number 427), M.S.C. by NERC-UKRI core funding to the British Antarctic Survey; W.S. by Swiss National Science Foundation (176039). J.M.D.W., Y.S., J.T., W.C., and K.H. by Wellcome WT206194; L.H. by WT108749 and WT222155. For the purpose of open access, the authors have applied a CC BY public copyright licence to any Author Accepted Manuscript version arising from this submission.</t>
  </si>
  <si>
    <t>JUN 9</t>
  </si>
  <si>
    <t>10.1038/s41467-023-38567-6</t>
  </si>
  <si>
    <t>L9HA3</t>
  </si>
  <si>
    <t>Green Accepted, Green Submitted, Green Published, gold</t>
  </si>
  <si>
    <t>WOS:001026289800005</t>
  </si>
  <si>
    <t>Lohmann, R; Vrana, B; Muir, D; Smedes, F; Sobotka, J; Zeng, EY; Bao, LJ; Allan, IJ; Astrahan, P; Barra, RO; Bidleman, T; Dykyi, E; Estoppey, N; Fillmann, G; Greenwood, N; Helm, PA; Jantunen, L; Kaserzon, S; Macías, JV; Maruya, KA; Molina, F; Newman, B; Prats, RM; Tsapakis, M; Tysklind, M; van Drooge, BL; Veal, CJ; Wong, CS</t>
  </si>
  <si>
    <t>Lohmann, Rainer; Vrana, Branislav; Muir, Derek; Smedes, Foppe; Sobotka, Jaromir; Zeng, Eddy Y.; Bao, Lian-Jun; Allan, Ian J.; Astrahan, Peleg; Barra, Ricardo O.; Bidleman, Terry; Dykyi, Evgen; Estoppey, Nicolas; Fillmann, Gilberto; Greenwood, Naomi; Helm, Paul A.; Jantunen, Liisa; Kaserzon, Sarit; Macias, J. Vinicio; Maruya, Keith A.; Molina, Francisco; Newman, Brent; Prats, Raimon M.; Tsapakis, Manolis; Tysklind, Mats; van Drooge, Barend L.; Veal, Cameron J.; Wong, Charles S.</t>
  </si>
  <si>
    <t>Passive-Sampler-Derived PCB and OCP Concentrations in the Waters of the World-First Results from the AQUA-GAPS/MONET Network</t>
  </si>
  <si>
    <t>passive sampler; polychlorinated biphenyls; hexachlorobenzene; hexachlorocyclohexanes; organochlorinepesticides; cyclodiene pesticides; global fractionation; silicone rubber; long-range transport</t>
  </si>
  <si>
    <t>PERSISTENT ORGANIC POLLUTANTS; ORGANOCHLORINE PESTICIDES; GLOBAL DISTRIBUTION; FLAME RETARDANTS; AIR; BIOACCUMULATION; EXCHANGE; CONTAMINANTS; CHEMICALS; SEAWATER</t>
  </si>
  <si>
    <t>Persistent organic pollutants (POPs) are recognized aspollutantsof global concern, but so far, information on the trends of legacyPOPs in the waters of the world has been missing due to logistical,analytical, and financial reasons. Passive samplers have emerged asan attractive alternative to active water sampling methods as theyaccumulate POPs, represent time-weighted average concentrations, andcan easily be shipped and deployed. As part of the AQUA-GAPS/MONET,passive samplers were deployed at 40 globally distributed sites between2016 and 2020, for a total of 21 freshwater and 40 marine deployments.Results from silicone passive samplers showed &amp; alpha;-hexachlorocyclohexane(HCH) and &amp; gamma;-HCH displaying the greatest concentrations in thenorthern latitudes/Arctic Ocean, in stark contrast to the more persistentpenta (PeCB)- and hexachlorobenzene (HCB), which approached equilibriumacross sampling sites. Geospatial patterns of polychlorinated biphenyl(PCB) aqueous concentrations closely matched original estimates ofproduction and use, implying limited global transport. Positive correlationsbetween log-transformed concentrations of &amp; sigma;7PCB,&amp; sigma;DDTs, &amp; sigma;endosulfan, and &amp; sigma;chlordane, but not &amp; sigma;HCH,and the log of population density (p &lt; 0.05) within5 and 10 km of the sampling sites also supported limited transportfrom used sites. These results help to understand the extent of globaldistribution, and eventually time-trends, of organic pollutants inaquatic systems, such as across freshwaters and oceans. Future deploymentswill aim to establish time-trends at selected sites while adding tothe geographical coverage. Firstresults from a passive-sampler-based global POP monitoringcampaign demonstrate the global dispersion of legacy organochlorinecompounds in water bodies.</t>
  </si>
  <si>
    <t>[Lohmann, Rainer; Vrana, Branislav; Smedes, Foppe; Sobotka, Jaromir] Univ Rhode Isl, Grad Sch Oceanog, Narragansett, RI 02882 USA; [Vrana, Branislav; Smedes, Foppe; Sobotka, Jaromir] Masaryk Univ, Fac Sci, RECETOX, Brno 61137, Czech Republic; [Muir, Derek] Environm &amp; Climate Change Canada, Aquat Contaminants Res Div, Burlington, ON L7S 1A1, Canada; [Zeng, Eddy Y.; Bao, Lian-Jun] Jinan Univ, Guangdong Key Lab Environm Pollut &amp; Hlth, Sch Environm, Guangzhou 511443, Peoples R China; [Allan, Ian J.] Norwegian Inst Water Res NIVA, N-0579 Oslo, Norway; [Astrahan, Peleg] Kinneret Lake Lab, Israel Oceanog &amp; Limnol Res, IL-3109701 Haifa, Israel; [Barra, Ricardo O.] Univ Concepcion, Fac Environm Sci, EULA Chile Ctr, Concepcion 4070386, Chile; [Bidleman, Terry; Tysklind, Mats] Umea Univ, Dept Chem, S-90187 Umea, Sweden; [Dykyi, Evgen] Natl Antarctic Sci Ctr, UA-01601 Kiev, Ukraine; [Estoppey, Nicolas] Univ Lausanne, Sch Criminal Justice, CH-1015 Lausanne, Switzerland; [Estoppey, Nicolas] Norwegian Geotech Inst NGI, N-0806 Oslo, Norway; [Fillmann, Gilberto] Univ Fed Rio Grande IO FURG, Inst Oceanog, BR-96203900 Rio Grande, RS, Brazil; [Greenwood, Naomi] Ctr Environm Fisheries Aquaculture Sci, Lowestoft NR33 0HT, England; [Helm, Paul A.] Ontario Minist Environm Conservat &amp; Pk, Toronto, ON M9P 3V6, Canada; [Jantunen, Liisa] Environm &amp; Climate Change Canada, Air Qual Proc Res Sect, Egbert, ON L0L1N0, Canada; [Kaserzon, Sarit; Veal, Cameron J.] Univ Queensland, Queensland Alliance Environm Hlth Sci QAEHS, Woolloongabba, Qld 4102, Australia; [Macias, J. Vinicio] Univ Autonoma Baja California, Inst Invest Oceanol, Ensenada 22860, Mexico; [Maruya, Keith A.; Wong, Charles S.] Southern Calif Coastal Water Res Project Author, Costa Mesa, CA 92626 USA; [Molina, Francisco] Univ Antioquia UdeA, Fac Engn, Environm Sch, Medellin 050010, Colombia; [Newman, Brent] CSIR, Coastal Syst Res Grp, ZA-4075 Durban, South Africa; [Newman, Brent] Nelson Mandela Univ, ZA-6031 Port Elizabeth, South Africa; [Prats, Raimon M.; van Drooge, Barend L.] Inst Environm Assessment &amp; Water Res IDAEA CSIC, Barcelona 08034, Spain; [Tsapakis, Manolis] Hellen Ctr Marine Res, Inst Oceanog, GR-71003 Iraklion, Greece; [Veal, Cameron J.] Seqwater, Ipswich, Qld 4305, Australia</t>
  </si>
  <si>
    <t>University of Rhode Island; Masaryk University Brno; Environment &amp; Climate Change Canada; Jinan University; Norwegian Institute for Water Research (NIVA); Israel Oceanographic &amp; Limnological Research Institute; Universidad de Concepcion; Umea University; Ministry of Education &amp; Science of Ukraine; State Institution National Antarctic Scientific Center; University of Lausanne; Norwegian Geotechnical Institute, NGI; Universidade Federal do Rio Grande; Centre for Environment Fisheries &amp; Aquaculture Science; Environment &amp; Climate Change Canada; University of Queensland; Universidad Autonoma de Baja California; Southern California Coastal Water Research Project; Universidad de Antioquia; Council for Scientific &amp; Industrial Research (CSIR) - South Africa; Nelson Mandela University; Consejo Superior de Investigaciones Cientificas (CSIC); CSIC - Centro de Investigacion y Desarrollo Pascual Vila (CID-CSIC); CSIC - Instituto de Diagnostico Ambiental y Estudios del Agua (IDAEA); Hellenic Centre for Marine Research</t>
  </si>
  <si>
    <t>Lohmann, R (corresponding author), Univ Rhode Isl, Grad Sch Oceanog, Narragansett, RI 02882 USA.</t>
  </si>
  <si>
    <t>rlohmann@uri.edu</t>
  </si>
  <si>
    <t>Bao, Lian-Jun/ISV-4389-2023; Zeng, Eddy Y./ISV-3132-2023; Wong, Charles/B-4215-2012</t>
  </si>
  <si>
    <t>Bao, Lian-Jun/0000-0002-0634-0829; Wong, Charles/0000-0002-5743-2942; Lohmann, Rainer/0000-0001-8796-3229</t>
  </si>
  <si>
    <t>RECETOX Research Infrastructure [LM2018121]; Ministry of Education, Youth and Sports; Operational Programme Research, Development and Education [CZ.02.1.01/0.0/0.0/17_043/0009632]; European Union [857560]; Czech Science Foundation within the project 'Holistic exposure and effect potential assessment of complex chemical mixtures in the aquatic environment' [20-04676X]</t>
  </si>
  <si>
    <t>RECETOX Research Infrastructure; Ministry of Education, Youth and Sports(Ministry of Education, Youth &amp; Sports - Czech Republic); Operational Programme Research, Development and Education; European Union(European Union (EU)); Czech Science Foundation within the project 'Holistic exposure and effect potential assessment of complex chemical mixtures in the aquatic environment'</t>
  </si>
  <si>
    <t>Authors thank the RECETOX Research Infrastructure (no. LM2018121) financed by the Ministry of Education, Youth and Sports, and the Operational Programme Research, Development and Education (the CETOCOEN Excellence project no. CZ.02.1.01/0.0/0.0/17_043/0009632) for supportive background. This work was supported by the European Union's Horizon 2020 research and innovation program under grant agreement no. 857560. This publication reflects only the author's view, and the European Commission is not responsible for any use that may be made of the information it contains. The results of the project were created with the financial support of the provider Czech Science Foundation within the project 'Holistic exposure and effect potential assessment of complex chemical mixtures in the aquatic environment' no. 20-04676X. G.</t>
  </si>
  <si>
    <t>10.1021/acs.est.3c01866</t>
  </si>
  <si>
    <t>J9TQ5</t>
  </si>
  <si>
    <t>WOS:001006294300001</t>
  </si>
  <si>
    <t>Troshichev, OA; Stepanov, NA; Sormakov, DA</t>
  </si>
  <si>
    <t>Troshichev, O. A.; Stepanov, N. . A.; Sormakov, D. A.</t>
  </si>
  <si>
    <t>Physical reasons for regular discrepancies in values of the PCN and PCS indices characterizing magnetic activity in the northern and southern polar caps</t>
  </si>
  <si>
    <t>FIELD-ALIGNED CURRENTS; BIRKELAND CURRENT DISTRIBUTIONS; DP 2 FLUCTUATIONS; SOLAR-WIND; ELECTRIC-FIELDS; CURRENT SYSTEMS; NORTHWARD IMF; HIGH-LATITUDE; PLASMA RING; REGION 1</t>
  </si>
  <si>
    <t>PC index characterizes magnetic activity generated in polar caps by R1 FAC system related to the solar wind electric field EKL. The PC index is calculated separately by data on magnetic disturbance values &amp; delta;F at stations Thule (PCN) and Vostok (PCS) with use of the unified PC derivation method taking into account statistically justified relationships between values of EKL and &amp; delta;F at these stations. Nevertheless, discrepancy between PCN and PCS indices is regularly observed: the value of difference &amp; UDelta;PC = PCN-PCS demonstrates the obvious seasonal variation and strongly increases in periods of high magnetic activity, the &amp; UDelta;PC values being the highest (&gt;1 mV/ m) in epochs of solar activity maximum and being the lowest (&lt;0.5 mV/m) in the quiet periods. Analysis of discrepancies &amp; UDelta;PC, carried out by data on the 1-min definitive PCN and PCS indices for 22 year (1997-2022), showed that difference between the daily PCN and PCS values is caused by influence of the azimuthal BY IMF component, which generates the specific BY FAC system with reverse polarity of field-aligned currents in the northern and southern hemispheres. Effect of these currents, which is opposite in northern and southern polar caps, critically distorts the regular ionospheric current systems related to EKL field influence, resulting in discrepancy of corresponding PCN and PCS indices.</t>
  </si>
  <si>
    <t>[Troshichev, O. A.; Stepanov, N. . A.; Sormakov, D. A.] Arctic &amp; Antarctic Res Inst, St Petersburg, Russia</t>
  </si>
  <si>
    <t>Sormakov, Dmitry A/K-1695-2014; Troshichev, Oleg/P-3848-2015</t>
  </si>
  <si>
    <t>10.1016/j.jastp.2023.106096</t>
  </si>
  <si>
    <t>L7JZ6</t>
  </si>
  <si>
    <t>WOS:001024998600001</t>
  </si>
  <si>
    <t>Tang, YH; Duan, AM; Hu, D</t>
  </si>
  <si>
    <t>Tang, Yuheng; Duan, Anmin; Hu, Die</t>
  </si>
  <si>
    <t>Influence of the Antarctic oscillation on summer precipitation over East Asia</t>
  </si>
  <si>
    <t>ATMOSPHERIC RESEARCH</t>
  </si>
  <si>
    <t>Antarctic oscillation; East Asian summer monsoon; Pacific -Japan pattern; Eddy momentum flux</t>
  </si>
  <si>
    <t>SOUTHERN ANNULAR MODE; GLOBAL PRECIPITATION; SURFACE-TEMPERATURE; MEAN STATE; HEMISPHERE; VARIABILITY; PACIFIC; IMPACT; CIRCULATION; ANOMALIES</t>
  </si>
  <si>
    <t>As the strongest atmospheric mode in the extratropical Southern Hemisphere, the Antarctic oscillation (AAO) can affect regional and even global climate through zonal asymmetric and symmetric dynamic mechanisms. Observational analysis indicates that AAO can affect the zonal-mean vertical velocity of the Northern Hemisphere through eddy-induced meridional circulation in boreal summer, corresponding to the out-of-phase zonal precipitation anomaly at approximately 20 degrees N and the in-phase zonal precipitation anomalies at approximately 30 degrees N and 50 degrees N. In particular, the precipitation anomalies related to AAO in East Asia are much stronger than those in the other regions at the same latitude, and the AAO-related precipitation anomaly agrees well with the precipitation leading mode over East Asia. The strong meridional circulation anomaly in the East Asia sector associated with the asymmetry of AAO results in strong subsidence over the Philippine Sea, and the tropical cooling triggers a Pacific-Japan-like (PJ-like) pattern anomaly, which is conducive to moisture transport over East Asia. In addition, the transient eddy forcing related to AAO causes abnormal circulation over East Asia, which further strengthens the PJ-like pattern. The zonal precipitation anomalies in the Northern Hemisphere are superimposed on the moisture transport and precipitation anomalies related to the PJ-like pattern, hence promoting positive precipitation anomalies in the Yangtze River valley, northeastern China, South Korea and southern Japan. In contrast, negative precipitation anomalies occur in southern China and North China. Our results indicate that AAO is a potential indicator for the East Asian summer precipitation anomaly.</t>
  </si>
  <si>
    <t>[Tang, Yuheng; Duan, Anmin; Hu, Die] Chinese Acad Sci, Inst Atmospher Phys, State Key Lab Numer Modeling Atmospher Sci &amp; Geoph, Beijing, Peoples R China; [Tang, Yuheng; Duan, Anmin; Hu, Die] Univ Chinese Acad Sci, Coll Earth Sci, Beijing, Peoples R China; [Duan, Anmin] Xiamen Univ, Coll Ocean &amp; Earth Sci, Xiamen, Peoples R China</t>
  </si>
  <si>
    <t>Duan, AM (corresponding author), Xiamen Univ, Coll Ocean &amp; Earth Sci, Xiamen, Peoples R China.</t>
  </si>
  <si>
    <t>Tang, Yuheng/JRY-0088-2023</t>
  </si>
  <si>
    <t>National Natural Science Foundation of China [42030602]</t>
  </si>
  <si>
    <t>The work was supported by the National Natural Science Foundation of China (Grant No. 42030602) . The ERA5 monthly and daily data are available from https://cds.climate.copernicus.eu/#!/search?text =ERA5 &amp; type=dataset. The AAO index data are from https://legacy.ba s.ac.uk/met/gjma/sam.html. The GPCP, CMAP and PREC/L monthly precipitation data are from https://psl.noaa.gov/data/gridded/data.gp cp.html, https://psl.noaa.gov/data/gridded/data.cmap.html and https ://psl.noaa.gov/data/gridded/data.precl.html, respectively. The NOAA OLR data are obtained from https://psl.noaa.gov/data/gridded/data.olrcdr.interp.html.</t>
  </si>
  <si>
    <t>0169-8095</t>
  </si>
  <si>
    <t>1873-2895</t>
  </si>
  <si>
    <t>ATMOS RES</t>
  </si>
  <si>
    <t>Atmos. Res.</t>
  </si>
  <si>
    <t>10.1016/j.atmosres.2023.106847</t>
  </si>
  <si>
    <t>L6HL0</t>
  </si>
  <si>
    <t>WOS:001024252400001</t>
  </si>
  <si>
    <t>Sikes, EL; Umling, NE; Allen, KA; Ninnemann, US; Robinson, RS; Russell, JL; Williams, TJ</t>
  </si>
  <si>
    <t>Sikes, Elisabeth L.; Umling, Natalie E.; Allen, Katherine A.; Ninnemann, Ulysses S.; Robinson, Rebecca S.; Russell, Joellen L.; Williams, Thomas J.</t>
  </si>
  <si>
    <t>Southern Ocean glacial conditions and their influence on deglacial events</t>
  </si>
  <si>
    <t>NATURE REVIEWS EARTH &amp; ENVIRONMENT</t>
  </si>
  <si>
    <t>MERIDIONAL OVERTURNING CIRCULATION; ATLANTIC DEEP-WATER; SEA-SURFACE TEMPERATURE; ATMOSPHERIC CO2 CONCENTRATIONS; HIGH-RESOLUTION RECORD; NORTH-ATLANTIC; SOUTHWEST PACIFIC; INTERMEDIATE WATER; LAST DEGLACIATION; CARBON-DIOXIDE</t>
  </si>
  <si>
    <t>The Southern Ocean is an important regulator of global CO2 levels and likely had a key role in lowering atmospheric CO2 levels during the Last Glacial Maximum (LGM) and driving the subsequent increase during the following deglaciation. Nonetheless, debate continues surrounding the relative importance of Northern versus Southern Hemisphere forcing during deglacial events. In this Review, we compare modern Southern Ocean conditions with those in the LGM and deglacial period, identifying factors that were critical in initiating the glacial termination. During the LGM, North Atlantic sourced waters appear to have shoaled and were largely absent from the glacial Southern Ocean. Increased ocean stratification, shoaling of the chemical divide and increased nutrient utilization at the surface contributed to glacial carbon sequestration in deep waters. Warming at mid-latitudes of the Southern Hemisphere and the Southern Ocean began at similar to 21 ka, preceding deglaciation, indicating insolation changes could have driven early atmosphere-ocean warming that initiated the shifting of ocean fronts leading to the release of carbon sequestered in the LGM. Southern Ocean dynamics appear to have been substantial, or even the critical, factors initiating the termination of the LGM before deepening of North Atlantic sourced waters. Future research should focus on better resolving deglacial chemical and physical changes in Southern Ocean waters and their representation in numerical models.</t>
  </si>
  <si>
    <t>[Sikes, Elisabeth L.; Umling, Natalie E.] Rutgers State Univ, Marine &amp; Coastal Sci, New Brunswick, NJ 08854 USA; [Umling, Natalie E.] Amer Museum Nat Hist, Dept Earth &amp; Planetary Sci, New York, NY USA; [Allen, Katherine A.] Univ Maine, Sch Earth &amp; Climate Sci, Orono, ME USA; [Ninnemann, Ulysses S.] Univ Bergen, Bjerknes Ctr Climate Res, Dept Earth Sci, Bergen, Norway; [Robinson, Rebecca S.] Univ Rhode Isl, Grad Sch Oceanog, Narragansett, RI USA; [Russell, Joellen L.] Univ Arizona, Dept Geosci, Tucson, AZ USA; [Williams, Thomas J.] Univ Tasmania, Inst Marine &amp; Antarctic Studies, Hobart, TAS, Australia; [Williams, Thomas J.] Univ Tasmania, Australian Ctr Excellence Antarctic Sci, Hobart, TAS, Australia</t>
  </si>
  <si>
    <t>Rutgers University System; Rutgers University New Brunswick; American Museum of Natural History (AMNH); University of Maine System; University of Maine Orono; University of Bergen; Bjerknes Centre for Climate Research; University of Rhode Island; University of Arizona; University of Tasmania; University of Tasmania</t>
  </si>
  <si>
    <t>Sikes, EL (corresponding author), Rutgers State Univ, Marine &amp; Coastal Sci, New Brunswick, NJ 08854 USA.</t>
  </si>
  <si>
    <t>sikes@marine.rutgers.edu</t>
  </si>
  <si>
    <t>Williams, Thomas/0000-0001-8869-0488; Sikes, Elisabeth/0000-0003-2900-3283</t>
  </si>
  <si>
    <t>Australi Australian Research Council Special Research Initiative, Australian Centre for Excellence in Antarctic Sciencen Research Council Special Research Initiative [SR200100008]</t>
  </si>
  <si>
    <t>Australi Australian Research Council Special Research Initiative, Australian Centre for Excellence in Antarctic Sciencen Research Council Special Research Initiative</t>
  </si>
  <si>
    <t>The authors thank L. Menviel and K. Meissner for their comments and suggestions on earlier drafts that substantially improved the manuscript. The authors also thank their Rutgers co-workers E. Hunter and R. Glaubke for drafting several figures. T.J.W. was supported by the Australian Research Council Special Research Initiative, Australian Centre for Excellence in Antarctic Science (Project Number SR200100008).</t>
  </si>
  <si>
    <t>2662-138X</t>
  </si>
  <si>
    <t>NAT REV EARTH ENV</t>
  </si>
  <si>
    <t>Nat. Rev. Earth Environ.</t>
  </si>
  <si>
    <t>10.1038/s43017-023-00436-7</t>
  </si>
  <si>
    <t>L8RG2</t>
  </si>
  <si>
    <t>WOS:001003891600001</t>
  </si>
  <si>
    <t>Yang, QK; Wu, XQ; Hu, XD; Wang, ZY; Qing, C; Luo, T; Wu, PF; Qian, XM; Guo, YM</t>
  </si>
  <si>
    <t>Yang, Qike; Wu, Xiaoqing; Hu, Xiaodan; Wang, Zhiyuan; Qing, Chun; Luo, Tao; Wu, Pengfei; Qian, Xianmei; Guo, Yiming</t>
  </si>
  <si>
    <t>Antarctic atmospheric Richardson number from radiosonde measurements and AMPS</t>
  </si>
  <si>
    <t>POLAR WEATHER RESEARCH; ROSS ICE SHELF; BOUNDARY-LAYER SIMULATIONS; DOME-C; OPTICAL TURBULENCE; SOUTH-POLE; WIND-SPEED; WRF MODEL; MICROPHYSICS; TEMPERATURE</t>
  </si>
  <si>
    <t>Monitoring a wide range of atmospheric turbulence over the Antarctic continent is still tricky, while the atmospheric Richardson number (Ri; a valuable parameter which determines the possibility that turbulence could be triggered) is easier to obtain. The Antarctic atmospheric Ri, calculated from the potential temperature and wind speed, was investigated using the daily results from the radiosoundings and forecasts of the Antarctic Mesoscale Prediction System (AMPS). Radiosoundings for a year at three sites (McMurdo - MM, South Pole - SP, and Dome C - DC) were used to quantify the reliability of the AMPS forecasts. The AMPS-forecasted Ri can identify the main spatiotemporal characteristics of atmospheric turbulence over the Antarctic region. The correlation coefficients (Rxy) of log10(Ri) at McMurdo, the South Pole, and Dome C are 0.71, 0.59, and 0.53, respectively. The Ri was generally underestimated by the AMPS and the AMPS could better capture the trend of log10(Ri) at relatively unstable atmospheric conditions. The seasonal median of log10(Ri) along two vertical cross-sections of the AMPS forecasts are presented, and it shows some zones where atmospheric turbulence can be highly triggered in Antarctica. The Ri distributions appear to be reasonably correlated to some large-scale phenomena or local-scale dynamics (katabatic winds, polar vortices, convection, gravity wave, etc.) over the Antarctic plateau and surrounding ocean. Finally, the log10(Ri) at the planetary boundary layer height (PBLH) were calculated and their median value is 0.316. This median value, in turn, was used to estimate the PBLH and agrees well with the AMPS-forecasted PBLH (Rxy&gt;0.69). Overall, our results suggest that the Ri estimated by AMPS are reasonable and the turbulence conditions in Antarctica are well revealed.</t>
  </si>
  <si>
    <t>[Yang, Qike; Wu, Xiaoqing; Hu, Xiaodan; Wang, Zhiyuan; Qing, Chun; Luo, Tao; Wu, Pengfei; Qian, Xianmei; Guo, Yiming] Chinese Acad Sci, Anhui Inst Opt &amp; Fine Mech, Key Lab Atmospher Opt, HFIPS, Hefei 230031, Peoples R China; [Yang, Qike; Wu, Xiaoqing; Hu, Xiaodan; Qing, Chun; Luo, Tao; Wu, Pengfei; Qian, Xianmei; Guo, Yiming] Univ Sci &amp; Technol China, Sci Isl Branch, Grad Sch, Hefei 230026, Peoples R China; [Yang, Qike; Wu, Xiaoqing; Hu, Xiaodan; Wang, Zhiyuan; Qing, Chun; Luo, Tao; Wu, Pengfei; Qian, Xianmei; Guo, Yiming] Adv Laser Technol Lab Anhui Prov, Hefei 230037, Peoples R China</t>
  </si>
  <si>
    <t>Wu, XQ (corresponding author), Chinese Acad Sci, Anhui Inst Opt &amp; Fine Mech, Key Lab Atmospher Opt, HFIPS, Hefei 230031, Peoples R China.;Wu, XQ (corresponding author), Univ Sci &amp; Technol China, Sci Isl Branch, Grad Sch, Hefei 230026, Peoples R China.;Wu, XQ (corresponding author), Adv Laser Technol Lab Anhui Prov, Hefei 230037, Peoples R China.</t>
  </si>
  <si>
    <t>xqwu@aiofm.ac.cn</t>
  </si>
  <si>
    <t>Yang, Qike/ISB-4960-2023</t>
  </si>
  <si>
    <t>Yang, Qike/0000-0001-9440-0037; qing, chun/0000-0003-2456-1366</t>
  </si>
  <si>
    <t>National Natural Science Foundation of China [91752103, 41576185]; Foundation of Key Laboratory of Science and Technology Innovation of Chinese Academy of Sciences [CXJJ-21S028]; Foundation of Advanced Laser Technology Laboratory of Anhui Province [AHL2021QN02]</t>
  </si>
  <si>
    <t>National Natural Science Foundation of China(National Natural Science Foundation of China (NSFC)); Foundation of Key Laboratory of Science and Technology Innovation of Chinese Academy of Sciences; Foundation of Advanced Laser Technology Laboratory of Anhui Province</t>
  </si>
  <si>
    <t>This research has been supported by the National Natural Science Foundation of China (grant nos. 91752103 and 41576185), the Foundation of Key Laboratory of Science and Technology Innovation of Chinese Academy of Sciences (grant no. CXJJ-21S028) and the Foundation of Advanced Laser Technology Laboratory of Anhui Province (grant no. AHL2021QN02).</t>
  </si>
  <si>
    <t>10.5194/acp-23-6339-2023</t>
  </si>
  <si>
    <t>I8GS9</t>
  </si>
  <si>
    <t>WOS:001005120800001</t>
  </si>
  <si>
    <t>Nair, MP; John, PM; Nikhil, VG; Gireesh, R; Sanjeevan, VN; Gopinath, A</t>
  </si>
  <si>
    <t>Nair, Manju P.; John, Princy M.; Nikhil, V. G.; Gireesh, R.; Sanjeevan, V. N.; Gopinath, Anu</t>
  </si>
  <si>
    <t>Microplastics Records from the Southern Ocean Sediments</t>
  </si>
  <si>
    <t>SOIL &amp; SEDIMENT CONTAMINATION</t>
  </si>
  <si>
    <t>Southern Ocean; microplastics; sediments; distribution; pollutants; ecological risk</t>
  </si>
  <si>
    <t>ANTARCTIC FUR SEALS; MAN-MADE DEBRIS; MARINE-ENVIRONMENT; PLASTIC PARTICLES; BIRD ISLAND; ROSS SEA; ENTANGLEMENT; ACCUMULATION; POLLUTION; INGESTION</t>
  </si>
  <si>
    <t>The study records the extent of microplastics distribution in the surficial sediments of the Southern Ocean. This represents the first study of microplastics in the sediments of Prydz Bay, Southern Ocean. Prydz Bay is the largest embayment located in the Indian Ocean Sector of the Southern Ocean and receives sediments supplied by the Lambert Glacier/Amery Ice Shelf, draining approximately 10% of the total ice volume of Antarctica. It is an important site of circumpolar deep water (CDW) and Antarctic bottom water (AABW) formation. This study focuses on the distribution of microplastics in the sediments of the Prydz Bay, Southern Ocean with special reference to the ecological risk factor of these microplastics. The type distribution of microplastics revealed percent content as bead &gt; fiber &gt; fragment. Ecological risk factors (CF and PLI) of microplastics in sediment samples revealed a minor to major risk of these pollutants in the analyzed environment. Statistical analyses such as principal component analysis (PCA), ANOVA, Tukey's HSD test, and correlation analysis were performed to highlight the interrelationship of MPN with CF, PLI, pH, TOC, and sediment texture. The levels of microplastic pollution in the Prydz Bay are significant on a local scale, particularly around research stations. This report underlines the immediacy of microplastic pollution management in the Southern Ocean to maintain the serenity of this pristine marine habitat. So further research on the information of microplastics policy discussions to develop appropriate management responses.</t>
  </si>
  <si>
    <t>[Nair, Manju P.; Gopinath, Anu] Kerala Univ Fisheries &amp; Ocean Studies, Dept Aquat Environm Management, Kochi, India; [John, Princy M.; Nikhil, V. G.] Kerala Univ Fisheries &amp; Ocean Studies, Fac Ocean Sci &amp; Technol, Kochi, India; [Gireesh, R.; Sanjeevan, V. N.] Kerala Univ Fisheries &amp; Ocean Studies, Ctr Aquat Resource Management &amp; Conservat, Kochi, India; [Gopinath, Anu] Kerala Univ Fisheries &amp; Ocean Studies KUFOS, Dept Aquat Environm Management, Madavana PO, Kochi 682506, Kerala, India</t>
  </si>
  <si>
    <t>Kerala University of Fisheries &amp; Ocean Studies; Kerala University of Fisheries &amp; Ocean Studies; Kerala University of Fisheries &amp; Ocean Studies; Kerala University of Fisheries &amp; Ocean Studies</t>
  </si>
  <si>
    <t>Gopinath, A (corresponding author), Kerala Univ Fisheries &amp; Ocean Studies KUFOS, Dept Aquat Environm Management, Madavana PO, Kochi 682506, Kerala, India.</t>
  </si>
  <si>
    <t>dranugopinath@gmail.com</t>
  </si>
  <si>
    <t>Kerala State Council for Science, Technology, and Environment [KSCSTE/252/2021-BLP]</t>
  </si>
  <si>
    <t>Kerala State Council for Science, Technology, and Environment</t>
  </si>
  <si>
    <t>The work was supported by the~Kerala State Council for Science, Technology, and Environment [KSCSTE/252/2021-BLP].</t>
  </si>
  <si>
    <t>1532-0383</t>
  </si>
  <si>
    <t>1549-7887</t>
  </si>
  <si>
    <t>SOIL SEDIMENT CONTAM</t>
  </si>
  <si>
    <t>Soil. Sediment. Contam.</t>
  </si>
  <si>
    <t>2023 JUN 9</t>
  </si>
  <si>
    <t>10.1080/15320383.2023.2218481</t>
  </si>
  <si>
    <t>I5EC4</t>
  </si>
  <si>
    <t>WOS:001003000500001</t>
  </si>
  <si>
    <t>Ruggirello, MJ; Bustamante, GN; Soler, RM</t>
  </si>
  <si>
    <t>Ruggirello, Matthew Joseph; Bustamante, Gimena N.; Soler, Rosina M.</t>
  </si>
  <si>
    <t>Nothofagus pumilio regeneration failure following wildfire in the sub-Antarctic forests of Tierra del Fuego, Argentina</t>
  </si>
  <si>
    <t>FORESTRY</t>
  </si>
  <si>
    <t>HIGH-SEVERITY FIRE; VARIABLE RETENTION; APPLIED NUCLEATION; SEED BANK; PATAGONIA; RECRUITMENT; SEEDLINGS; DYNAMICS; SURVIVAL; DROUGHT</t>
  </si>
  <si>
    <t>Wildfires on the island of Tierra del Fuego in southern Argentina are not considered to have been a historic driver of forest dynamics. However, dramatic increases in the human population of the island over the last half-century have greatly increased fire ignition sources and thus the frequency of wildfires in the region. Lenga (Nothofagus pumilio (Poep. et Endl.) Krasser) forests support diverse ecosystem services by providing habitat for endemic flora and fauna and also represent a valuable timber resource for the forest industry of Tierra del Fuego. Evaluating the impact of forest fires on lenga regeneration is important not only because lenga is a native, slow-growing species that seems to lack adaptations that would allow it to recover rapidly after fire, but also because low tree species diversity on the island of Tierra del Fuego means lenga post-fire regeneration failure may lead to ecosystem state shifts. To determine how site characteristics and fire-impacted variables modulate post-fire regeneration densities and spatial patterns in lenga forests, we installed 192 plots (160 burned, 32 unburned) in which we measured site-characteristic (e.g. aspect, elevation) and fire-impacted (e.g. basal area, canopy cover) variables and tallied seedlings and saplings. Regeneration densities were significantly lower in burned than unburned plots. This was exacerbated with increasing distance from the unburned forest edge. Increasing distance to live trees that either survived fire or were outside the burned area negatively impacted regeneration as well. Time since fire negatively affected sapling, but not seedling counts. We concluded that lenga regeneration in the interior of burned areas is largely absent, delaying and potentially preventing forest recovery. These interior areas of burned lenga forests are unlikely to regenerate closed-canopy tree cover through passive restoration alone. Active restoration may be needed in these critical areas where live legacy trees are not present.</t>
  </si>
  <si>
    <t>[Ruggirello, Matthew Joseph; Bustamante, Gimena N.; Soler, Rosina M.] Ctr Austral Invest Cient CADIC CONICET, Houssay 200, RA-9410 Ushuaia, Tierra Del Fueg, Argentina</t>
  </si>
  <si>
    <t>Ruggirello, MJ (corresponding author), Ctr Austral Invest Cient CADIC CONICET, Houssay 200, RA-9410 Ushuaia, Tierra Del Fueg, Argentina.</t>
  </si>
  <si>
    <t>mruggi3@gmail.com; gime.nb@hotmail.com; rosina.m.soler@gmail.com</t>
  </si>
  <si>
    <t>Argentine National Scientific and Technical Research Council (CONICET); National Agency for Scientific Promotion [PICT 2019675]; Rufford Foundation [35530]; International Association of Wildland Fire (IAWF)</t>
  </si>
  <si>
    <t>Argentine National Scientific and Technical Research Council (CONICET)(Consejo Nacional de Investigaciones Cientificas y Tecnicas (CONICET)); National Agency for Scientific Promotion; Rufford Foundation; International Association of Wildland Fire (IAWF)</t>
  </si>
  <si>
    <t>Argentine National Scientific and Technical Research Council (CONICET); National Agency for Scientific Promotion [PICT 2019675 to R.S.]; the Rufford Foundation [35530 to M.R.]; and the International Association of Wildland Fire (IAWF).</t>
  </si>
  <si>
    <t>0015-752X</t>
  </si>
  <si>
    <t>1464-3626</t>
  </si>
  <si>
    <t>Forestry</t>
  </si>
  <si>
    <t>10.1093/forestry/cpad028</t>
  </si>
  <si>
    <t>I6KR5</t>
  </si>
  <si>
    <t>WOS:001003858700001</t>
  </si>
  <si>
    <t>Haro, D; Blank, O; Garrido, G; Cáceres, B; Cáceres, M</t>
  </si>
  <si>
    <t>Haro, Daniela; Blank, Olivia; Garrido, Gabriela; Caceres, Benjamin; Caceres, Miguel</t>
  </si>
  <si>
    <t>Unraveling the enigmatic type D killer whale (Orcinus orca): mass stranding in the Magellan Strait, Chile</t>
  </si>
  <si>
    <t>Ecotype D; Killer whales; Magellan strait; Teeth; Sub-Antarctic waters; Body length</t>
  </si>
  <si>
    <t>ECOTYPES; POPULATIONS; SIZE</t>
  </si>
  <si>
    <t>There are different ecotypes of killer whales (Orcinus orca) worldwide; type D killer whales are the least known. These killer whales have a globose head, an extremely small post-ocular patch and a falcate dorsal fin. We report the first stranding event of type D killer whales recorded in southern South America, in the Magellan Strait, Chile. The group consisted of four adult females, two juvenile females, and two females and one male of indeterminate age class. Total length of adult females averaged 572.8 +/- 23.6 cm and juvenile females averaged 397.0 +/- 24.0 cm. Dorsal fin height of adult females averaged 57.3 +/- 8.5 cm and in juvenile females 30.5 +/- 19.1 cm. No obvious signs of anthropogenic intervention were observed. The characteristic small post-ocular white eye patch of this killer whale ecotype measured 21.8 cm long and 5.9 cm wide in the freshest carcass found. All animals presented backswept dorsal fins and a dental formula of 11 to 13 maxillary and mandibular teeth. The length of the largest tooth in each individual ranged from 8.0 to 10.2 cm, suggesting that type D killer whales have smaller teeth. We suggest that the total length of type D killer whales is shorter than other killer whale ecotypes. After 67 years, we report the second known stranding of type D killer whales worldwide and we report for the first time body measurements, size, and number of teeth of this ecotype of killer whales.</t>
  </si>
  <si>
    <t>[Haro, Daniela; Garrido, Gabriela] Univ Santo Tomas, Fac Ciencias, Ctr Bahia Lomas, Ignacio Carrera Pinto 1350, Punta Arenas, Chile; [Blank, Olivia] Clin Vet Timaukel, Jose Pithon 01316, Punta Arenas, Chile; [Blank, Olivia] Ctr Rehabil Aves Lenadura, Jose Pithon 01316, Punta Arenas, Chile; [Garrido, Gabriela; Caceres, Benjamin; Caceres, Miguel] Asociac Investigadores Museo Hist Nat Rio Seco, Juan Williams 012812, Punta Arenas, Chile</t>
  </si>
  <si>
    <t>Universidad Santo Tomas</t>
  </si>
  <si>
    <t>Haro, D (corresponding author), Univ Santo Tomas, Fac Ciencias, Ctr Bahia Lomas, Ignacio Carrera Pinto 1350, Punta Arenas, Chile.</t>
  </si>
  <si>
    <t>dharod@santotomas.cl</t>
  </si>
  <si>
    <t>Haro, Daniela/0000-0002-9391-1262</t>
  </si>
  <si>
    <t>Fondo de Fortalecimiento de Organizaciones Patrimoniales 2022 (Ministry of Cultures, Arts and Heritage); Chilean National Research and Development Agency (FONDECYT Postdoctoral Project) [3210475]</t>
  </si>
  <si>
    <t>Fondo de Fortalecimiento de Organizaciones Patrimoniales 2022 (Ministry of Cultures, Arts and Heritage); Chilean National Research and Development Agency (FONDECYT Postdoctoral Project)</t>
  </si>
  <si>
    <t>Fondo de Fortalecimiento de Organizaciones Patrimoniales 2022 (Ministry of Cultures, Arts and Heritage) supported the collection of data and samples and transfer of the killer whale to the museum. Chilean National Research and Development Agency (FONDECYT Postdoctoral Project 3210475) supported the collection of data and samples.</t>
  </si>
  <si>
    <t>10.1007/s00300-023-03156-2</t>
  </si>
  <si>
    <t>WOS:001003255000003</t>
  </si>
  <si>
    <t>Diaz-Santibañez, I; Clark, BL; Zavalaga, CB</t>
  </si>
  <si>
    <t>Diaz-Santibanez, Isabella; Clark, Bethany L.; Zavalaga, Carlos B.</t>
  </si>
  <si>
    <t>Guanay cormorant (Leucocarbo bougainvilliorum) pellets as an indicator of marine plastic pollution along the Peruvian coast</t>
  </si>
  <si>
    <t>Guanay cormorant; Seabirds; Plastic pollution; Pellets; Peru</t>
  </si>
  <si>
    <t>FULMARS FULMARUS-GLACIALIS; NORTHERN FULMARS; BIOLOGICAL MONITORS; DEBRIS; INGESTION; SEABIRDS; MICROPLASTICS; SEA; LITTER; PREY</t>
  </si>
  <si>
    <t>Plastic pollution affects many taxa worldwide, and monitoring is crucial for understanding its impacts, particularly where plastic reaches threatened species or those destined for human consumption. This study evaluates plastic ingestion in Near Threatened guanay cormorants (Leucocarbo bougainvilliorum), which catch prey that are also targeted by fisheries, through pellet analysis at ten locations in Peru. Plastic occurred in 162 (7.08 %) of 2286 pellets, consisting of mainly user plastics, including 5 % between mega or macro (&gt;20 mm), 23 % meso (5-20 mm), 67 % micro (1-5 mm) plastics and 5 % ultrafine (1 mu m-1 mm). We found significantly higher percentages occurrence of plastic for colonies close to more river mouths. Our results show that seabird pellet sampling is a useful tool for monitoring marine plastic pollution in Peru.</t>
  </si>
  <si>
    <t>[Diaz-Santibanez, Isabella; Zavalaga, Carlos B.] Univ Cient Sur, Unidad Invest Ecosistemas Marinos, Grp Aves Marinas, Car Antigua Panamer Km 19, Lima, Peru; [Diaz-Santibanez, Isabella] Fac Ciencias Ambientales, Car Antigua Panamer Km 19, Lima, Peru; [Diaz-Santibanez, Isabella] Univ Tasmania, Inst Marine &amp; Antarctic Studies, Hobart, Australia; [Clark, Bethany L.] BirdLife Int, Cambridge, England; [Clark, Bethany L.] Univ Exeter, Penryn, Cornwall, England</t>
  </si>
  <si>
    <t>Universidad Cientifica del Sur (CIENTIFICA); University of Tasmania; BirdLife International; University of Exeter</t>
  </si>
  <si>
    <t>Zavalaga, CB (corresponding author), Univ Cient Sur, Unidad Invest Ecosistemas Marinos, Grp Aves Marinas, Car Antigua Panamer Km 19, Lima, Peru.</t>
  </si>
  <si>
    <t>czavalaga@cientifica.edu.pe</t>
  </si>
  <si>
    <t>Clark, Bethany Louise/0000-0001-5803-7744; Zavalaga, Carlos/0000-0003-1712-7334</t>
  </si>
  <si>
    <t>FONDECYT-CONCYTEC; Universidad Cientifica del Sur [FONDECYT 152-2015]</t>
  </si>
  <si>
    <t>FONDECYT-CONCYTEC; Universidad Cientifica del Sur</t>
  </si>
  <si>
    <t>This work was funded by FONDECYT-CONCYTEC and Universidad Cientifica del Sur under the Project Implementacion de nuevas tecnicas para el monitoreo biologico de las aves guaneras del Peru (FONDECYT 152-2015) . Permits (Codes RJ 022-2016-SERNANP RNSIIPG, RJ 05-2018-SERNANP-RNSIIPG) to work on the islands were issued by the Servicio Nacional de Areas Naturales Protegidas por el Estado (SERNANP) .</t>
  </si>
  <si>
    <t>10.1016/j.marpolbul.2023.115104</t>
  </si>
  <si>
    <t>K9BV4</t>
  </si>
  <si>
    <t>WOS:001019326400001</t>
  </si>
  <si>
    <t>Velasco, N; Andrade, N; Smit, C; Bustamante, R</t>
  </si>
  <si>
    <t>Velasco, Nicolas; Andrade, Nicolas; Smit, Christian; Bustamante, Ramiro</t>
  </si>
  <si>
    <t>Climatic niche convergence through space and time for a potential archaeophyte (Acacia caven) in South America</t>
  </si>
  <si>
    <t>SPECIES DISTRIBUTION MODELS; ECOLOGICAL NICHES; SHIFTS; CONSERVATISM; MIMOSOIDEAE; LEGUMINOSAE; INVASIONS; DISTRIBUTIONS; DISTURBANCE; DYNAMICS</t>
  </si>
  <si>
    <t>Based on the niche conservatism hypothesis, i.e. the idea that niches remain unchanged over space and time, climatic niche modelling (CNM) is a useful tool for predicting the spread of introduced taxa. Recent advances have extended such predictions deeper in time for plant species dispersed by humans before the modern era. The latest CNMs successfully evaluate niche differentiation and estimate potential source areas for intriguing taxa such as archaeophytes (i.e., species introduced before 1492 AD). Here, we performed CNMs for Acacia caven, a common Fabaceae tree in South America, considered an archaeophyte west of the Andes, in Central Chile. Accounting for the infraspecific delimitation of the species, our results showed that even when climates are different, climatic spaces used by the species overlap largely between the eastern and western ranges. Despite slight variation, results were consistent when considering one, two, or even three-environmental dimensions, and in accordance with the niche conservatism hypothesis. Specific distribution models calibrated for each region (east vs west) and projected to the past, indicate a common area of occupancy available in southern Bolivia-northwest Argentina since the late Pleistocene, which could have acted as a source-area, and this signal becomes stronger through the Holocene. Then, in accordance with a taxon introduced in the past, and comparing regional vs continental distribution models calibrated at the infraspecific or species level, the western populations showed their spread status to be mostly in equilibrium with the environment. Our study thus indicates how niche and species distribution models are useful to improve our knowledge related to taxa introduced before the modern era.</t>
  </si>
  <si>
    <t>[Velasco, Nicolas; Bustamante, Ramiro] Univ Chile, Fac Ciencias, Dept Ciencias Ecol, Inst Ecol &amp; Biodivers, Santiago, Chile; [Velasco, Nicolas; Smit, Christian] Univ Groningen, Groningen Inst Evolutionary Life Sci, Groningen, Netherlands; [Andrade, Nicolas] Univ Chile, Fac Ciencias Agron, Santiago, Chile; [Bustamante, Ramiro] Cape Horn Int Ctr, Cape Horn Cty, Chilean Antarctic Prov, Puerto Williams, Chile</t>
  </si>
  <si>
    <t>Universidad de Chile; University of Groningen; Universidad de Chile</t>
  </si>
  <si>
    <t>Velasco, N (corresponding author), Univ Chile, Fac Ciencias, Dept Ciencias Ecol, Inst Ecol &amp; Biodivers, Santiago, Chile.;Velasco, N (corresponding author), Univ Groningen, Groningen Inst Evolutionary Life Sci, Groningen, Netherlands.</t>
  </si>
  <si>
    <t>njvelasc@uc.cl</t>
  </si>
  <si>
    <t>Velasco, Nicolás/HMD-4938-2023; smit, christian/B-9817-2008</t>
  </si>
  <si>
    <t>Velasco, Nicolás/0000-0002-1777-3005; BUSTAMANTE, RAMIRO/0000-0001-6441-7006; smit, christian/0000-0002-4044-9473</t>
  </si>
  <si>
    <t>Chilean National Agency for Research and Development (ANID) [201721171462]; Macro Universities of Latin America; Caribbean-X; FONDECYT [1180193]; ANID/BASAL [FB210006]; CHIC-AND/BASAL [PFB210018]</t>
  </si>
  <si>
    <t>Chilean National Agency for Research and Development (ANID); Macro Universities of Latin America; Caribbean-X; FONDECYT(Comision Nacional de Investigacion Cientifica y Tecnologica (CONICYT)CONICYT FONDECYT); ANID/BASAL; CHIC-AND/BASAL</t>
  </si>
  <si>
    <t>The corresponding author was funded by the Chilean National Agency for Research and Development (ANID)/Scholarship Program/DOCTORADO BECAS CHILE/2017-21171462 and the Mobility Grant of the Network of Macro Universities of Latin America and the Caribbean-X. RO Bustamante was partially funded by Grants FONDECYT 1180193, ANID/BASAL FB210006 and CHIC-AND/BASAL PFB210018.</t>
  </si>
  <si>
    <t>JUN 8</t>
  </si>
  <si>
    <t>10.1038/s41598-023-35658-8</t>
  </si>
  <si>
    <t>I8OA3</t>
  </si>
  <si>
    <t>WOS:001005311300047</t>
  </si>
  <si>
    <t>Goodrich, HR; Clark, TD</t>
  </si>
  <si>
    <t>Goodrich, Harriet R.; Clark, Timothy D.</t>
  </si>
  <si>
    <t>Why do some fish grow faster than others?</t>
  </si>
  <si>
    <t>behaviour; climate change; digestion; interindividual; metabolism; phenotype</t>
  </si>
  <si>
    <t>SALMON SALMO-SALAR; DOMINANT-SUBORDINATE RELATIONSHIPS; MATERNAL CORTISOL EXPOSURE; STANDARD METABOLIC-RATE; SALVELINUS-ALPINUS L; LIFE-HISTORY TRAITS; RAINBOW-TROUT; DYNAMIC ACTION; ARCTIC CHARR; EGG SIZE</t>
  </si>
  <si>
    <t>All animals must acquire food to grow, but there is a vast diversity in how different species and even different individuals approach and achieve this task. Individuals within a species appear to fall along a bold-shy continuum, whereby some fish acquire food aggressively and with seemingly high risk, while others appear more submissive and opportunistic. Greater food consumption generally results in faster growth, but only if the energy acquired through food is more than enough to compensate for heightened metabolism associated with a more active lifestyle. Fast-growing phenotypes also tend to have elevated baseline metabolism - at least when food is plentiful - which may be linked with gut morphology and digestive efficiency. The net energy gained from a meal (as calculated from the specific dynamic action (SDA) coefficient) is optimised with larger meal sizes, but the digestion of large meals can erode the aerobic metabolic scope available for other critical activities such as predator avoidance, perhaps at an interindividual level. Thus, complex interactions between an individual's genes and environment are likely to regulate the growth phenotype. This review compiles available knowledge to shed light on the question: Why do some fish grow faster than others? We discuss the elaborate interrelationships between behaviour, physiology and the gut microbiome with a goal to better understand what drives interindividual differences in growth performance.</t>
  </si>
  <si>
    <t>[Goodrich, Harriet R.] Univ Tasmania, Inst Marine &amp; Antarctic Studies, Private Bag 49, Hobart, Tas 7001, Australia; [Clark, Timothy D.] Deakin Univ, Sch Life &amp; Environm Sci, Geelong, Vic, Australia</t>
  </si>
  <si>
    <t>University of Tasmania; Deakin University</t>
  </si>
  <si>
    <t>Goodrich, HR (corresponding author), Univ Tasmania, Inst Marine &amp; Antarctic Studies, Private Bag 49, Hobart, Tas 7001, Australia.</t>
  </si>
  <si>
    <t>harriet.goodrich@utas.edu.au</t>
  </si>
  <si>
    <t>; Clark, Timothy/K-7129-2012</t>
  </si>
  <si>
    <t>Goodrich, Harriet/0000-0002-2568-0562; Clark, Timothy/0000-0001-8738-3347</t>
  </si>
  <si>
    <t>Australian Research Council Future Fellowship [FT180100154]; Australian Research Council [FT180100154]; Deakin University; University of Tasmania, IMAS; Australian Research Council [FT180100154] Funding Source: Australian Research Council</t>
  </si>
  <si>
    <t>Australian Research Council Future Fellowship(Australian Research Council); Australian Research Council(Australian Research Council); Deakin University; University of Tasmania, IMAS; Australian Research Council(Australian Research Council)</t>
  </si>
  <si>
    <t>Australian Research Council, Grant/Award Number: FT180100154; Deakin University; University of Tasmania, IMAS</t>
  </si>
  <si>
    <t>10.1111/faf.12770</t>
  </si>
  <si>
    <t>FO9J7</t>
  </si>
  <si>
    <t>WOS:001004230800001</t>
  </si>
  <si>
    <t>He, ZT; Qiao, SQ; Jin, LA; Shen, W; Wu, B; Sheng, J; Fang, XS; Chen, L; Yin, ZX</t>
  </si>
  <si>
    <t>He, Zhoutian; Qiao, Shuqing; Jin, Lina; Shen, Wei; Wu, Bin; Sheng, Jie; Fang, Xisheng; Chen, Liang; Yin, Zhengxin</t>
  </si>
  <si>
    <t>Clay mineralogy and geochemistry of surface sediments in the equatorial western Indian Ocean and implications for sediment sources and the Antarctic bottom water inputs</t>
  </si>
  <si>
    <t>JOURNAL OF ASIAN EARTH SCIENCES</t>
  </si>
  <si>
    <t>Indian ocean; Sediment sources; Clay minerals; Element geochemistry; Antarctic bottom water; Redox</t>
  </si>
  <si>
    <t>RARE-EARTH-ELEMENTS; EASTERN ARABIAN SEA; SAHARAN DUST; DEEP-SEA; HYDROTHERMAL ACTIVITY; MARINE-SEDIMENTS; ATLANTIC-OCEAN; RIDGE; TRACE; CERIUM</t>
  </si>
  <si>
    <t>Sediments in the equatorial western Indian Ocean are mixed products from biological, terrigenous, autogenic, volcanic, and hydrothermal materials influenced by various circulation and water masses. The sediments record information of sources and sedimentary environments. To identify the different sources of non-carbonate com-ponents in the sediments of the equatorial western Indian Ocean and explore the factors influencing their sedimentary characteristics, surface sediments of the equatorial western Indian Ocean were analysed for clay minerals as well as major and rare earth elements following carbonate removal. Palygorskite, as an indicative mineral of aeolian dust from the North Africa-Arabian Peninsula, is ubiquitous in the sediment of the equatorial western Indian Ocean. These non-carbonate materials are mainly derived from the North Africa-Arabian Peninsula as well as the Indus River and Deccan Traps. The study area can be divided into two sedimentary zones according to the water depth, major element content, and related indexes of rare earth elements (&amp; delta;Ce, &amp; delta;Eu, LREE/HREE). The sediments of Zone II, being influenced by the Antarctic bottom water, are mainly calcareous clay and characterised by a significant positive Ce anomaly and relative MnO enrichment, with relatively high palygorskite, Al2O3 content, and LREE/HREE ratio (mean values of 24%, 13.95% and 14.00). The sediments of Zone I are mainly clayey calcareous ooze, with a relatively weak positive Ce anomaly and a low palygorskite content (20%). Low Al/(Al + Fe + Mn) values in the sediments of Zone I demonstrate slight signs of hydro -thermal input. This study revealed that continental weathering debris is an important source of non-carbonate sediments in the equatorial western Indian Ocean and established that the Antarctic bottom water is an inte-gral factor affecting the sedimentary environment in this region. We present a complete regional sedimento-logical study of the equatorial western Indian Ocean and provide theoretical support for the reconstruction of the paleo-oceanic environment.</t>
  </si>
  <si>
    <t>[He, Zhoutian; Qiao, Shuqing; Jin, Lina; Shen, Wei; Wu, Bin; Sheng, Jie; Fang, Xisheng] Minist Nat Resources, Inst Oceanog 1, Key Lab Marine Geol &amp; Metallogeny, Qingdao 266061, Peoples R China; [Qiao, Shuqing; Jin, Lina; Wu, Bin; Sheng, Jie; Fang, Xisheng] Pilot Natl Lab Marine Sci &amp; Technol, Lab Marine Geol, Qingdao 266061, Peoples R China; [Shen, Wei] Nanjing Univ, Sch Geog &amp; Oceanog Sci, Nanjing 210023, Peoples R China; [Chen, Liang; Yin, Zhengxin] State Ocean Adm, South China Sea Marine Survey &amp; Technol Ctr, Guangzhou 510300, Peoples R China</t>
  </si>
  <si>
    <t>First Institute of Oceanography, Ministry of Natural Resources; Ministry of Natural Resources of the People's Republic of China; Laoshan Laboratory; Nanjing University</t>
  </si>
  <si>
    <t>Qiao, SQ (corresponding author), Minist Nat Resources, Inst Oceanog 1, Key Lab Marine Geol &amp; Metallogeny, Qingdao 266061, Peoples R China.</t>
  </si>
  <si>
    <t>qiaoshuqing@fio.org.cn</t>
  </si>
  <si>
    <t>1367-9120</t>
  </si>
  <si>
    <t>1878-5786</t>
  </si>
  <si>
    <t>J ASIAN EARTH SCI</t>
  </si>
  <si>
    <t>J. Asian Earth Sci.</t>
  </si>
  <si>
    <t>10.1016/j.jseaes.2023.105741</t>
  </si>
  <si>
    <t>K5DK6</t>
  </si>
  <si>
    <t>WOS:001016641600001</t>
  </si>
  <si>
    <t>Talis, EJ; Che-Castaldo, C; Hart, T; McRae, L; Lynch, HJ</t>
  </si>
  <si>
    <t>Talis, Emma J.; Che-Castaldo, Christian; Hart, Tom; McRae, Louise; Lynch, Heather J.</t>
  </si>
  <si>
    <t>Penguindex: a Living Planet Index for Pygoscelis species penguins identifies key eras of population change</t>
  </si>
  <si>
    <t>Antarctic; Biodiversity; Convention on Biological Diversity; Living Planet Index; Population change; Pygoscelis penguin</t>
  </si>
  <si>
    <t>SEA-ICE; RECENT DECREASE; TIME-SERIES; TRENDS; VARIABILITY; ANTARCTICA; REGRESSION; INCREASES; REVEALS; ISLANDS</t>
  </si>
  <si>
    <t>As one of the best studied components of the Southern Ocean food web, Pygoscelis penguins serve as an important window into the larger marine ecosystem, but the patchiness and heterogeneity of the census data available have made it difficult to assess trends in a policy-accessible way. Here we introduce a Pygoscelis penguin-specific biodiversity index, the 'Penguindex,' using the framework of the Living Planet Index (LPI), distilling 40 year population trends of pygoscelid penguins for the first time into a single pan-Antarctic indicator for use by policymakers. We also calculate species- and region-specific indices from which discrete eras of population dynamics can be identified. These indices, similar to the LPI itself, do not provide estimates of changes in absolute abundance of species but, instead, reflect comparable population trends and the relative magnitude of these changes. We find that the Adelie Penguin (Pygoscelis adeliae) index was relatively stable across the Antarctic since 1980, with declines in regional indices across the Antarctic Peninsula region being contrasted by increases in regional indices for the Ross Sea and East Antarctica. The Chinstrap Penguin (Pygoscelis antarctica) index across the Antarctic declined by 61%. In stark contrast, the index for Gentoo Penguin (Pygoscelis papua) has increased seven-fold. Our analysis also identifies several marked eras of regional pygoscelid population change that may help identify key mechanistic drivers. We expect that the Penguindex will act as a useful reference tool for policymakers and hope that, by following this example, other taxonomic groups in the Antarctic might be tracked using the Living Planet Index framework. Importantly, our development of the Penguindex should facilitate the much-needed integration of Antarctic data into global biodiversity monitoring.</t>
  </si>
  <si>
    <t>[Talis, Emma J.] SUNY Stony Brook, Dept Appl Math &amp; Stat, Stony Brook, NY USA; [Talis, Emma J.; Che-Castaldo, Christian; Lynch, Heather J.] SUNY Stony Brook, Inst Adv Computat Sci, Stony Brook, NY 11794 USA; [Hart, Tom] Univ Oxford, Dept Zool, Oxford, England; [McRae, Louise] Zool Soc London, Inst Zool, London, England; [Lynch, Heather J.] SUNY Stony Brook, Dept Ecol &amp; Evolut, Stony Brook, NY 11794 USA</t>
  </si>
  <si>
    <t>State University of New York (SUNY) System; State University of New York (SUNY) Stony Brook; State University of New York (SUNY) System; State University of New York (SUNY) Stony Brook; University of Oxford; Zoological Society of London; State University of New York (SUNY) System; State University of New York (SUNY) Stony Brook</t>
  </si>
  <si>
    <t>Lynch, HJ (corresponding author), SUNY Stony Brook, Inst Adv Computat Sci, Stony Brook, NY 11794 USA.;Lynch, HJ (corresponding author), SUNY Stony Brook, Dept Ecol &amp; Evolut, Stony Brook, NY 11794 USA.</t>
  </si>
  <si>
    <t>emma.talis@stonybrook.edu; heather.lynch@stonybrook.edu</t>
  </si>
  <si>
    <t>Che-Castaldo, Christian/0000-0002-7670-2178</t>
  </si>
  <si>
    <t>10.1007/s00300-023-03148-2</t>
  </si>
  <si>
    <t>WOS:001003255000001</t>
  </si>
  <si>
    <t>Shui, YD; Ye, WJ; Zhang, WY; Yuan, LX; Jiao, Y; Sun, BW; Zang, HW; Yin, XB; Zhu, RB</t>
  </si>
  <si>
    <t>Shui, Yudie; Ye, Wenjuan; Zhang, Wanying; Yuan, Linxi; Jiao, Yi; Sun, Bowen; Zang, Huawei; Yin, Xuebin; Zhu, Renbin</t>
  </si>
  <si>
    <t>Distribution patterns of selenium and its fractions in penguin and seal colony soil profiles in response to their population dynamics in maritime Antarctica</t>
  </si>
  <si>
    <t>Selenium; Selenium fractions; Penguin; Seal; Soil profile; Maritime Antarctica</t>
  </si>
  <si>
    <t>ATMOSPHERIC DEPOSITION; ORNITHOGENIC SEDIMENTS; ARCTOCEPHALUS-GAZELLA; AGRICULTURAL SOILS; TRACE-ELEMENTS; SPECIATION; ISLAND; BIOAVAILABILITY; EMISSIONS; CONTAMINANTS</t>
  </si>
  <si>
    <t>Currently, most studies focus on the spatial distribution patterns of selenium (Se) and its fractions in the horizontal surface soils with much less attention paid to their vertical distribution patterns. The investigation about their distribution patterns in soil profiles can further elucidate their migration and transformation paths. Here, total Se and its fractions in tundra soil profiles were quantified by sequential chemical-extraction method and hydride generation-atomic fluorescence spectrometry, to explore the Se distribution patterns and their relationships with penguin or seal population dynamics in maritime Antarctica. Total Se contents were one order of magnitude higher in penguin colony soil profiles than in seal colony and normal tundra. The vertical distribution patterns of total Se were in accord with those of total carbon (TC), total organic carbon (TOC), total nitrogen (TN), total phosphorus (TP) and total sulfur (TS), and total Se levels showed significant positive correlations with historical penguin or seal population proxies obtained from Q-mode factor analysis. Organically bound Se (Se-ob) and residual Se (Se-re) were the dominant fractions with proportions close to 80%, whereas bioavailable Se were the lowest among all fractions. Significant positive correlations of Se-ob with total Se, TC, TOC, TN, TP, and population proxy indicated that historically high penguin population size and their guano input promoted Se-ob accumulation. Our results showed that historical penguin and seal population dynamics and their guano input had an important effect on the distribution patterns for total Se and their fractions in soil profiles. This study provides critical information that is useful to understanding Se biogeochemical cycles and the impact of penguins and seals in coastal Antarctica.</t>
  </si>
  <si>
    <t>[Shui, Yudie; Zhang, Wanying; Sun, Bowen; Zang, Huawei; Zhu, Renbin] Univ Sci &amp; Technol China, Sch Earth &amp; Space Sci, Anhui Prov Key Lab Polar Environm &amp; Global Change, Hefei 230026, Anhui, Peoples R China; [Shui, Yudie; Zhang, Wanying; Sun, Bowen; Zang, Huawei; Zhu, Renbin] Univ Sci &amp; Technol China, Inst Polar Environm, Hefei 230026, Anhui, Peoples R China; [Ye, Wenjuan] Shanghai Acad Environm Sci, Shanghai 200233, Peoples R China; [Yuan, Linxi] Xian Jiaotong Liverpool Univ, Dept Hlth &amp; Environm Sci, Suzhou 215123, Jiangsu, Peoples R China; [Jiao, Yi] Univ Copenhagen, Dept Biol, Terr Ecol Sect, DK-2100 Copenhagen O, Denmark; [Yin, Xuebin] Univ Sci &amp; Technol China, Suzhou Res Inst, Key Lab Funct Agr, Suzhou 215123, Jiangsu, Peoples R China</t>
  </si>
  <si>
    <t>Chinese Academy of Sciences; University of Science &amp; Technology of China, CAS; Chinese Academy of Sciences; University of Science &amp; Technology of China, CAS; Xi'an Jiaotong-Liverpool University; University of Copenhagen; Chinese Academy of Sciences; University of Science &amp; Technology of China, CAS</t>
  </si>
  <si>
    <t>Zhu, RB (corresponding author), Univ Sci &amp; Technol China, Sch Earth &amp; Space Sci, Anhui Prov Key Lab Polar Environm &amp; Global Change, Hefei 230026, Anhui, Peoples R China.;Zhu, RB (corresponding author), Univ Sci &amp; Technol China, Inst Polar Environm, Hefei 230026, Anhui, Peoples R China.</t>
  </si>
  <si>
    <t>zhurb@ustc.edu.cn</t>
  </si>
  <si>
    <t>Sun, Bowen/M-6027-2018; Yuan, Linxi/Y-9313-2019; Jiao, Yi/HNP-9992-2023; Zhang, Wanying/IXD-8104-2023</t>
  </si>
  <si>
    <t>Yuan, Linxi/0000-0002-1043-8933; Jiao, Yi/0000-0001-5027-3144; Zhang, Wanying/0000-0001-9874-9834</t>
  </si>
  <si>
    <t>National Natural Science Foundation of China [41976220, 41776190]; National Key Research and Development Program of China [2020YFA0608501]; Chinese Arctic and Antarctic Administration of the State Oceanic Administration</t>
  </si>
  <si>
    <t>National Natural Science Foundation of China(National Natural Science Foundation of China (NSFC)); National Key Research and Development Program of China; Chinese Arctic and Antarctic Administration of the State Oceanic Administration</t>
  </si>
  <si>
    <t>This study is funded by the National Natural Science Foundation of China (Grant Nos. 41976220; 41776190), and the National Key Research and Development Program of China (Grant No. 2020YFA0608501). We acknowledge the members of Chinese Antarctic Research Expedition, and Chinese Arctic and Antarctic Administration of the State Oceanic Administration for support and help in fieldwork.</t>
  </si>
  <si>
    <t>10.1007/s00300-023-03157-1</t>
  </si>
  <si>
    <t>WOS:001003255000002</t>
  </si>
  <si>
    <t>Keenan, E; Wever, N; Lenaerts, JTM; Medley, B</t>
  </si>
  <si>
    <t>Keenan, Eric; Wever, Nander; Lenaerts, Jan T. M.; Medley, Brooke</t>
  </si>
  <si>
    <t>A wind-driven snow redistribution module for Alpine3D v3.3.0: adaptations designed for downscaling ice sheet surface mass balance</t>
  </si>
  <si>
    <t>ANTARCTIC PLATEAU; BLOWING SNOW; PART I; MODEL; TRANSPORT; SALTATION; CLIMATE; IMPACT; DENSIFICATION; SIMULATIONS</t>
  </si>
  <si>
    <t>Ice sheet surface mass balance describes the net snow accumulation at the ice sheet surface. On the Antarctic ice sheet, winds redistribute snow, resulting in a surface mass balance that is variable in both space and time. Representing wind-driven snow redistribution processes in models is critical for local assessments of surface mass balance, repeat altimetry studies, and interpretation of ice core accumulation records. To this end, we have adapted Alpine3D, an existing distributed snow modeling framework, to downscale Antarctic surface mass balance to horizontal resolutions up to 1 km. In particular, we have introduced a new two-dimensional advection-based wind-driven snow redistribution module that is driven by an offline coupling between WindNinja, a wind downscaling model, and Alpine3D. We then show that large accumulation variability can be at least partially explained by terrain-induced wind speed variations which subsequently redistribute snow around rolling topography. By comparing Alpine3D to airborne-derived snow accumulation measurements within a testing domain over Pine Island Glacier in West Antarctica, we demonstrate that our Alpine3D downscaling approach improves surface mass balance estimates when compared to the Modern-Era Retrospective analysis for Research and Applications, Version 2 (MERRA-2), a global atmospheric reanalysis which we use as atmospheric forcing. In particular, when compared to MERRA-2, Alpine3D reduces simulated surface mass balance root mean squared error by 23.4mmw :e : yr (-1) (13 %) and increases variance explained by 24 %. Despite these improvements, our results demonstrate that considerable uncer- tainty stems from the employed saltation model, confounding simulations of surface mass balance variability.</t>
  </si>
  <si>
    <t>[Keenan, Eric; Wever, Nander; Lenaerts, Jan T. M.] Univ Colorado, Dept Atmospher &amp; Ocean Sci, Boulder, CO 80309 USA; [Wever, Nander] WSL Inst Snow &amp; Avalanche Res SLF, Davos, Switzerland; [Medley, Brooke] NASA Goddard Space Flight Ctr, Cryospher Sci Lab, Greenbelt, MD USA</t>
  </si>
  <si>
    <t>University of Colorado System; University of Colorado Boulder; Swiss Federal Institutes of Technology Domain; Swiss Federal Institute for Forest, Snow &amp; Landscape Research; National Aeronautics &amp; Space Administration (NASA); NASA Goddard Space Flight Center</t>
  </si>
  <si>
    <t>Wever, N (corresponding author), Univ Colorado, Dept Atmospher &amp; Ocean Sci, Boulder, CO 80309 USA.;Wever, N (corresponding author), WSL Inst Snow &amp; Avalanche Res SLF, Davos, Switzerland.</t>
  </si>
  <si>
    <t>nander.wever@slf.ch</t>
  </si>
  <si>
    <t>; Lenaerts, Jan/D-9423-2012</t>
  </si>
  <si>
    <t>Keenan, Eric/0000-0002-1511-9093; Wever, Nander/0000-0002-4829-8585; Lenaerts, Jan/0000-0003-4309-4011</t>
  </si>
  <si>
    <t>National Science Foundation [ACI-1532235, ACI-1532236]; University of Colorado Boulder; Colorado State University</t>
  </si>
  <si>
    <t>National Science Foundation(National Science Foundation (NSF)); University of Colorado Boulder; Colorado State University</t>
  </si>
  <si>
    <t>The authors thank Charles Amory and an anonymous reviewer for their thoughtful comments which helped to improve the manuscript considerably. This work utilized the RMACC Summit supercomputer, which is supported by the National Science Foundation (awards ACI-1532235 and ACI-1532236), the University of Colorado Boulder, and Colorado State University. The Summit supercomputer is a joint effort of the University of Colorado Boulder and Colorado State University. Data storage supported by the University of Colorado Boulder PetaLibrary.</t>
  </si>
  <si>
    <t>10.5194/gmd-16-3203-2023</t>
  </si>
  <si>
    <t>I6ZO7</t>
  </si>
  <si>
    <t>WOS:001004250100001</t>
  </si>
  <si>
    <t>Huang, K; Zhu, GP</t>
  </si>
  <si>
    <t>Huang, Kai; Zhu, Guoping</t>
  </si>
  <si>
    <t>Fatty acid composition and energy allocation in muscle and gonad tissues indicate that the female mackerel icefish Champsocephalus gunnari is an income breeder</t>
  </si>
  <si>
    <t>Antarctica; breeding strategy; Champsocephalus gunnari; energy density; fatty acid profile</t>
  </si>
  <si>
    <t>GENERALIZED ADDITIVE-MODELS; ANTARCTIC FISH; REPRODUCTIVE-PERFORMANCE; LIPIDS; NUTRITION; FECUNDITY; ACCUMULATION; BUOYANCY; JUVENILE; BIOLOGY</t>
  </si>
  <si>
    <t>The energy density and fatty acid composition profiles of the muscle and gonad tissues of female mackerel icefish Champsocephalus gunnari from the South Orkney Islands in Antarctica were investigated throughout ovarian development to better understand the reproductive allocation strategy and the role of specific fatty acids in the reproductive process. Energy density in gonads increased from resting to spawning stages as the ovaries developed (19.60-25.10 kJ g(-1) dry mass [DM]). In contrast, energy density in muscles remained constant throughout ovarian development (20.13-22.87 kJ g(-1) DM), suggesting that the spawning events of the C. gunnari rely on energy income from feeding rather than on the energy stored in body. In addition, the variation in fatty acid composition between muscle and gonad tissues may reflect the role of main FAs as energy source. These results suggest that C. gunnari may utilize an income breeding strategy.</t>
  </si>
  <si>
    <t>[Huang, Kai; Zhu, Guoping] Shanghai Ocean Univ, Coll Marine Sci, Shanghai, Peoples R China; [Zhu, Guoping] Shanghai Ocean Univ, Ctr Polar Res, Shanghai, Peoples R China; [Zhu, Guoping] Minist Educ, Key Lab Sustainable Exploitat Ocean Fisheries Reso, Polar Marine Ecosyst Grp, Shanghai, Peoples R China; [Zhu, Guoping] Natl Engn Res Ctr Ocean Fisheries, Shanghai, Peoples R China; [Zhu, Guoping] Shanghai Ocean Univ, Coll Marine Sci, Shanghai 201306, Peoples R China</t>
  </si>
  <si>
    <t>gpzhu@shou.edu.cn</t>
  </si>
  <si>
    <t>Huang, Kai/IYK-0144-2023</t>
  </si>
  <si>
    <t>Huang, Huang Kai/0000-0003-3342-1189; Zhu, Guoping/0000-0001-6081-7811</t>
  </si>
  <si>
    <t>International Science and Technology Cooperation Key Special Project of the National Key Research and Development Program [SQ2022YFE013057]; National Natural Science Foundation of China [41776185]</t>
  </si>
  <si>
    <t>International Science and Technology Cooperation Key Special Project of the National Key Research and Development Program; National Natural Science Foundation of China(National Natural Science Foundation of China (NSFC))</t>
  </si>
  <si>
    <t>International Science and Technology Cooperation Key Special Project of the National Key Research and Development Program, Grant/Award Number: SQ2022YFE013057; National Natural Science Foundation of China, Grant/Award Number: 41776185</t>
  </si>
  <si>
    <t>10.1111/jfb.15461</t>
  </si>
  <si>
    <t>S0DK1</t>
  </si>
  <si>
    <t>WOS:001007088200001</t>
  </si>
  <si>
    <t>Steiner, JF; Buri, P; Abermann, J; Prinz, R; Nicholson, L</t>
  </si>
  <si>
    <t>Steiner, Jakob F.; Buri, Pascal; Abermann, Jakob; Prinz, Rainer; Nicholson, Lindsey</t>
  </si>
  <si>
    <t>Steep ice - progress and future challenges in research on ice cliffs</t>
  </si>
  <si>
    <t>Antarctic glaciology; arctic glaciology; debris-covered glaciers; energy balance; tropical glaciology</t>
  </si>
  <si>
    <t>DEBRIS-COVERED GLACIERS; BRIEF-COMMUNICATION; SUPRAGLACIAL PONDS; ENERGY-BALANCE; ABLATION; IMPACT; MARGIN; EVOLUTION; MODEL; MELT</t>
  </si>
  <si>
    <t>Ice cliffs are features along ice sheet margins, along tropical mountain glaciers, at termini of mountain glaciers and on debris-covered glacier tongues, that have received scattered attention in literature. They cover small relative areas of glacier or margin surface respectively, but have been involved in two apparent anomalies. On the one hand, they have been identified as potential hotspots of extreme melt rates on debris-covered tongues contributing to their relatively rapid ablation, compared to the surrounding glacier surface. On the other hand, they appear where the ice margin is stable (or temporarily advancing) even under conditions of negative mass balance. In this manuscript, we recapitulate why ice cliffs remain interesting features to investigate and what we know about them so far. We conclude by suggesting to further investigate their genesis and variable morphology and their potential as windows into past climates and processes.</t>
  </si>
  <si>
    <t>[Steiner, Jakob F.; Abermann, Jakob] Karl Franzens Univ Graz, Inst Geog &amp; Reg Sci, Graz, Austria; [Steiner, Jakob F.] Int Ctr Integrated Mt Dev, Lalitpur, Nepal; [Buri, Pascal] Swiss Fed Inst Forest Snow &amp; Landscape Res WSL, Birmensdorf, Switzerland; [Prinz, Rainer; Nicholson, Lindsey] Univ Innsbruck, Dept Atmospher &amp; Cryospher Sci, Innsbruck, Austria</t>
  </si>
  <si>
    <t>University of Graz; Swiss Federal Institutes of Technology Domain; Swiss Federal Institute for Forest, Snow &amp; Landscape Research; University of Innsbruck</t>
  </si>
  <si>
    <t>Steiner, JF (corresponding author), Karl Franzens Univ Graz, Inst Geog &amp; Reg Sci, Graz, Austria.;Steiner, JF (corresponding author), Int Ctr Integrated Mt Dev, Lalitpur, Nepal.</t>
  </si>
  <si>
    <t>jff.steiner@gmail.com</t>
  </si>
  <si>
    <t>Buri, Pascal/GNP-4094-2022; Steiner, Jakob/IXN-3835-2023</t>
  </si>
  <si>
    <t>Buri, Pascal/0000-0003-3890-2109; Steiner, Jakob/0000-0002-0063-0067; Nicholson, Lindsey/0000-0003-0430-7950</t>
  </si>
  <si>
    <t>Government of Greenland; Austrian Science Fund (FWF) [P 36306]; SNF Early Postdoc.Mobility programme [178420]</t>
  </si>
  <si>
    <t>Government of Greenland; Austrian Science Fund (FWF)(Austrian Science Fund (FWF)); SNF Early Postdoc.Mobility programme</t>
  </si>
  <si>
    <t>The authors are grateful to Juerg Alean for providing the photo of Crusoe Glacier (https://www.swisseduc.ch/glaciers/axel_heiberg/crusoe_glacier/crusoe_front_west/index-en.html?id=2). The views and interpretations in this publication are those of the authors and are not necessarily attributable to ICIMOD. JFS, JA and RP acknowledge the Government of Greenland for support of the reconnaissance expedition in 2017 through the Tips og Lottomidler Pulje C. This research was funded, in part, by the Austrian Science Fund (FWF) [Grant number P 36306]. PB acknowledges project funding from the SNF Early Postdoc.Mobility programme (Grant No. 178420). The authors are grateful for comments by Erin Pettit and an anonymous reviewer, who greatly helped to improve the manuscript further.</t>
  </si>
  <si>
    <t>PII S0260305523000411</t>
  </si>
  <si>
    <t>10.1017/aog.2023.41</t>
  </si>
  <si>
    <t>WOS:001007756600001</t>
  </si>
  <si>
    <t>Savonuzzi, LB; Brancatelli, G; Forlin, E; De Santis, L; Geletti, R; Busetti, M; Wardell, N; Del Ben, A</t>
  </si>
  <si>
    <t>Savonuzzi, L. Barro; Brancatelli, G.; Forlin, E.; De Santis, L.; Geletti, R.; Busetti, M.; Wardell, N.; Del Ben, A.</t>
  </si>
  <si>
    <t>Miocene mounds on the Ross Sea paleo-continental shelf: evidence of the onset of Antarctic glaciations or mud volcanoes?</t>
  </si>
  <si>
    <t>BULLETIN OF GEOPHYSICS AND OCEANOGRAPHY</t>
  </si>
  <si>
    <t>Ross Sea; Antarctica; seismic interpretation; mounds; mud volcanoes; moraines</t>
  </si>
  <si>
    <t>WATER CORAL MOUNDS; CARBONATE MOUNDS; TOPPED MOUNDS; DEEP-WATER; EVOLUTION; ATLANTIC; BANK</t>
  </si>
  <si>
    <t>Buried mounds have been identified on seismic reflection profiles in the southern Roosevelt sub-basin of the eastern Ross Sea, Antarctica. Since they have never been sampled, the composition of these mounds can only be inferred from their acoustic character. Previous studies have hypothesised that they are buried glacial moraines deposited by ice grounding near the paleo-continental shelf edge, suggesting the beginning of the growth of the West Antarctic Ice Sheet (WAIS) as early as the late Oligocene. This hypothesis conflicts with earlier evidence of the WAIS advance over the central-eastern Ross Sea. An alternative explanation for the origin of the mounds, as mud volcanoes, is formulated here on the basis of seismic reflection profile reprocessing and comparison with other, better studied, mound provinces in the Ross Sea. Shallow drilling is required to verify, which hypothesis is correct, and this has implications for various WAIS scenarios, ice volumes, and thermal rheological modelling.</t>
  </si>
  <si>
    <t>[Savonuzzi, L. Barro; Del Ben, A.] Trieste Univ, Dept Math &amp; Geosci, Via Weiss 2, I-34127 Trieste, Italy; [Savonuzzi, L. Barro; Brancatelli, G.; Forlin, E.; De Santis, L.; Geletti, R.; Busetti, M.; Wardell, N.] Natl Inst Oceanog &amp; Appl Geophys OGS, Trieste, Italy</t>
  </si>
  <si>
    <t>University of Trieste; Istituto Nazionale di Oceanografia e di Geofisica Sperimentale</t>
  </si>
  <si>
    <t>Savonuzzi, LB (corresponding author), Trieste Univ, Dept Math &amp; Geosci, Via Weiss 2, I-34127 Trieste, Italy.</t>
  </si>
  <si>
    <t>lorenzabarro@gmail.com</t>
  </si>
  <si>
    <t>Busetti, Martina/L-5185-2014</t>
  </si>
  <si>
    <t>Busetti, Martina/0000-0001-7039-3282; Brancatelli, Giuseppe/0000-0003-0301-7804; Geletti, Riccardo/0000-0002-6574-011X; Forlin, Edy/0000-0002-6756-7277</t>
  </si>
  <si>
    <t>[PNRA18_00002]</t>
  </si>
  <si>
    <t>Acknowledgments. The multibeam and field seismic data were provided by BGR and by the Marine Geoscience Data System ( www.marine-geo.org/) . Stack data are available via the Antarctic Seismic Data Library System. The authors acknowledge IHS Markit (R) of S&amp;P Global for providing a free academic license of KingdomTM software for seismic interpretation and Aspentech Technology Inc.(R) for academic grants of EchosTM and GeodepthTM software for seismic processing to OGS. Further sincere thanks go to William Toson and Davide Gei for the OGS Seislab support, to Umberta Tinivella for the support during the processing sensitivity analysis, and to the staff of the 40th GNGTS National Conference where the paper was presented. This work is carried out in the frame of the PNRA18_00002 ANTIPODE project (principal investigator F. Colleoni) .</t>
  </si>
  <si>
    <t>IST NAZIONALE DI OCEANOGRAFIA E DI GEOFISICA</t>
  </si>
  <si>
    <t>SGONICO</t>
  </si>
  <si>
    <t>BORGO GROTTA GIGANTE, 42-C, SGONICO, TRIESTE 34010, ITALY</t>
  </si>
  <si>
    <t>2785-339X</t>
  </si>
  <si>
    <t>2785-2970</t>
  </si>
  <si>
    <t>B GEOPHYS OCEANOGR</t>
  </si>
  <si>
    <t>Bull. Geophys. Oceanogr.</t>
  </si>
  <si>
    <t>10.4430/bgo00417</t>
  </si>
  <si>
    <t>CT1U3</t>
  </si>
  <si>
    <t>WOS:001007355900001</t>
  </si>
  <si>
    <t>Chen, YJ; Zhang, ZR; Wang, XZ; Liu, XH; Zhou, M</t>
  </si>
  <si>
    <t>Chen, Yuanjie; Zhang, Zhaoru; Wang, Xuezhu; Liu, Xiaohui; Zhou, Meng</t>
  </si>
  <si>
    <t>Interannual variations of heat budget in the lower layer of the eastern Ross Sea shelf and the forcing mechanisms in the Southern Ocean State Estimate</t>
  </si>
  <si>
    <t>circumpolar deep water intrusion; dense shelf water transport; eastern Ross Sea shelf; Eddy activity; heat budget; horizontal heat advection</t>
  </si>
  <si>
    <t>CIRCUMPOLAR DEEP-WATER; PINE ISLAND GLACIER; WIND EVENTS; ICE; MODEL; CIRCULATION; VARIABILITY; TRANSPORT; REPRESENTATION; OCEANOGRAPHY</t>
  </si>
  <si>
    <t>The temporal variation of heat budget in the lower layer of the eastern Ross Sea shelf (ERSS) is crucial for understanding the stability of ice shelves in the Ross Sea. In this study, a 6-year (2005-2010) simulation from the Southern Ocean State Estimate (SOSE) is employed to analyse the interannual variations of heat budget in the lower layer of the ERSS and the controlling mechanisms. The results reveal that the annual change in the heat content of the study region is dominated by the horizontal heat advection term, and only in 2015 the vertical advection and diffusion terms also play an important role. The horizontal advection term is affected by the intrusion of warm circumpolar deep water (CDW) onto the shelf across the northern boundary of the ERSS, the transport of cold dense shelf water (DSW) from the western Ross Sea shelf, and the transport of CDW across the western boundary of the ERSS. The contributions of these physical processes to the change in annual heat content vary between years. The interannual variation of the CDW intrusion is associated with the strength of eddy activity over the slope, and the interannual variation of heat transports associated with DSW is affected by both the extent of DSW on the western shelf and the coastal circulations that affect the eastward spread of DSW.</t>
  </si>
  <si>
    <t>[Chen, Yuanjie; Zhang, Zhaoru; Zhou, Meng] Shanghai Jiao Tong Univ, Sch Oceanog, Shanghai, Peoples R China; [Zhang, Zhaoru; Zhou, Meng] Minist Nat Resources, Polar Res Inst China, Key Lab Polar Sci, Shanghai, Peoples R China; [Wang, Xuezhu] Hohai Univ, Coll Oceanog, Nanjing, Peoples R China; [Liu, Xiaohui] Minist Nat Resources, Inst Oceanog 2, State Key Lab Satellite Ocean Environm Dynam, Hangzhou, Peoples R China; [Liu, Xiaohui] Southern Marine Sci &amp; Engn Guangdong Lab Zhuhai, Zhuhai, Peoples R China</t>
  </si>
  <si>
    <t>Shanghai Jiao Tong University; Polar Research Institute of China; Ministry of Natural Resources of the People's Republic of China; Hohai University; Ministry of Natural Resources of the People's Republic of China; Southern Marine Science &amp; Engineering Guangdong Laboratory; Southern Marine Science &amp; Engineering Guangdong Laboratory (Zhuhai)</t>
  </si>
  <si>
    <t>Zhang, ZR (corresponding author), Shanghai Jiao Tong Univ, Sch Oceanog, Shanghai, Peoples R China.</t>
  </si>
  <si>
    <t>zrzhang@sjtu.edu.cn</t>
  </si>
  <si>
    <t>li, yuanfang/KHV-1697-2024; Zhang, Kai/KBD-3312-2024</t>
  </si>
  <si>
    <t>Chen, Yuanjie/0000-0001-7582-4811</t>
  </si>
  <si>
    <t>National Natural Science Foundation of China [2019YFC1509102, 41876221, 41941008]; Shanghai Science and Technology Committee [21QA1404300, 20230711100]; Impact and Response of Antarctic Seas to Climate Change [IRASCC1-02-01B]; National Key Research and Development Program of China; Advanced Polar Science Institute of Shanghai; European Union [101003590]; Oceanic Interdisciplinary Program of Shanghai Jiao Tong University [SL2020ZD204]</t>
  </si>
  <si>
    <t>National Natural Science Foundation of China(National Natural Science Foundation of China (NSFC)); Shanghai Science and Technology Committee(Shanghai Science &amp; Technology Committee); Impact and Response of Antarctic Seas to Climate Change; National Key Research and Development Program of China; Advanced Polar Science Institute of Shanghai; European Union(European Union (EU)); Oceanic Interdisciplinary Program of Shanghai Jiao Tong University</t>
  </si>
  <si>
    <t>National Natural Science Foundation of China, Grant/Award Numbers :2019YFC1509102, 41876221, 41941008;Shanghai Science and Technology Committee, Grant/Award Numbers :21QA1404300, 20230711100; Impact and Response of Antarctic Seas to Climate Change, Grant/Award Number: IRASCC1-02-01B; National Key Research and Development Program of China;Advanced Polar Science Institute of Shanghai; European Union's Horizon2020, Grant/Award Number: 101003590;Oceanic Interdisciplinary Program of Shanghai Jiao Tong University,Grant/Award Number: SL2020ZD204</t>
  </si>
  <si>
    <t>10.1002/joc.8132</t>
  </si>
  <si>
    <t>R6RU1</t>
  </si>
  <si>
    <t>WOS:001007031000001</t>
  </si>
  <si>
    <t>Arioli, S; Picard, G; Arnaud, L; Favier, V</t>
  </si>
  <si>
    <t>Arioli, Sara; Picard, Ghislain; Arnaud, Laurent; Favier, Vincent</t>
  </si>
  <si>
    <t>Dynamics of the snow grain size in a windy coastal area of Antarctica from continuous in situ spectral-albedo measurements</t>
  </si>
  <si>
    <t>ADELIE LAND; SURFACE-AREA; SOLAR-RADIATION; BLOWING SNOW; MASS FLUXES; ICE; CLIMATE; ULTRAVIOLET; THRESHOLD; SALTATION</t>
  </si>
  <si>
    <t>The grain size of the superficial snow layer is a key determinant of the surface albedo in Antarctica. Its evolution is the result of multiple interacting processes, such as dry and wet metamorphism, melt, snow drift, and precipitation. Among them, snow drift has the least known and least predictable impact. The goal of this study is to relate the variations in surface snow grain size to these processes in a windy location of the Antarctic coast. For this, we retrieved the daily grain size from 5-year-long in situ observations of the spectral albedo recorded by a new multi-band albedometer, unique in terms of autonomy and described here for the first time. An uncertainty assessment and a comparison with satellite-retrieved grain size were carried out to verify the reliability of the instrument, and an RMSE up to 0.16 mm in the observed grain size was found. By relating these in situ measurements to time series of snow drift, surface temperature, snow surface height and snowfall, we established that the evolution of the grain size in the presence of snow drift is complex and follows two possible pathways: (1) a decrease in the grain size (about half of our measurements) resulting from the deposition of small grains advected by the wind (surprisingly, this decrease is often - 2/3 of the cases- associated with a decrease in the surface height, i.e., a net erosion over the drift episode), (2) an increase in the grain size (the other half) due to either the removal of the surface layer or metamorphism. However, we note that this increase is often limited with respect to the increase predicted by a theoretical metamorphism model, suggesting that a concomitant deposition of small grains is likely. At last, we found that wind also completely impedes the deposition of snowfall during half of the observed precipitation events. When this happens, the grain size evolves as if precipitation were not occurring. As a result of all these processes, we conclude that the grain size in a windy area remains more stable than it would be in the absence of snow drift, hence limiting the variations in the albedo and in the radiative energy budget.</t>
  </si>
  <si>
    <t>[Arioli, Sara; Picard, Ghislain; Arnaud, Laurent; Favier, Vincent] Univ Grenoble Alpes, CNRS, Grenoble INP, INRAE,IRD,IGE, F-38000 Grenoble, France</t>
  </si>
  <si>
    <t>Communaute Universite Grenoble Alpes; Institut National Polytechnique de Grenoble; Institut de Recherche pour le Developpement (IRD); Centre National de la Recherche Scientifique (CNRS); INRAE; Universite Grenoble Alpes (UGA)</t>
  </si>
  <si>
    <t>Arioli, S (corresponding author), Univ Grenoble Alpes, CNRS, Grenoble INP, INRAE,IRD,IGE, F-38000 Grenoble, France.</t>
  </si>
  <si>
    <t>sara.arioli@univ-grenoble-alpes.fr</t>
  </si>
  <si>
    <t>Picard, Ghislain/D-4246-2013; Favier, Vincent/T-1936-2017</t>
  </si>
  <si>
    <t>Picard, Ghislain/0000-0003-1475-5853; Arioli, Sara/0000-0001-8164-5553; Favier, Vincent/0000-0001-6024-9498</t>
  </si>
  <si>
    <t>Agence Nationale de la Recherche [14-CE01-0001 ASUMA, 1-JS56-005-01 MONISNOW]; Centre National d'Etudes Spatiales [TRISHNA]; Institut Polaire Francais Paul Emile Victor [1100 NIVO]; European Space Agency (4D Antarctica); GLACIOCLIM project SAMBA</t>
  </si>
  <si>
    <t>Agence Nationale de la Recherche(Agence Nationale de la Recherche (ANR)); Centre National d'Etudes Spatiales(Centre National D'etudes Spatiales); Institut Polaire Francais Paul Emile Victor; European Space Agency (4D Antarctica)(European Space Agency); GLACIOCLIM project SAMBA</t>
  </si>
  <si>
    <t>This research has been supported by the Agence Nationale de la Recherche (grant nos. 14-CE01-0001 - ASUMA and 1-JS56-005-01 - MONISNOW), the Centre National d'Etudes Spatiales (grant no. TRISHNA), the Institut Polaire Francais Paul Emile Victor (grant no. 1100 - NIVO) and the European Space Agency (4D Antarctica), and the GLACIOCLIM project SAMBA.</t>
  </si>
  <si>
    <t>10.5194/tc-17-2323-2023</t>
  </si>
  <si>
    <t>I7DF8</t>
  </si>
  <si>
    <t>WOS:001004348800001</t>
  </si>
  <si>
    <t>Cavalcante, SB; Biscaino, CD; Kreusch, MG; da Silva, AF; Duarte, RTD; Robl, D</t>
  </si>
  <si>
    <t>Cavalcante, Sabrina Barros; dos Santos Biscaino, Carla; Kreusch, Marianne Gabi; da Silva, Andre Felipe; Duarte, Rubens Tadeu Delgado; Robl, Diogo</t>
  </si>
  <si>
    <t>The hidden rainbow: the extensive biotechnological potential of Antarctic fungi pigments</t>
  </si>
  <si>
    <t>BRAZILIAN JOURNAL OF MICROBIOLOGY</t>
  </si>
  <si>
    <t>Antarctica; Microbial pigments; Fungi; Carotenoid; Melanin</t>
  </si>
  <si>
    <t>PHOTOPROTECTIVE COMPOUNDS; CAROTENOID-PIGMENTS; MONASCUS PIGMENTS; FILAMENTOUS FUNGI; RED PIGMENTS; YEASTS; MELANIN; DIVERSITY; STRAIN; FUTURE</t>
  </si>
  <si>
    <t>The Antarctic continent is an extreme environment recognized mainly by its subzero temperatures. Fungi are ubiquitous microorganisms that stand out even among Antarctic organisms, primarily due to secondary metabolites production with several biological activities. Pigments are examples of such metabolites, which mainly occur in response to hostile conditions. Various pigmented fungi have been isolated from the Antarctic continent, living in the soil, sedimentary rocks, snow, water, associated with lichens, mosses, rhizospheres, and zooplankton. Physicochemical extreme environments provide a suitable setup for microbial pigment production with unique characteristics. The biotechnological potential of extremophiles, combined with concerns over synthetic pigments, has led to a great interest in natural pigment alternatives. Besides biological activities provided by fungal pigments for surviving in extreme environments (e.g., photoprotection, antioxidant activity, and stress resistance), it may present an opportunity for biotechnological industries. This paper reviews the biotechnological potential of Antarctic fungal pigments, with a detailed discussion over the biological role of fungal pigments, potential industrial production of pigments from extremophilic fungi, pigments toxicity, current market perspective and published intellectual properties related to pigmented Antarctic fungi.</t>
  </si>
  <si>
    <t>[Cavalcante, Sabrina Barros; dos Santos Biscaino, Carla; Kreusch, Marianne Gabi; Duarte, Rubens Tadeu Delgado; Robl, Diogo] Fed Univ Santa Catarina UFSC, Dept Microbiol Immunol &amp; Parasitl, Florianopolis, SC, Brazil; [da Silva, Andre Felipe] Fed Univ Tocantins UFT, Bioproc &amp; Biotechnol Engn Undergrad Program, Gurupi, TO, Brazil</t>
  </si>
  <si>
    <t>Universidade Federal de Santa Catarina (UFSC); Universidade Federal do Tocantins (UFT)</t>
  </si>
  <si>
    <t>Robl, D (corresponding author), Fed Univ Santa Catarina UFSC, Dept Microbiol Immunol &amp; Parasitl, Florianopolis, SC, Brazil.</t>
  </si>
  <si>
    <t>diogo.robl@ufsc.br</t>
  </si>
  <si>
    <t>Da Silva, Andre Felipe/0000-0002-4538-7910; Barros Cavalcante, Sabrina/0000-0002-6179-5922; dos Santos Biscaino, Carla/0000-0002-6155-7617; Duarte, Rubens/0000-0002-9939-3400</t>
  </si>
  <si>
    <t>1517-8382</t>
  </si>
  <si>
    <t>1678-4405</t>
  </si>
  <si>
    <t>BRAZ J MICROBIOL</t>
  </si>
  <si>
    <t>Braz. J. Microbiol.</t>
  </si>
  <si>
    <t>10.1007/s42770-023-01011-4</t>
  </si>
  <si>
    <t>FG3Z1</t>
  </si>
  <si>
    <t>WOS:001002948200001</t>
  </si>
  <si>
    <t>Wagner, LJ; Kleinhanns, IC; Varas-Reus, MI; Rosca, C; König, S; Bach, W; Schoenberg, R</t>
  </si>
  <si>
    <t>Wagner, Luise J.; Kleinhanns, Ilka C.; Varas-Reus, Maria I.; Rosca, Carolina; Konig, Stephan; Bach, Wolfgang; Schoenberg, Ronny</t>
  </si>
  <si>
    <t>Light stable Cr isotope compositions of mid-ocean ridge basalts: Implications for mantle source composition</t>
  </si>
  <si>
    <t>Stable Cr isotopes; Stable Fe isotopes; Mid-ocean ridge basalt; MORB source composition</t>
  </si>
  <si>
    <t>EAST PACIFIC RISE; MID-ATLANTIC RIDGE; SOURCE HETEROGENEITY; ANTARCTIC RIDGE; OXYGEN FUGACITY; MARINE PHOTOFERROTROPH; MAGMATIC PROCESSES; MASS-SPECTROMETRY; FE(II) OXIDATION; OCEANIC-CRUST</t>
  </si>
  <si>
    <t>Stable isotopes of chromium (Cr) and iron (Fe), both multivalent elements in silicate melts, are valuable proxies of redox conditions in magmatic systems. Partial melting and fractional crystallization have been identified as the dominant fractionation processes for Cr and Fe isotopes in high-temperature reservoirs that can lead to small but detectable isotope variations in igneous rocks. More recently, however, the source mineralogy has been suggested to play an important role, which can ultimately affect the magnitude of Cr and Fe isotopic fractionation during partial melting and thus the Cr and Fe isotopic composition of the originating melt. With the aim to investigate the role of magmatic processes and the source Cr and Fe isotope signatures on the isotope composition of these transition metals in normal mid-ocean ridge basalts (N-MORB), we analyzed 21 well-characterized MORB glasses from the southern East-Pacific Rise, Pacific-Antarctic Ridge and Mid-Atlantic Ridge. The Cr isotope compositions of N-MORB show a narrow range from -0.278 to -0.186 parts per thousand in delta Cr-53/52 (i.e., difference of a sample's Cr-53/Cr-52 ratio relative to the international reference material NIST SRM979), with an average value of -0.237 &amp; PLUSMN; 0.050 parts per thousand (2SD; n = 19). As such, the average N-MORB delta Cr-53/52 value is significantly lower than that of Bulk Silicate Earth of -0.12 &amp; PLUSMN; 0.06 parts per thousand and the Cr isotope compositions reported for most ocean island basalts ranging from similar to -0.23 to 0.00 parts per thousand. Iron isotopic compositions of these MORB range from +0.032 to +0.137 parts per thousand in delta Fe-56/54 (i.e., difference of a sample's Fe-56/Fe-54 ratio relative to the international reference material IRMM014) and are within the range of previously published MORB data. The lack of correlations between N-MORB Cr isotope signatures and indices of magmatic differentiation suggests a negligible control of this process on Cr stable isotopes. Partial melting modeling using pMELTS provides evidence that the significant offset towards lower &amp; delta;Cr-53/52 values of N-MORB cannot be produced by decompression partial melting of a lherzolithic source such as the depleted upper mantle alone. Instead, we suggest that the lower delta Cr-53/52 values of MORB could be linked to intrinsic small-scale Cr-53-depleted pyroxene-rich domains in the upper mantle that influence the melt's Cr isotopic budget during partial melting.</t>
  </si>
  <si>
    <t>[Wagner, Luise J.; Kleinhanns, Ilka C.; Varas-Reus, Maria I.; Rosca, Carolina; Schoenberg, Ronny] Univ Tubingen, Dept Geosci, Schnarrenbergstr 94-96, D-72076 Tubingen, Germany; [Konig, Stephan] Inst Andaluz Ciencias Tierra IACT, Consjeo Super Invest Cient, Ave Palmeras 4, Armilla 18100, Granada, Spain; [Konig, Stephan] Univ Granada, Ave Palmeras 4, Armilla 18100, Granada, Spain; [Bach, Wolfgang] Univ Bremen, Dept Geosci, D-28359 Bremen, Germany; [Bach, Wolfgang] Univ Bremen, Ctr Marine Environm Sci, MARUM, D-28359 Bremen, Germany; [Schoenberg, Ronny] Univ Johannesburg, Dept Geol, Auckland Pk, ZA-2006 Johannesburg, South Africa</t>
  </si>
  <si>
    <t>Eberhard Karls University of Tubingen; Consejo Superior de Investigaciones Cientificas (CSIC); CSIC - Instituto Andaluz de Ciencias de la Tierra (IACT); University of Granada; University of Bremen; University of Bremen; University of Johannesburg</t>
  </si>
  <si>
    <t>Wagner, LJ (corresponding author), Univ Tubingen, Dept Geosci, Schnarrenbergstr 94-96, D-72076 Tubingen, Germany.</t>
  </si>
  <si>
    <t>wagner.luise@googlemail.com</t>
  </si>
  <si>
    <t>Rosca, Carolina/0000-0002-2065-2159</t>
  </si>
  <si>
    <t>German Research Foundation (DFG) [SCHO1071/9-1]; DFG [VA1568/1-1]; ERC; Ramon y Cajal fellowship [636808]; [RYC2020-030014-I]</t>
  </si>
  <si>
    <t>German Research Foundation (DFG)(German Research Foundation (DFG)); DFG(German Research Foundation (DFG)); ERC(European Research Council (ERC)); Ramon y Cajal fellowship(Spanish Government);</t>
  </si>
  <si>
    <t>We thank Elmar Reitter and Bernd Steinhilber for technical support, Jabrane Labidi and Cedric Hamelin for providing samples from the Pacific-Antarctic Ridge and Juergen Koepke for providing sample 267ROV-5 from the Mid-Atlantic Ridge. Maria Kirchenbaur and Yierpan Aierken are thanked for valuable discussions on the partial melting model. We would like to thank Caroline Soderman, Matthew Jerram, and one anonymous reviewer for their helpful comments and Associate Editor James Day for handling the manuscript. LJW acknowledges financial support from the German Research Foundation (DFG) grant [SCHO1071/9-1] funded to RS, and MIVR acknowledges funding from the DFG project [VA1568/1-1] . ERC Starting Grant project O2RIGIN [636808] and Ram'on y Cajal fellowship RYC2020-030014-I to SK is acknowledged.</t>
  </si>
  <si>
    <t>10.1016/j.gca.2023.04.028</t>
  </si>
  <si>
    <t>K8QE9</t>
  </si>
  <si>
    <t>WOS:001019020500001</t>
  </si>
  <si>
    <t>Hrbácek, F; Oliva, M; Hansen, C; Balks, M; O'Neill, TA; de Pablo, MA; Ponti, S; Ramos, M; Vieira, G; Abramov, A; Pastíriková, LK; Guglielmin, M; Goyanes, G; Francelino, MR; Schaefer, C; Lacelle, D</t>
  </si>
  <si>
    <t>Hrbacek, Filip; Oliva, Marc; Hansen, Christel; Balks, Megan; O'Neill, Tanya Ann; de Pablo, Miguel Angel; Ponti, Stefano; Ramos, Miguel; Vieira, Goncalo; Abramov, Andrey; Pastirikova, Lucia Kaplan; Guglielmin, Mauro; Goyanes, Gabriel; Francelino, Marcio Rocha; Schaefer, Carlos; Lacelle, Denis</t>
  </si>
  <si>
    <t>Active layer and permafrost thermal regimes in the ice-free areas of Antarctica</t>
  </si>
  <si>
    <t>Ground thermal regime; Active layer thickness; Climate change; Antarctic ice-free environment; Cryosols; Gelisols; Permafrost</t>
  </si>
  <si>
    <t>SOUTH-SHETLAND ISLANDS; MCMURDO DRY VALLEYS; JAMES-ROSS-ISLAND; PENINSULA LIVINGSTON ISLAND; NORTHERN VICTORIA LAND; KING GEORGE ISLAND; CALM-S SITE; GROUND SURFACE-TEMPERATURE; DRONNING MAUD LAND; BYERS PENINSULA</t>
  </si>
  <si>
    <t>Ice-free areas occupy &lt;0.5% of Antarctica and are unevenly distributed across the continent. Terrestrial ecosystem dynamics in ice free areas are strongly influenced by permafrost and the associated active layer. These features are the least studied component of the cryosphere in Antarctica, with sparse data from permanent study sites mainly providing information related to the ground thermal regime and active layer thickness (ALT). One of the most important results of the International Polar Year (IPY, 2007/08) was an increase in ground thermal regime monitoring sites, and consequently our knowledge of Antarctic permafrost dynamics. Now, 15 years after the IPY, we provide the first comprehensive summary of the state of permafrost across Antarctica, including the sub-Antarctic Islands, with analyses of spatial and temporal patterns of the dominant external factors (climate, lithology, biota, and hydric regime) on the ground thermal regime and active layer thickness. The mean annual ground temperatures of the active layer and uppermost part of the permafrost in Antarctica remain just below 0 C in the warmest parts of the Antarctic Peninsula, and were below-20 degrees C in mountainous regions of the continent. The ALT varies between a few cm in the coldest, mountainous, parts of the Transantarctic Mountains up to &gt;5 m in bedrock sites in the Antarctic Peninsula. The deepest and most variable ALTs (ca. 40 to &gt;500 cm) were found in the Antarctic Peninsula, whereas the maximum ALT generally did not exceed 90 cm in Victoria Land and East Antarctica. Notably, found that the mean annual near-surface temperature follows the latitudinal gradient of-0.9 degrees C/deg. (R2 = 0.9) and the active layer thickness 3.7 cm/deg. (R2 = 0.64). The continuous permafrost occurs in the vast majority of the ice-free areas in Antarctica. The modelling of temperature on the top of the permafrost indicates also the permafrost presence in South Orkneys and South Georgia. The only areas where deep boreholes and geophysical surveys indicates discontinuous or sporadic permafrost are South Shet-lands and Western Antarctic Peninsula.</t>
  </si>
  <si>
    <t>[Hrbacek, Filip; Pastirikova, Lucia Kaplan] Masaryk Univ, Fac Sci, Dept Geog, Kotlarska 2, Brno 61137, Czech Republic; [Oliva, Marc] Univ Barcelona, Dept Geog, C Montalegre 6-8,3R, Barcelona 08001, Spain; [Hansen, Christel] Univ Pretoria, Dept Geog Geoinformat &amp; Meteorol, Private Bag X20, ZA-0028 Hatfield, South Africa; [Balks, Megan; O'Neill, Tanya Ann] Univ Waikato, Sch Sci Te Aka Matuatua, Gate 1,Knighton Rd, Hamilton 3240, New Zealand; [de Pablo, Miguel Angel] Univ Alcala, Dept Geol Geog &amp; Medio Ambiente, Unidad Geol, Ctra A-2 Km 33,6, Alcala De Henares 28805, Spain; [Ponti, Stefano; Guglielmin, Mauro] Univ Insubria, Dept Theoret &amp; Appl Sci, Via JH Dunant, I-21100 Varese, Italy; [Ramos, Miguel] Univ Alcala, Phys &amp; Math Dept, Calle Escorial 19-21, Madrid 28805, Spain; [Vieira, Goncalo; Goyanes, Gabriel] Univ Lisbon, Ctr Estudos Geog, IGOT, Rua Branca Edmee Marques, P-1600276 Lisbon, Portugal; [Abramov, Andrey] Russian Acad Sci, Inst Physicochem &amp; Biol Problems Soil Sci, Soil Cryol Dept, Pushchino, Russia; [Francelino, Marcio Rocha; Schaefer, Carlos] Univ Fed Vicosa, Dept Soils, BR-36570 Vicosa, Brazil; [Lacelle, Denis] Univ Ottawa, Dept Geog Environm &amp; Geomat, Ottawa, ON K1N 6N5, Canada</t>
  </si>
  <si>
    <t>Masaryk University Brno; University of Barcelona; University of Pretoria; University of Waikato; Universidad de Alcala; University of Insubria; Universidad de Alcala; Universidade de Lisboa; Russian Academy of Sciences; Pushchino Scientific Center for Biological Research (PSCBI) of the Russian Academy of Sciences; Institute of Physicohemical &amp; Biological Problems of Soil Science; Universidade Federal de Vicosa; University of Ottawa</t>
  </si>
  <si>
    <t>Hrbácek, F (corresponding author), Masaryk Univ, Fac Sci, Dept Geog, Kotlarska 2, Brno 61137, Czech Republic.</t>
  </si>
  <si>
    <t>hrbacekfilip@gmail.com</t>
  </si>
  <si>
    <t>Francelino, Marcio Rocha/AAS-4224-2020; Ponti, Stefano/AAB-3484-2021; Goyanes Díaz, Gabriel Alejandro/JXM-1643-2024; Vieira, Goncalo/G-5958-2010; Hansen, Christel/C-8783-2012</t>
  </si>
  <si>
    <t>Francelino, Marcio Rocha/0000-0001-8837-1372; Ponti, Stefano/0000-0002-4718-165X; Goyanes Díaz, Gabriel Alejandro/0000-0001-5241-254X; Vieira, Goncalo/0000-0001-7611-3464; Hansen, Christel/0000-0001-7510-2720</t>
  </si>
  <si>
    <t>Czech Scientific Foundation [GM22-28659M]; Masaryk University internal project [MUNI/A/1323/2022]; Czech Antarctic Research Programme MEYS of Czech Republic; project NUNAN- TAR (Fundacao para a Ciencia e Tecnologia of Portugal) [02/SAICT/2017-32002, 2017-SGR-1102]; Agencia de Gestio d'Ajuts Universitaris i de Recerca of the Government of Catalonia</t>
  </si>
  <si>
    <t>Czech Scientific Foundation(Grant Agency of the Czech Republic); Masaryk University internal project; Czech Antarctic Research Programme MEYS of Czech Republic; project NUNAN- TAR (Fundacao para a Ciencia e Tecnologia of Portugal); Agencia de Gestio d'Ajuts Universitaris i de Recerca of the Government of Catalonia</t>
  </si>
  <si>
    <t>FH and LKP acknowledge Czech Scientific Foundation project (GM22-28659M) , Masaryk University internal project (MUNI/A/1323/2022) and Czech Antarctic Research Programme funded by MEYS of Czech Republic. MO acknowledges support from the project NUNAN- TAR (Fundacao para a Ciencia e Tecnologia of Portugal; 02/SAICT/2017-32002) and the research groups ANTALP (Antarctic, Arctic, Alpine Environments; 2017-SGR-1102) funded by the Agencia de Gestio d'Ajuts Universitaris i de Recerca of the Government of Catalonia. TON acknowledge ongoing technical and dataset support of Dr. Cathy Sey- bold of the USDA. Over the years many people have contributed to installation and maintenance of the McMurdo Dry Valley Soil Climate stations, but special thanks are due to Cathy Seybold, Ron Paetzold, Deb Harms and Don Huffman from the USDA; Jackie Aislabie and Fraser Morgan from Landcare Research, New Zealand; Chris Morcom, Dean Sandwell from the University of Waikato, New Zealand; and Pete Wilson from the University of Canterbury. Antarctica New Zealand provided logistic support for annual station access. MG and SP wish to thank PNRA (Programma Nazionale di Ricerca in Antartica) for the logistical and financial support in Continental Antarctica, Antarctic Peninsula and in Signy Island. They want also to thank British Antarctic Survey and in particular the Met Group in Rothera Island and the Station Leader in Signy for their logistical support and to download the data. Finally we want to thank Pete Convey, Nicoletta Cannone, Francesco Malfasi for their support in AP and Signy and Riccardo Bono at Mario Zucchelli Station.</t>
  </si>
  <si>
    <t>10.1016/j.earscirev.2023.104458</t>
  </si>
  <si>
    <t>K8RF2</t>
  </si>
  <si>
    <t>WOS:001019046900001</t>
  </si>
  <si>
    <t>Arias, SF; Förster, MW; Sirocko, F</t>
  </si>
  <si>
    <t>Arias, Sophie Fernandez; Forster, Michael W.; Sirocko, Frank</t>
  </si>
  <si>
    <t>Rieden tephra layers in the Dottinger Maar lake sediments: Implications for the dating of the Holsteinian interglacial and Elsterian glacial</t>
  </si>
  <si>
    <t>Rieden Volcanic Complex; Dottinger Maar; Holsteinian interglacial; Elsterian glacial; Marine isotope stages; Tephrochronology</t>
  </si>
  <si>
    <t>MIDDLE PLEISTOCENE; EASTERN POLAND; DRY MAAR; CLIMATE; GERMANY; EIFEL; ERUPTION; VOLCANISM; EVOLUTION; SEQUENCE</t>
  </si>
  <si>
    <t>This study reconstructs the tephrochronology of the infilled Dottinger Maar lake (Eifel, Germany) by analysing the mineralogical composition of tephra layers in lake sediments from the Middle Pleistocene. Three sediment cores document deposits from the Rieden Volcanic Complex. Four distinct tephra layers were identified as the Rieden-leucite-phonolite tuff 1, 3, and 4, and the Weibern-leucite-phonolite tuff 1, which were previously dated by 40Ar/39Ar and indicate a volcanic active phase between 390 and 440 ka before present. In addition, the cores reveal an interglacial section with a typical Holsteinian vegetation succession superimposing Elsterian dust deposits. Annual layer counts, tephrochronology, and high-resolution Corg(chlorins) data were used to align the Dottinger Maar sediments to the EPICA ice core stratigraphy and to link it to Marine Isotope Stages 11 and 12. A comparison of clastic (aeolian) sediments in the Dottinger Maar lake record with the Antarctic EPICA dust stack displays thicker annual layer deposits during higher dust accumulation rates. Based on these lines of evidence, the Dottinger lake sediments date back to 385-457 ka before present.</t>
  </si>
  <si>
    <t>[Arias, Sophie Fernandez; Sirocko, Frank] Johannes Gutenberg Univ Mainz, Inst Geowissenschaften, J-J Becherweg 21, D-55128 Mainz, Germany; [Forster, Michael W.] Macquarie Univ, Sch Nat Sci, Sydney, NSW 2109, Australia</t>
  </si>
  <si>
    <t>Johannes Gutenberg University of Mainz; Macquarie University</t>
  </si>
  <si>
    <t>Arias, SF (corresponding author), Johannes Gutenberg Univ Mainz, Inst Geowissenschaften, J-J Becherweg 21, D-55128 Mainz, Germany.</t>
  </si>
  <si>
    <t>sophie.fernandez.a@googlemail.com; michael.forster@mq.edu.au; sirocko@uni-mainz.de</t>
  </si>
  <si>
    <t>Forster, Michael W/Q-3361-2019</t>
  </si>
  <si>
    <t>Forster, Michael W/0000-0002-0778-5811</t>
  </si>
  <si>
    <t>Macquarie University [MQRF0001074-2020]</t>
  </si>
  <si>
    <t>Macquarie University</t>
  </si>
  <si>
    <t>We thank Ignatius Perera for the preparation of the GIS terrain models of the study area. Petra Sigl is thanked for her assistance with illustrating and editing the artwork. Additionally, we thank Frank Dreher for the pollen counts and Klaus Schwibus for measuring the C org (chlorins) content of the sediment cores. Furthermore, Alexander Mack and Frederick Krebsbach are thanked for their assistance with annual layer counting. Patricia Maisel and Johannes Albert are gratefully acknowledged for their discussions, comments, and detailed review of the manuscript. Michael Forster was funded by Macquarie University grant MQRF0001074-2020. We acknowledge the facilities of the Centre for Advanced Microscopy at the Australian National University, Canberra. We further gratefully acknowledge Karoly Nemeth and an anonymous referee for their very helpful and valuable comments.</t>
  </si>
  <si>
    <t>10.1016/j.gloplacha.2023.104143</t>
  </si>
  <si>
    <t>L1WV3</t>
  </si>
  <si>
    <t>WOS:001021237500001</t>
  </si>
  <si>
    <t>Jordà-Molina, E; Renaud, PE; Silberberger, MJ; Sen, A; Bluhm, BA; Carroll, ML; Ambrose, WG Jr; Cottier, F; Reiss, H</t>
  </si>
  <si>
    <t>Jorda-Molina, Eric; Renaud, Paul E.; Silberberger, Marc J.; Sen, Arunima; Bluhm, Bodil A.; Carroll, Michael L.; Ambrose Jr, William G.; Cottier, Finlo; Reiss, Henning</t>
  </si>
  <si>
    <t>Seafloor warm water temperature anomalies impact benthic macrofauna communities of a high-Arctic cold-water fjord</t>
  </si>
  <si>
    <t>Arctic; Benthic communities; Marine heatwaves (MHWs); Fjord; Coastal environment; Community change; Time series; Ecosystem disturbance</t>
  </si>
  <si>
    <t>BETA DIVERSITY; MASS-BALANCE; SVALBARD; ICE; VARIABILITY; SEDIMENTS; TRANSFORMATIONS; KONGSFJORDEN; CIRCULATION; INSIGHTS</t>
  </si>
  <si>
    <t>Amid the alarming atmospheric and oceanic warming rates taking place in the Arctic, western fjords around the Svalbard archipelago are experiencing an increased frequency of warm water intrusions in recent decades, causing ecological shifts in their ecosystems. However, hardly anything is known about their potential impacts on the until recently considered stable and colder northern fjords. We analyzed macrobenthic fauna from four locations in Rijpfjorden (a high-Arctic fjord in the north of Svalbard) along its axis, sampled intermittently in the years 2003, 2007, 2010, 2013 and 2017. After a strong seafloor warm water temperature anomaly (SfWWTA) in 2006, the abundance of individuals and species richness dropped significantly across the entire fjord in 2007, together with diversity declines at the outer parts (reflected in Shannon index drops) and increases in beta diversity between inner and outer parts of the fjord. After a period of three years with stable water temperatures and higher sea-ice cover, communities recovered through recolonization processes by 2010, leading to homogenization in community composition across the fjord and less beta diversity. For the last two periods (20102013 and 2013-2017), beta diversity between the inner and outer parts gradually increased again, and both the inner and outer sites started to re-assemble in different directions. A few taxa began to dominate the fjord from 2010 onwards at the outer parts, translating into evenness and diversity drops. The inner basin, however, although experiencing strong shifts in abundances, was partially protected by a fjordic sill from impacts of these temperature anomalies and remained comparatively more stable regarding community diversity after the disturbance event. Our results indicate that although shifts in abundances were behind important spatiotemporal community fluctuations, beta diversity variations were also driven by the occurrence-based macrofauna data, suggesting an important role of rare taxa. This is the first multidecadal time series of soft-bottom macrobenthic communities for a high-Arctic fjord, indicating that potential periodic marine heatwaves might drive shifts in community structure, either through direct effects from thermal stress on the communities or through changes in environmental regimes led by temperature fluctuations (i.e. sea ice cover and glacial runoff, which could lead to shifts in primary production and food supply to the benthos). Although high-Arctic macrobenthic communities might be resilient to some extent, sustained warm water anomalies could lead to permanent changes in cold-water fjordic benthic systems.</t>
  </si>
  <si>
    <t>[Jorda-Molina, Eric; Sen, Arunima; Reiss, Henning] Nord Univ, Fac Biosci &amp; Aquaculture, N-8049 Bodo, Norway; [Renaud, Paul E.; Carroll, Michael L.] Akvaplan niva, Fram Ctr Climate &amp; Environm, N-9296 Tromso, Norway; [Renaud, Paul E.; Sen, Arunima] Univ Ctr Svalbard UNIS, N-9170 Longyearbyen, Norway; [Silberberger, Marc J.] Polish Acad Sci, Inst Oceanol, Powstanco Warszawy 55, PL-81712 Sopot, Poland; [Bluhm, Bodil A.; Cottier, Finlo] UiT the Arctic Univ Norway, N-9037 Tromso, Norway; [Ambrose Jr, William G.] Natl Sci Fdn, Off Polar Programs Antarctic Organisms &amp; Ecosyst, 2415 Eisenhower Ave, Alexandria, VA 22314 USA; [Cottier, Finlo] Scottish Assoc Marine Sci, Oban PA37 1QA, Argyll, Scotland</t>
  </si>
  <si>
    <t>Nord University; Akvaplan-niva; University Centre Svalbard (UNIS); Polish Academy of Sciences; Institute of Oceanology of the Polish Academy of Sciences; UiT The Arctic University of Tromso; National Science Foundation (NSF); UHI Millennium Institute</t>
  </si>
  <si>
    <t>Jordà-Molina, E (corresponding author), Nord Univ, Fac Biosci &amp; Aquaculture, N-8049 Bodo, Norway.</t>
  </si>
  <si>
    <t>eric.jorda-molina@nord.no</t>
  </si>
  <si>
    <t>Bluhm, Bodil A/E-7165-2015; Sen, Ayusman/A-9406-2009; Silberberger, Marc/U-8452-2019</t>
  </si>
  <si>
    <t>Sen, Ayusman/0000-0002-0556-9509; Silberberger, Marc/0000-0001-8819-4388</t>
  </si>
  <si>
    <t>Nord University; National Science Centre, Poland [2019/35/D/NZ8/01282]; National Science Foundation [OPP 1936506]; Research Council of Norway [150356-S30, 228107]; Akvaplan-niva; UNIS; Research Council of Norway (The Nansen Legacy) [276730]; UiT</t>
  </si>
  <si>
    <t>Nord University; National Science Centre, Poland(National Science Centre, Poland); National Science Foundation(National Science Foundation (NSF)); Research Council of Norway(Research Council of Norway); Akvaplan-niva(Akvaplan-niva); UNIS; Research Council of Norway (The Nansen Legacy)(Research Council of Norway); UiT</t>
  </si>
  <si>
    <t>&amp; nbsp;Internal funding from Nord University. MJS was supported by the National Science Centre, Poland (project: CLIMB - grant no 2019/35/D/NZ8/01282) . WGA received support from the National Science Foundation (OPP 1936506) . MLC was supported by the Research Council of Norway (project numbers 150356-S30 and 228107) . Akvaplan-niva, UiT, and UNIS provided additional support. Additional financial support was provided through the Research Council of Norway (The Nansen Legacy, #276730) .</t>
  </si>
  <si>
    <t>10.1016/j.marenvres.2023.106046</t>
  </si>
  <si>
    <t>L1WA6</t>
  </si>
  <si>
    <t>WOS:001021216800001</t>
  </si>
  <si>
    <t>Costa, RR; Ferreira, A; de Souza, MS; Tavano, VM; Kerr, R; Secchi, ER; Brotas, V; Dotto, TS; Brito, AC; Mendes, CRB</t>
  </si>
  <si>
    <t>Costa, Raul Rodrigo; Ferreira, Afonso; de Souza, Marcio S.; Tavano, Virginia M.; Kerr, Rodrigo; Secchi, Eduardo R.; Brotas, Vanda; Dotto, Tiago S.; Brito, Ana C.; Mendes, Carlos Rafael B.</t>
  </si>
  <si>
    <t>Physical-biological drivers modulating phytoplankton seasonal succession along the Northern Antarctic Peninsula</t>
  </si>
  <si>
    <t>Climate change; Southern ocean; Upper ocean physical structures; Top-down control; Phytoplankton taxa; Shifts</t>
  </si>
  <si>
    <t>SEA-ICE; INTERANNUAL VARIABILITY; WEST; BRANSFIELD; GERLACHE; STRAITS; COMMUNITIES; PHYSIOLOGY; BIOMASS</t>
  </si>
  <si>
    <t>The Northern Antarctic Peninsula (NAP) shows shifts in phytoplankton distribution and composition along its warming marine ecosystems. However, despite recent efforts to mechanistically understand these changes, little focus has been given to the phytoplankton seasonal succession, remaining uncertainties regarding to distribution patterns of emerging taxa along the NAP. To fill this gap, we collected phytoplankton (pigment and microscopy analysis) and physico-chemical datasets during spring and summer (November, February and March) of 2013/ 2014 and 2014/2015 off the NAP. Satellite measurements (sea surface temperature, sea ice concentration and chlorophyll-a) were used to extend the temporal coverage of analysis associated with the in situ sampling. We improved the quantification and distribution pattern of emerging taxa, such as dinoflagellates and cryptophytes, and described a contrasting seasonal behavior and distinct fundamental niche between centric and pennate diatoms. Cryptophytes and pennate diatoms preferentially occupied relatively shallower mixing layers compared with centric diatoms and dinoflagellates, suggesting differences between these groups in distribution and environment occupation over the phytoplankton seasonal succession. Under colder conditions, negative sea surface temperature anomalies were associated with positive anomalies of sea ice concentration and duration. Therefore, based on sea ice-phytoplankton growth relationship, large phytoplankton biomass accumulation was expected during the spring/summer of 2013/2014 and 2014/2015 along the NAP. However, there was a decoupling between sea ice concentration/duration and phytoplankton biomass, characterizing two seasonal periods of low biomass accumulation (negative chlorophyll-a anomalies), associated with the top-down control in the region. These results provide an improved mechanistic understanding on physical-biological drivers modulating phytoplankton seasonal succession along the Antarctic coastal waters.</t>
  </si>
  <si>
    <t>[Costa, Raul Rodrigo; Ferreira, Afonso; de Souza, Marcio S.; Tavano, Virginia M.; Kerr, Rodrigo; Secchi, Eduardo R.; Mendes, Carlos Rafael B.] Univ Fed Rio Grande FURG, Inst Oceanog, Ave Italia, km 8, BR-96203900 Rio Grande, RS, Brazil; [Costa, Raul Rodrigo; de Souza, Marcio S.; Secchi, Eduardo R.; Mendes, Carlos Rafael B.] Univ Fed Rio Grande FURG, Programa Posgrad Oceanog Biol, BR-96203900 Rio Grande, RS, Brazil; [Ferreira, Afonso; Brotas, Vanda; Brito, Ana C.] Univ Lisbon, Fac Ciencias, MARE Ctr Ciencias Mar &amp; Ambiente, P-1749016 Lisbon, Portugal; [Dotto, Tiago S.] Natl Oceanog Ctr, European Way, Southampton SO14 3ZH, England</t>
  </si>
  <si>
    <t>Universidade Federal do Rio Grande; Universidade Federal do Rio Grande; Universidade de Lisboa; University of Southampton; NERC National Oceanography Centre</t>
  </si>
  <si>
    <t>Costa, RR (corresponding author), Univ Fed Rio Grande FURG, Inst Oceanog, Ave Italia, km 8, BR-96203900 Rio Grande, RS, Brazil.</t>
  </si>
  <si>
    <t>costa@furg.br</t>
  </si>
  <si>
    <t>Kerr, Rodrigo/I-2494-2012; Mendes, Carlos/I-1520-2012; de Souza, Márcio Silva/AAR-5757-2021; Brotas, Vanda/A-2410-2012; Brito, Ana C./F-4473-2011; Ferreira, Afonso/Y-3832-2018</t>
  </si>
  <si>
    <t>Kerr, Rodrigo/0000-0002-2632-3137; Mendes, Carlos/0000-0001-6875-8860; de Souza, Márcio Silva/0000-0003-1572-9307; Segabinazzi Dotto, Tiago/0000-0003-0565-6941; Brotas, Vanda/0000-0001-8612-4167; Brito, Ana C./0000-0001-6539-5830; Costa, Raul Rodrigo/0000-0002-0940-3565; Ferreira, Afonso/0000-0002-2670-8125</t>
  </si>
  <si>
    <t>National Council for Research and Development (CNPq) , Brazil; Coordination for the Improvement of Higher Education Personnel (CAPES) , Brazil; CNPq; CAPES; Fundacao para a Ciencia e a Tecnologia (FCT); PNPD-CAPES [407889/2013-2, 405869/2013-4, 442628/2018-8, 442637/2018-7]; CAPES PrInt-FURG [23038.001421/2014-30]; [SFRH/BD/144586/2019]; [CEECIND/0095/2017]; [UIDB/MAR/04292/2020]; [LA/P/0069/2020]; [88882.314596/2019-01]; [41/2017]</t>
  </si>
  <si>
    <t>National Council for Research and Development (CNPq) , Brazil(Conselho Nacional de Desenvolvimento Cientifico e Tecnologico (CNPQ)); Coordination for the Improvement of Higher Education Personnel (CAPES) , Brazil(Coordenacao de Aperfeicoamento de Pessoal de Nivel Superior (CAPES)); CNPq(Conselho Nacional de Desenvolvimento Cientifico e Tecnologico (CNPQ)); CAPES(Coordenacao de Aperfeicoamento de Pessoal de Nivel Superior (CAPES)); Fundacao para a Ciencia e a Tecnologia (FCT)(Fundacao para a Ciencia e a Tecnologia (FCT)); PNPD-CAPES(Coordenacao de Aperfeicoamento de Pessoal de Nivel Superior (CAPES)); CAPES PrInt-FURG(Coordenacao de Aperfeicoamento de Pessoal de Nivel Superior (CAPES)); ; ; ; ; ;</t>
  </si>
  <si>
    <t>This is a multidisciplinary study as part of the Brazilian High Latitude Oceanography Group (GOAL) activities in the Brazilian Antarctic Program (PROANTAR) . Financial support was provided by National Council for Research and Development (CNPq) , Brazil; and Coordination for the Improvement of Higher Education Personnel (CAPES) , Brazil. This study was conducted within the activities of the INTERBIOTA, NAUTILUS, PROVOCCAR, ECOPELAGOS (CNPq grant numbers 407889/2013-2, 405869/2013-4, 442628/2018-8, 442637/2018-7, respectively) and CMAR2 (CAPES grant number 23038.001421/2014-30) projects. The authors thank to the crew of the RV Almirante Maximiano of the Brazilian Navy and several scientists and technicians participating in the cruise for their valuable help during sampling. We are grateful to Simon Wright, from the Australian Antarctic Division, for providing the CHEMTAX v.1.95 software; and Ricardo Pollery, from Federal University of Rio de Janeiro, for performing the nutrient analysis. A MSc fellowship from CAPES was granted to R.R. Costa. A. Ferreira received a PhD grant from Fundacao para a Ciencia e a Tecnologia (FCT; grant no SFRH/BD/144586/2019) . C.R.B. Mendes, R. Kerr and E.R. Secchi are granted with research fellowships from the CNPq. M.S.S. is granted with a PNPD-CAPES fellowship (88882.314596/2019-01) . A.C. Brito was funded by FCT through the Scientific Employment Stimulus Programme (CEECIND/0095/2017) . Additional support from the FCT was also given to this study (UIDB/MAR/04292/2020; LA/P/0069/2020) . CAPES also provided free access to many relevant journals though the portal Periodicos CAPES. This study is within the scope of two Projects of the Institutional Internationalization Program (CAPES PrInt-FURG -Edital 41/2017) . This research is also framed within the College on Polar and Extreme Environments (Polar2E) of the University of Lisbon.</t>
  </si>
  <si>
    <t>10.1016/j.envres.2023.116273</t>
  </si>
  <si>
    <t>K8LL8</t>
  </si>
  <si>
    <t>WOS:001018896900001</t>
  </si>
  <si>
    <t>Marciau, C; Raclot, T; Bestley, S; Barbraud, C; Delord, K; Hindell, MA; Kato, A; Parenteau, C; Poupart, T; Ribout, C; Ropert-Coudert, Y; Angelier, F</t>
  </si>
  <si>
    <t>Marciau, Coline; Raclot, Thierry; Bestley, Sophie; Barbraud, Christophe; Delord, Karine; Hindell, Mark Andrew; Kato, Akiko; Parenteau, Charline; Poupart, Timothee; Ribout, Cecile; Ropert-Coudert, Yan; Angelier, Frederic</t>
  </si>
  <si>
    <t>Body condition and corticosterone stress response, as markers to investigate effects of human activities on Adelie penguins (Pygoscelis adeliae)</t>
  </si>
  <si>
    <t>seabird; Pygoscelis adeliae; human activity; stress response; stress-induced corticosterone; basal corticosterone; disturbance; Antarctica</t>
  </si>
  <si>
    <t>BASE-LINE CORTICOSTERONE; TERM POPULATION TRENDS; LONG-LIVED BIRD; HEART-RATE; REPRODUCTIVE CONSEQUENCES; ENERGY-EXPENDITURE; INDIVIDUAL QUALITY; WEATHER CONDITIONS; HUMAN DISTURBANCE; BREEDING SUCCESS</t>
  </si>
  <si>
    <t>IntroductionIn Antarctica, there is growing concern about the potential effect of anthropogenic activities (i.e., tourism, research) on wildlife, especially since human activities are developing at an unprecedented rate. Although guidelines exist to mitigate negative impacts, fundamental data are currently lacking to reliably assess impacts. Physiological tools, such as circulating corticosterone levels, appear promising to assess the potential impact of human disturbance on Antarctic vertebrates. MethodsIn this study, we compared the body condition, and the physiological sensitivity to stress (i.e., basal and stress-induced corticosterone level) of adult and chick Adelie penguins between a disturbed and an undisturbed area (i.e., 2 colonies located in the middle of a research station exposed to intense human activities and 2 colonies located on protected islands with minimal human disturbance). ResultsWe did not find any significant impact of human activities on body condition and corticosterone levels in adults (incubating adults, brooding adults). In chicks, there were significant inter-colony variations in stress-induced corticosterone levels. Specifically, the chicks from the disturbed colonies tended to have higher stress-induced corticosterone levels than the chicks from the protected areas although this difference between areas was not significant. In addition, and independently of human disturbance we also found significant differences in adult body condition, and chick corticosterone level between colonies. DiscussionOverall, our study suggests that this species is not dramatically impacted by human activities, at least when humans and penguins have cohabited for several decades. Our results support therefore the idea that this species is likely to be tolerant to human disturbance and this corroborates with the persistence of Adelie penguin colonies in the middle of the research station. However, our results also suggest that chicks might be more sensitive to human disturbance than adults and might therefore potentially suffer from human disturbance. Our study also suggests that specific individual and environmental variables outweigh the potential minor impact of human disturbance on these variables. Combining corticosterone with complementary stress-related physiological markers, such as heart rate, may strengthen further studies examining whether human disturbance may have subtle detrimental impacts on individuals.</t>
  </si>
  <si>
    <t>[Marciau, Coline; Bestley, Sophie; Hindell, Mark Andrew] Univ Tasmania, Inst Marine &amp; Antarctic Studies, Hobart, Tas, Australia; [Marciau, Coline; Barbraud, Christophe; Delord, Karine; Kato, Akiko; Parenteau, Charline; Poupart, Timothee; Ribout, Cecile; Ropert-Coudert, Yan; Angelier, Frederic] La Rochelle Univ, Ctr Etud Biol Chize, CNRS, UMR, Villiers En Bois, France; [Raclot, Thierry] CNRS UMR, Inst Pluridisciplinaire Hubert Curien, Strasbourg, France</t>
  </si>
  <si>
    <t>University of Tasmania; Centre National de la Recherche Scientifique (CNRS); Centre National de la Recherche Scientifique (CNRS)</t>
  </si>
  <si>
    <t>Marciau, C (corresponding author), Univ Tasmania, Inst Marine &amp; Antarctic Studies, Hobart, Tas, Australia.;Marciau, C (corresponding author), La Rochelle Univ, Ctr Etud Biol Chize, CNRS, UMR, Villiers En Bois, France.</t>
  </si>
  <si>
    <t>coline.marciau@gmail.com</t>
  </si>
  <si>
    <t>French polar institute (IPEV) [1091, 109]; Zone Atelier Antarctique (CNRS-INEE); CNRS; WWF-UK; University of Tasmania (TGRS)</t>
  </si>
  <si>
    <t>French polar institute (IPEV); Zone Atelier Antarctique (CNRS-INEE); CNRS(Centre National de la Recherche Scientifique (CNRS)); WWF-UK; University of Tasmania (TGRS)</t>
  </si>
  <si>
    <t>he project is part of the research programs 1091 and 109, financially and logistically supported by the French polar institute (IPEV) and the Zone Atelier Antarctique (CNRS-INEE). This project was also funded by the CNRS, the WWF-UK and by a research scholarship allocated by the University of Tasmania (TGRS) to CM.</t>
  </si>
  <si>
    <t>JUN 7</t>
  </si>
  <si>
    <t>10.3389/fevo.2023.1099028</t>
  </si>
  <si>
    <t>J8TX8</t>
  </si>
  <si>
    <t>WOS:001012306000001</t>
  </si>
  <si>
    <t>Servettaz, APM; Orsi, AJ; Curran, MAJ; Moy, AD; Landais, A; McConnell, JR; Popp, TJ; Le Meur, E; Faïn, X; Chappellaz, J</t>
  </si>
  <si>
    <t>Servettaz, Aymeric P. M.; Orsi, Anais J.; Curran, Mark A. J.; Moy, Andrew D.; Landais, Amaelle; McConnell, Joseph R.; Popp, Trevor J.; Le Meur, Emmanuel; Fain, Xavier; Chappellaz, Jerome</t>
  </si>
  <si>
    <t>A 2000-year temperature reconstruction on the East Antarctic plateau from argon-nitrogen and water stable isotopes in the Aurora Basin North ice core</t>
  </si>
  <si>
    <t>BUBBLE CLOSE-OFF; POLAR ICE; CLIMATE VARIABILITY; GAS-TRANSPORT; TRAPPED AIR; WAIS DIVIDE; LAW DOME; FIRN; GREENLAND; PRECIPITATION</t>
  </si>
  <si>
    <t>The temperature of the Earth is one of the most important climate parameters. Proxy records of past climate changes, in particular temperature, represent a fundamental tool for exploring internal climate processes and natural climate forcings. Despite the excellent information provided by ice core records in Antarctica, the temperature variability of the past 2000 years is difficult to evaluate from the low-accumulation sites in the Antarctic continent interior. Here we present the results from the Aurora Basin North (ABN) ice core (71 degrees S, 111 degrees E, 2690ma.s.l.) in the lower part of the East Antarctic plateau, where accumulation is substantially higher than other ice core drilling sites on the plateau, and provide unprecedented insight into East Antarctic past temperature variability. We reconstructed the temperature of the last 2000 years using two independent methods: the widely used water stable isotopes (delta O-18) and by inverse modelling of borehole temperature and past temperature gradients estimated from the inert gas stable isotopes (delta(40) Ar and delta N-15). This second reconstruction is based on three independent measurement types: borehole temperature, firn thickness, and firn temperature gradient. The delta O-18 temperature reconstruction supports stable temperature conditions within 1 degrees C over the past 2000 years, in agreement with other ice core delta O-18 records in the region. However, the gas and borehole temperature reconstruction suggests that surface conditions 2 degrees C cooler than average prevailed in the 1000-1400 CE period and supports a 20th century warming of 1 degrees C. A precipitation hiatus during cold periods could explain why water isotope temperature reconstruction underestimates the temperature changes. Both reconstructions arguably record climate in their own way, with a focus on atmospheric and hydrologic cycles for water isotopes, as opposed to surface temperature for gas isotopes and boreholes. This study demonstrates the importance of using a variety of sources for comprehensive paleoclimate reconstructions.</t>
  </si>
  <si>
    <t>[Servettaz, Aymeric P. M.; Orsi, Anais J.; Landais, Amaelle] Univ Paris Saclay, Lab Sci Climat &amp; Environm, LSCE IPSL, CEA CNRS UVSQ, F-91190 Gif Sur Yvette, France; [Servettaz, Aymeric P. M.] Japan Agcy Marine Earth Sci &amp; Technol, Biogeochem Res Ctr, Yokosuka 2370061, Japan; [Orsi, Anais J.] Univ British Columbia, Dept Earth Ocean &amp; Atmospher Sci, Vancouver, BC V6T 1Z4, Canada; [Curran, Mark A. J.; Moy, Andrew D.] Australian Antarctic Div, Kingston, Tas 7050, Australia; [Curran, Mark A. J.; Moy, Andrew D.] Univ Tasmania, Antarctic Climate &amp; Ecosyst Cooperat Res Ctr, Hobart, Tas 7000, Australia; [McConnell, Joseph R.] Desert Res Inst, Div Hydrol Sci, Reno, NV 89512 USA; [Popp, Trevor J.] Univ Copenhagen, Niels Bohr Inst, DK-2200 Copenhagen, Denmark; [Le Meur, Emmanuel; Fain, Xavier; Chappellaz, Jerome] Univ Grenoble Alpes, Inst Geosci Environm, CNRS, IRD,Grenoble INP, F-38000 Grenoble, France; [Chappellaz, Jerome] Ecole Polytech Fed Lausanne EPFL, Inst Ingn Environm, CH-1951 Sion, Switzerland</t>
  </si>
  <si>
    <t>Universite Paris Cite; CEA; Centre National de la Recherche Scientifique (CNRS); Universite Paris Saclay; Japan Agency for Marine-Earth Science &amp; Technology (JAMSTEC); University of British Columbia; Australian Antarctic Division; University of Tasmania; Antarctic Climate &amp; Ecosystems Cooperative Research Centre (ACE CRC); Nevada System of Higher Education (NSHE); Desert Research Institute NSHE; University of Copenhagen; Niels Bohr Institute; Centre National de la Recherche Scientifique (CNRS); Communaute Universite Grenoble Alpes; Institut National Polytechnique de Grenoble; Institut de Recherche pour le Developpement (IRD); Universite Grenoble Alpes (UGA); Swiss Federal Institutes of Technology Domain; Ecole Polytechnique Federale de Lausanne</t>
  </si>
  <si>
    <t>Servettaz, APM (corresponding author), Univ Paris Saclay, Lab Sci Climat &amp; Environm, LSCE IPSL, CEA CNRS UVSQ, F-91190 Gif Sur Yvette, France.;Servettaz, APM (corresponding author), Japan Agcy Marine Earth Sci &amp; Technol, Biogeochem Res Ctr, Yokosuka 2370061, Japan.</t>
  </si>
  <si>
    <t>servettaza@jamstec.go.jp</t>
  </si>
  <si>
    <t>; FAIN, Xavier/C-8645-2009</t>
  </si>
  <si>
    <t>Servettaz, Aymeric/0000-0002-2909-6160; FAIN, Xavier/0000-0002-4119-6025; McConnell, Joseph/0000-0001-9051-5240; Orsi, Anais/0000-0001-5511-3940</t>
  </si>
  <si>
    <t>Australian Antarctic Division; Institut Polaire Francais Paul Emile Victor [1115]; Institut national des sciences de l'Univers; [AAS project 4075]</t>
  </si>
  <si>
    <t>Australian Antarctic Division; Institut Polaire Francais Paul Emile Victor; Institut national des sciences de l'Univers;</t>
  </si>
  <si>
    <t>This research has been supported by the Australian Antarctic Division (grant no. AAS project 4075), the Institut Polaire Francais Paul Emile Victor (CHICTABA project no. 1115),and the Institut national des sciences de l'Univers (LEFE projectABN2k).</t>
  </si>
  <si>
    <t>10.5194/cp-19-1125-2023</t>
  </si>
  <si>
    <t>I7HR0</t>
  </si>
  <si>
    <t>WOS:001004464300001</t>
  </si>
  <si>
    <t>Poinelli, M; Schodlok, M; Larour, E; Vizcaino, M; Riva, R</t>
  </si>
  <si>
    <t>Poinelli, Mattia; Schodlok, Michael; Larour, Eric; Vizcaino, Miren; Riva, Riccardo</t>
  </si>
  <si>
    <t>Can rifts alter ocean dynamics beneath ice shelves?</t>
  </si>
  <si>
    <t>PINE ISLAND GLACIER; THERMOHALINE CIRCULATION; ANTARCTICA; MODEL; PROPAGATION; STABILITY; SHELF/OCEAN; TOPOGRAPHY; RETREAT</t>
  </si>
  <si>
    <t>Land ice discharge from the Antarctic continent into the ocean is restrained by ice shelves, floating extensions of grounded ice that buttress the glacier outflow. The ongoing thinning of these ice shelves - largely due to enhanced melting at their base in response to global warming - is known to accelerate the release of glacier meltwater into the world oceans, augmenting global sea level. Mechanisms of ocean heat intrusion under the ice base are therefore crucial to project the future of Antarctic ice shelves. Furthermore, ice shelves are weakened by the presence of kilometer-wide full-thickness ice rifts, which are observed all around Antarctica. However, their impact on ocean circulation around and below ice shelves has been largely unexplored as ocean models are commonly characterized by resolutions that are too coarse to resolve their presence. Here, we apply the Massachusetts Institute of Technology general circulation model at high resolution to investigate the sensitivity of sub-shelf ocean dynamics and ice-shelf melting to the presence of a kilometer-wide rift in proximity of the ice front. We find that (a) the rift curtails water and heat intrusion beneath the ice-shelf base and (b) the basal melting of a rifted ice shelf is on average 20 % lower than for an intact ice shelf under identical forcing. Notably, we calculate a significant reduction in melting rates of up to 30 % near the grounding line of a rifted ice shelf. We therefore posit that rifts and their impact on the sub-shelf dynamics are important to consider in order to accurately reproduce and project pathways of heat intrusion into the ice-shelf cavity.</t>
  </si>
  <si>
    <t>[Poinelli, Mattia; Schodlok, Michael; Larour, Eric] CALTECH, Jet Prop Lab, Pasadena, CA 91125 USA; [Poinelli, Mattia] Univ Calif Irvine, Dept Earth Syst Sci, Irvine, CA 92697 USA; [Poinelli, Mattia; Vizcaino, Miren; Riva, Riccardo] Delft Univ Technol, Dept Geosci &amp; Remote Sensing, Delft, Netherlands</t>
  </si>
  <si>
    <t>California Institute of Technology; National Aeronautics &amp; Space Administration (NASA); NASA Jet Propulsion Laboratory (JPL); University of California System; University of California Irvine; Delft University of Technology</t>
  </si>
  <si>
    <t>Poinelli, M (corresponding author), CALTECH, Jet Prop Lab, Pasadena, CA 91125 USA.;Poinelli, M (corresponding author), Univ Calif Irvine, Dept Earth Syst Sci, Irvine, CA 92697 USA.;Poinelli, M (corresponding author), Delft Univ Technol, Dept Geosci &amp; Remote Sensing, Delft, Netherlands.</t>
  </si>
  <si>
    <t>mattia.poinelli@jpl.nasa.gov</t>
  </si>
  <si>
    <t>; Vizcaino, Miren/D-4443-2013</t>
  </si>
  <si>
    <t>Riva, Riccardo/0000-0002-2042-5669; Vizcaino, Miren/0000-0002-9553-7104</t>
  </si>
  <si>
    <t>NASA Cryospheric Sciences Program</t>
  </si>
  <si>
    <t>NASA Cryospheric Sciences Program(National Aeronautics &amp; Space Administration (NASA))</t>
  </si>
  <si>
    <t>Part of the research was carried out at the Jet Propulsion Laboratory, California Institute of Technology, under a contract with the National Aeronautics and Space Administration (NASA). We gratefully acknowledge support from the NASA Cryospheric Sciences Program. High-end computing resources were provided by the NASA Advanced Supercomputing Division of the Ames Research Center. Color maps used in this paper are from Thyng et al. (2016). Mattia Poinelli sincerely thanks Yoshihiro Nakayama, Dimitris Menemenlis, Eric Rignot, Stefanie Nanninga and Ratnakar Gadi for stimulating discussions during the final stage of this research project. We express our gratitude to the Editor Nicolas Jourdain and the two anonymous referees for their thorough and insightful review, which greatly enhanced the clarity and impact of this manuscript.</t>
  </si>
  <si>
    <t>10.5194/tc-17-2261-2023</t>
  </si>
  <si>
    <t>I4RG3</t>
  </si>
  <si>
    <t>WOS:001002662200001</t>
  </si>
  <si>
    <t>Reid, K; Baker, GB; Wells, R</t>
  </si>
  <si>
    <t>Reid, Keith; Baker, G. Barry; Wells, Richard</t>
  </si>
  <si>
    <t>Mitigation of seabird bycatch in New Zealand squid trawl fisheries provides hope for ongoing solutions</t>
  </si>
  <si>
    <t>EMU-AUSTRAL ORNITHOLOGY</t>
  </si>
  <si>
    <t>seabirds; trawl fisheries; bycatch; mitigation; New Zealand</t>
  </si>
  <si>
    <t>FACTORY TRAWLERS; MORTALITY; CONSERVATION; ALBATROSSES; LONGLINE; GEAR</t>
  </si>
  <si>
    <t>Although there is an increasing awareness of the high rates of seabird bycatch in trawl fisheries globally, there is relatively limited implementation of effective mitigation measures. Seabirds that are attracted to the stern of the trawl vessel to feed on fish-waste can be drowned or injured when they collide with warps/cables or when they become entangled in nets. Managing fish-waste discharge (processing offal and discards) and limiting access to it by scaring birds have been identified as the most effective measures to reduce seabird mortality from collisions with warps. New Zealand's arrow squid (Nototodarus spp.) trawl fishery occurs during the austral summer and autumn when there is significant overlap with large numbers of foraging seabirds due to the proximity of breeding areas. Regulations introduced by the New Zealand government in 2007 requiring the use of devices to reduce warp strikes and operational procedures to manage fish-waste were independently implemented by the fishing industry in 2007 with the support of fishery regulators. The rate of capture of albatrosses by warps decreased from a mean of 2.9 birds per 100 tows during the period 2003 to 2006 to a mean of 0.7 birds per 100 tows after 2007. Long-term ownership of squid fishery quota catalysed the proactive engagement of the industry and has been reflected in a positive cultural shift in the attitude of fishers towards managing the risk of the capture of seabirds. Multi-sector collaboration and engagement allowed for the translation of experimental mitigation results into long-term, industrial-scale operational practices.</t>
  </si>
  <si>
    <t>[Reid, Keith] Ross Analyt Pty Ltd, Bonnet Hill, Tas, Australia; [Reid, Keith; Baker, G. Barry] Univ Tasmania, Inst Marine &amp; Antarctic Studies, Hobart, Australia; [Baker, G. Barry] Latitude 42 Environm Consultants Pty Ltd, Kettering, Tas, Australia; [Wells, Richard] Resourcewise Ltd, Richmond, New Zealand</t>
  </si>
  <si>
    <t>Reid, K (corresponding author), Ross Analyt Pty Ltd, Bonnet Hill, Tas, Australia.;Reid, K (corresponding author), Univ Tasmania, Inst Marine &amp; Antarctic Studies, Hobart, Australia.</t>
  </si>
  <si>
    <t>Baker, G. Barry/0000-0003-4766-8182</t>
  </si>
  <si>
    <t>TAYLOR &amp; FRANCIS AUSTRALIA</t>
  </si>
  <si>
    <t>MELBOURNE</t>
  </si>
  <si>
    <t>LEVEL 2, 11 QUEENS RD, MELBOURNE, VIC 3004, AUSTRALIA</t>
  </si>
  <si>
    <t>0158-4197</t>
  </si>
  <si>
    <t>1448-5540</t>
  </si>
  <si>
    <t>EMU</t>
  </si>
  <si>
    <t>Emu</t>
  </si>
  <si>
    <t>10.1080/01584197.2023.2214580</t>
  </si>
  <si>
    <t>N6KQ1</t>
  </si>
  <si>
    <t>WOS:000999540900001</t>
  </si>
  <si>
    <t>Paine, ER; Boyd, PW; Strzepek, RF; Ellwood, M; Brewer, EA; Diaz-Pulido, G; Schmid, M; Hurd, CL</t>
  </si>
  <si>
    <t>Paine, Ellie R.; Boyd, Philip W.; Strzepek, Robert F.; Ellwood, Michael; Brewer, Elizabeth A.; Diaz-Pulido, Guillermo; Schmid, Matthias; Hurd, Catriona L.</t>
  </si>
  <si>
    <t>Iron limitation of kelp growth may prevent ocean afforestation</t>
  </si>
  <si>
    <t>LAMINARIA-JAPONICA; TRACE-METALS; COASTAL; CARBON; NUTRIENT; PHYTOPLANKTON; FERTILIZATION; MACROALGAE; RHODOPHYTA; PIGMENTS</t>
  </si>
  <si>
    <t>Laboratory experiments with the macroalga Macrocystis pyrifera suggest that insufficient iron availability in the open ocean presents a major challenge to growing kelp for the purpose of sequestering carbon dioxide through ocean afforestation. Carbon dioxide removal (CDR) and emissions reduction are essential to alleviate climate change. Ocean macroalgal afforestation (OMA) is a CDR method already undergoing field trials where nearshore kelps, on rafts, are purposefully grown offshore at scale. Dissolved iron (dFe) supply often limits oceanic phytoplankton growth, however this potentially rate-limiting factor is being overlooked in OMA discussions. Here, we determine the limiting dFe concentrations for growth and key physiological functions of a representative kelp species, Macrocystis pyrifera, considered as a promising candidate for OMA. dFe additions to oceanic seawater ranging 0.01-20.2 nM Fe ' - Fe ' being the sum of dissolved inorganic Fe(III) species - result in impaired physiological functions and kelp mortality. Kelp growth cannot be sustained at oceanic dFe concentrations, which are 1000-fold lower than required by M. pyrifera. OMA may require additional perturbation of offshore waters via dFe fertilisation.</t>
  </si>
  <si>
    <t>[Paine, Ellie R.; Boyd, Philip W.; Schmid, Matthias; Hurd, Catriona L.] Univ Tasmania, Inst Marine &amp; Antarctic Studies, Hobart, Tas 7001, Australia; [Strzepek, Robert F.] Univ Tasmania, Inst Marine &amp; Antarctic Studies, Australian Antarctic Program Partnership AAPP, Hobart, Tas, Australia; [Ellwood, Michael] Australian Natl Univ, Res Sch Earth Sci, Canberra, ACT 0200, Australia; [Brewer, Elizabeth A.] CSIRO Oceans &amp; Atmosphere, Castray Esplanade, Hobart, Tas 7001, Australia; [Diaz-Pulido, Guillermo] Griffith Univ, Coastal &amp; Marine Res Ctr, Sch Environm &amp; Sci, Nathan Campus, Brisbane, Qld 4111, Australia; [Diaz-Pulido, Guillermo] Griffith Univ, Australian Rivers Inst Coast &amp; Estuaries, Nathan Campus, Brisbane, Qld 4111, Australia; [Schmid, Matthias] Univ Dublin, Trinity Coll Dublin, Dublin, Ireland; [Schmid, Matthias] Univ Galway, Sch Biol &amp; Chem Sci, Galway, Ireland</t>
  </si>
  <si>
    <t>University of Tasmania; University of Tasmania; Australian National University; Commonwealth Scientific &amp; Industrial Research Organisation (CSIRO); Griffith University; Griffith University; Trinity College Dublin; Ollscoil na Gaillimhe-University of Galway</t>
  </si>
  <si>
    <t>Strzepek, Robert Francis/GQH-8703-2022; Brewer, Elizabeth A./HGE-6812-2022; Boyd, Philip/J-7624-2014</t>
  </si>
  <si>
    <t>Strzepek, Robert Francis/0000-0002-6442-7121; Boyd, Philip/0000-0001-7850-1911; Paine, Ellie/0000-0003-2816-9521; Diaz-Pulido, Guillermo/0000-0002-0901-3727; Ellwood, Michael/0000-0003-4288-8530</t>
  </si>
  <si>
    <t>Scientific Committee on Oceanic Research (SCOR) [FL160100131, DP160103071]; Laureate Fellowship [FL160100131]; ARC [DP160103071, ASCI000002]; AAPP~ [DP200101467]; Science Foundation Ireland grant [18/FR/6198]; European Commission Marie Sklodowska-Curie Actions Postdoctoral Fellowship [101066815 ASPIRE]</t>
  </si>
  <si>
    <t>Scientific Committee on Oceanic Research (SCOR); Laureate Fellowship; ARC(Australian Research Council); AAPP~; Science Foundation Ireland grant(Science Foundation Ireland); European Commission Marie Sklodowska-Curie Actions Postdoctoral Fellowship</t>
  </si>
  <si>
    <t>The authors thank to Dr. Abigail Smith, Dr. Pauline Latour and Olivia Wynn for their laboratory assistance and the reviewers for providing useful feedback on the manuscript. The GEOTRACES 2021 Intermediate Data Product (IDP2021) represents an international collaboration and is endorsed by the Scientific Committee on Oceanic Research (SCOR). The many researchers and funding agencies responsible for the collection of data and quality control are thanked for their contributions to the IDP2021, as are the researchers and staff aboard the RV Investigator voyage IN2019_V02 who collected the base seawater for the experiment. We acknowledge and pay our respects to the Palawa people of Lunawanna-Allonah and Nipaluna, whose water and land upon which we work. Laureate Fellowship FL160100131 to P.W.B., ARC DP160103071 funding to GD-P and C.L.H., AAPP ASCI000002 funding to R.F.S., and ARC DP200101467 to C.L.H. MS was funded consecutively through a Science Foundation Ireland grant (18/FR/6198) and a European Commission Marie Sklodowska-Curie Actions Postdoctoral Fellowship (Project 101066815 -ASPIRE).</t>
  </si>
  <si>
    <t>JUN 6</t>
  </si>
  <si>
    <t>10.1038/s42003-023-04962-4</t>
  </si>
  <si>
    <t>I6JG0</t>
  </si>
  <si>
    <t>WOS:001003821100002</t>
  </si>
  <si>
    <t>Sutherland, C; Henderson, A; Trotter, AJ; Giosio, D; Smith, G</t>
  </si>
  <si>
    <t>Sutherland, Charles; Henderson, Alan; Trotter, Andrew J.; Giosio, Dean; Smith, Greg</t>
  </si>
  <si>
    <t>Assessing sensing techniques for detecting markers of approaching ecdysis in juvenile tropical rock lobsters, Panulirus ornatus</t>
  </si>
  <si>
    <t>AQUACULTURAL ENGINEERING</t>
  </si>
  <si>
    <t>Crustacean Lobster Ultrasound Computer; Vision</t>
  </si>
  <si>
    <t>SPINY LOBSTER; NUTRITIONAL CONDITION; FEEDING-BEHAVIOR; GROWTH; CRUSTACEAN; INDEX; COLOR; CYCLE</t>
  </si>
  <si>
    <t>The development of hatchery technology for spiny lobsters has promoted interest in the establishment of a commercial on shore lobster aquaculture industry in Australia. Cannibalism in culture is extensive with canni-balistic interactions occurring during a relatively brief vulnerability while moulting. Therefore, pre-ecdysis characterisation would create an opportunity to intervene and disrupt cannibalism. Detecting pre-ecdysis with a sensor would open the scope of research into cannibalism reducing culture environments. During this study, three markers that have the potential to indicate ecdysis are assessed: growth of the new integument, formation of suture lines, and pigment changes. These markers were assessed using high frequency imaging ultrasound, computer vision, and digital image analysis in the HSV colour space, respectively.For individual animals, carotenoid pigment shift is an early and clear marker of pre-ecdysis, however vari-ability between individuals excludes pigmentation being useful in characterising pre-ecdysis. Suture line defi-nition was problematic under visible light because its definition was reduced by similarly coloured pigments, therefore using suture lines as a pre-ecdysis characteriser requires better definition. A logical research approach to enhance suture line clarity in images is to image them with light outside the visible spectrum. Growth of the new integument was visible on sonographs beneath the branchiostegites indicating that ultrasound may be a useful tool for sensing pre-ecdysis in lobsters. Ultrasonic investigation using a single element transducer may be a lower cost and robust sensing solution to detect new integument growth and is a high priority future research pathway.</t>
  </si>
  <si>
    <t>[Sutherland, Charles; Henderson, Alan; Giosio, Dean] Univ Tasmania, Sch Engn, Dobson Rd, Sandy Bay, Tas 7005, Australia; [Trotter, Andrew J.; Smith, Greg] Univ Tasmania, Inst Marine &amp; Antarctic Studies IMAS, Fisheries &amp; Aquaculture, Private Bag 49, Hobart, Tas 7001, Australia</t>
  </si>
  <si>
    <t>Sutherland, C (corresponding author), Univ Tasmania, Sch Engn, Dobson Rd, Sandy Bay, Tas 7005, Australia.</t>
  </si>
  <si>
    <t>charles.sutherland@utas.edu.au</t>
  </si>
  <si>
    <t>Sutherland, Charles/0000-0001-6925-0161</t>
  </si>
  <si>
    <t>This research was conducted by the Australian Research Council Industrial Transformation Hub for Sustainable Onshore Lobster Aquaculture (project number IH190100014). The views expressed herein are those of the authors and are not necessarily those of the Australian Government or the Australian Research Council. Appreciation for technical assistance at IMAS, including Michael Landman, Andrea Wirtz, Tara Kelly, Nigel Coombes, Mathew Allan, Geoff Endo, Ross Goldsmid, and Simon Neil. Peter Mathew (photography), Brendon Bacon (sonography) and University of Tasmania Animal Services provided invaluable professional advice and guidance.</t>
  </si>
  <si>
    <t>0144-8609</t>
  </si>
  <si>
    <t>1873-5614</t>
  </si>
  <si>
    <t>AQUACULT ENG</t>
  </si>
  <si>
    <t>Aquac. Eng.</t>
  </si>
  <si>
    <t>10.1016/j.aquaeng.2023.102342</t>
  </si>
  <si>
    <t>Agricultural Engineering; Fisheries</t>
  </si>
  <si>
    <t>Agriculture; Fisheries</t>
  </si>
  <si>
    <t>K2YI9</t>
  </si>
  <si>
    <t>WOS:001015142900001</t>
  </si>
  <si>
    <t>Tomanek, AJ; Lazzara, MA; Mikolajczyk, DE; Norton, TP; Onsi, II; Bromwich, DH; Litell, MF</t>
  </si>
  <si>
    <t>Tomanek, Anastasia J.; Lazzara, Matthew A.; Mikolajczyk, David E.; Norton, Taylor P.; Onsi, Isabella I.; Bromwich, David H.; Litell, Mariana F.</t>
  </si>
  <si>
    <t>The 17th Workshop on Antarctic Meteorology and Climate and 7th Year of Polar Prediction in the Southern Hemisphere Meeting</t>
  </si>
  <si>
    <t>[Tomanek, Anastasia J.; Lazzara, Matthew A.; Mikolajczyk, David E.; Norton, Taylor P.; Onsi, Isabella I.] Univ Wisconsin Madison, Antarctic Meteorol Res &amp; Data Ctr, Space Sci &amp; Engn Ctr, Madison, WI 53706 USA; [Tomanek, Anastasia J.; Norton, Taylor P.; Onsi, Isabella I.] Univ Wisconsin Madison, Dept Atmospher Sci, Madison, WI 53706 USA; [Lazzara, Matthew A.] Madison Area Tech Coll, Sch Engn Sci &amp; Math, Dept Phys Sci, Madison, WI 53704 USA; [Bromwich, David H.; Litell, Mariana F.] Ohio State Univ, Byrd Polar &amp; Climate Res Ctr, Polar Meteorol Grp, Columbus, OH 43210 USA</t>
  </si>
  <si>
    <t>University of Wisconsin System; University of Wisconsin Madison; University of Wisconsin System; University of Wisconsin Madison; University System of Ohio; Ohio State University</t>
  </si>
  <si>
    <t>Tomanek, AJ (corresponding author), Univ Wisconsin Madison, Antarctic Meteorol Res &amp; Data Ctr, Space Sci &amp; Engn Ctr, Madison, WI 53706 USA.;Tomanek, AJ (corresponding author), Univ Wisconsin Madison, Dept Atmospher Sci, Madison, WI 53706 USA.</t>
  </si>
  <si>
    <t>ajtomanek@wisc.edu</t>
  </si>
  <si>
    <t>Office of Polar Programs, National Science Foundation; [NSF 1924730]; [1951720]; [1951603]</t>
  </si>
  <si>
    <t>Office of Polar Programs, National Science Foundation(National Science Foundation (NSF)); ; ;</t>
  </si>
  <si>
    <t>The authors wish to thank the Secretariate of the International Association for Meteorology and Atmospheric Science, the International Commission on Polar Meteorology, and the Scientific Committee on Antarctic Research Expert Group on Operational Meteorology in the Antarctic for the direct support of the WAMC meeting. Thanks to the support staff at the Space Science and Engineering Center for their assistance in facilitating the meeting, especially Maria VASYS and Wenhua WU. Financial Support from the Office of Polar Programs, National Science Foundation (Grant Nos. NSF 1924730, 1951720, and 1951603), is greatly appreciated. This is a contribution to the Year of Polar Prediction (YOPP), a flagship activity of the Polar Prediction Project (PPP), initiated by the World Weather Research Programme (WWRP) of the WMO. We acknowledge the WMO WWRP for its role in coordinating this international research activity.</t>
  </si>
  <si>
    <t>10.1007/s00376-023-3049-y</t>
  </si>
  <si>
    <t>L4VO3</t>
  </si>
  <si>
    <t>Bronze, Green Published</t>
  </si>
  <si>
    <t>WOS:001004409800002</t>
  </si>
  <si>
    <t>Elwen, S; Fearey, J; Ross-Marsh, E; Thompson, K; Maack, T; Webber, T; Gridley, T</t>
  </si>
  <si>
    <t>Elwen, Simon; Fearey, Jack; Ross-Marsh, Erin; Thompson, Kirsten; Maack, Thilo; Webber, Thomas; Gridley, Tess</t>
  </si>
  <si>
    <t>Cetacean diversity of the eastern South Atlantic Ocean and Vema Seamount detected during a visual and passive acoustic survey, 2019</t>
  </si>
  <si>
    <t>JOURNAL OF THE MARINE BIOLOGICAL ASSOCIATION OF THE UNITED KINGDOM</t>
  </si>
  <si>
    <t>Africa; baleen whale; bioacoustics; dolphin; odontocete; PAMGuard; passive acoustic monitoring; whaling</t>
  </si>
  <si>
    <t>WHALES MEGAPTERA-NOVAEANGLIAE; HUMPBACK WHALES; WEST-COAST; AFRICA; MOVEMENTS; CALLS; CLASSIFICATION; REPERTOIRE; PATTERNS; OFFSHORE</t>
  </si>
  <si>
    <t>Cetaceans in the eastern South Atlantic Ocean are poorly studied. We present results from a 2 week ship-based survey from Cape Town to Vema Seamount (980 km to the west) during October-November 2019, including visual and towed-hydrophone observations from the vessel, and 10 days of acoustic monitoring on the seamount. Fifty-two hours of visual surveys resulted in 39 encounters of whale groups including seven of humpback, six of fin and one sei whale, as well as four unidentified baleen whales, 18 unidentified balaenopterid whales and four unidentified odontocetes. Two humpback whales at the seamount were engaged in possible feeding behaviour. A large aggregation of mostly fin whales was observed near the continental shelf edge (22 encounters over a 70 x 50 km(2) area, six fin, one sei whale, 15 not confirmed to species), an historic whaling ground for both fin and sei whales. Towed-hydrophone data (78.7 h) detected five groups of sperm whales, 45 of delphinids, one beaked whale and no Kogiids. Acoustic data from the seamount detected calls from several baleen whale species including humpback whale non-song calls, Antarctic minke 'bioduck' calls, sei whale down-sweep calls and a likely Bryde's whale call. Two call types could not be assigned to species, including the most detected - a simple frequency-modulated call with peak power around 130 Hz. This study contributes to an improved understanding of cetacean occurrence in the eastern South Atlantic Ocean and highlights the need for more research to improve identification of cetacean vocalizations in the region.</t>
  </si>
  <si>
    <t>[Elwen, Simon; Fearey, Jack; Ross-Marsh, Erin; Gridley, Tess] Sea Search Res &amp; Conservat NPC, 4 Bath Rd,Muizenberg, ZA-7945 Cape Town, South Africa; [Elwen, Simon; Ross-Marsh, Erin; Gridley, Tess] Univ Stellenbosch, Dept Bot &amp; Zool, Cape Town, South Africa; [Fearey, Jack; Gridley, Tess] Univ Cape Town, Ctr Stat Ecol Environm &amp; Conservat, Dept Stat Sci, Western Cape, South Africa; [Thompson, Kirsten] Univ Exeter, Biosci, Devon, England; [Thompson, Kirsten; Webber, Thomas] Univ Exeter, Greenpeace Res Labs, Devon, England; [Maack, Thilo] Greenpeace Germany, Hongkongstr 10, D-20457 Hamburg, Germany; [Webber, Thomas] Univ St Andrews, Scottish Oceans Inst, Sea Mammal Res Unit, St Andrews, Scotland</t>
  </si>
  <si>
    <t>Stellenbosch University; University of Cape Town; University of Exeter; University of Exeter; University of St Andrews</t>
  </si>
  <si>
    <t>Elwen, S (corresponding author), Sea Search Res &amp; Conservat NPC, 4 Bath Rd,Muizenberg, ZA-7945 Cape Town, South Africa.;Elwen, S (corresponding author), Univ Stellenbosch, Dept Bot &amp; Zool, Cape Town, South Africa.</t>
  </si>
  <si>
    <t>Simon.Elwen@gmail.com</t>
  </si>
  <si>
    <t>Ross-Marsh, Erin/0000-0001-9224-7059; Gridley, Tess/0000-0003-0925-5782; Webber, Thomas/0000-0003-1367-3688</t>
  </si>
  <si>
    <t>0025-3154</t>
  </si>
  <si>
    <t>1469-7769</t>
  </si>
  <si>
    <t>J MAR BIOL ASSOC UK</t>
  </si>
  <si>
    <t>J. Mar. Biol. Assoc. U.K.</t>
  </si>
  <si>
    <t>e41</t>
  </si>
  <si>
    <t>10.1017/S0025315423000255</t>
  </si>
  <si>
    <t>I0RO9</t>
  </si>
  <si>
    <t>WOS:000999937200001</t>
  </si>
  <si>
    <t>Kotov, D; Richards, PG; Reznychenko, M; Bogomaz, O; Truhlík, V; Nossal, S; Mierkiewicz, E; Zhivolup, T; Domnin, I; Miyoshi, Y; Tsuchiya, F; Kumamoto, A; Kasahara, Y; Kitahara, M; Nakamura, S; Matsuoka, A; Shinohara, I; Hairston, M</t>
  </si>
  <si>
    <t>Kotov, Dmytro; Richards, Phil G.; Reznychenko, Maryna; Bogomaz, Oleksandr; Truhlik, Vladimir; Nossal, Susan; Mierkiewicz, Edwin; Zhivolup, Taras; Domnin, Igor; Miyoshi, Yoshizumi; Tsuchiya, Fuminori; Kumamoto, Atsushi; Kasahara, Yoshiya; Kitahara, Masahiro; Nakamura, Satoko; Matsuoka, Ayako; Shinohara, Iku; Hairston, Marc</t>
  </si>
  <si>
    <t>Interhemispheric ionosphere-plasmasphere system shows a high sensitivity to the exospheric neutral hydrogen density: a caution of the global reference atmospheric model hydrogen density</t>
  </si>
  <si>
    <t>FRONTIERS IN ASTRONOMY AND SPACE SCIENCES</t>
  </si>
  <si>
    <t>plasmasphere; ionosphere; exosphere; hydrogen; interhemispheric coupling; multiinstrumental observations; observation-based simulation; NRLMSISE-00 hydrogen density</t>
  </si>
  <si>
    <t>This study explores the impact of the exosphere hydrogen (H) density on the ionosphere-plasmasphere system using a model whose key inputs are constrained by ionosphere observations at both ends of the magnetic field line with an L-value of 1.75 in the American longitudinal sector during a period with low solar and magnetic activities. This study is the first to be validated by ground-based and satellite data in the plasmasphere and both hemispheres. The main finding is that the entire ionosphere-plasmasphere system is very sensitive to the neutral hydrogen density in the lower exosphere. It was found that an increase in the H density by a factor of 2.75 from the commonly accepted values was necessary to bring the simulated plasma density into satisfactory agreement with Arase satellite measurements in the plasmasphere and also with DMSP satellite measurements in the topside ionospheres of the northern and southern hemispheres. A factor of 2.75 increase in the H density increases the simulated plasma density in the afternoon plasmasphere up to &amp; SIM;80% and in the nighttime topside ionosphere up to &amp; SIM;100%. These results indicate prominently that using the commonly accepted empirical model of the H density causes unacceptable errors in the simulated plasma density of the near-Earth plasma shells. We alert the space science community of this problem.</t>
  </si>
  <si>
    <t>[Kotov, Dmytro; Reznychenko, Maryna; Bogomaz, Oleksandr; Zhivolup, Taras; Domnin, Igor] Inst Ionosphere, Kharkiv, Ukraine; [Richards, Phil G.] Univ Alabama, Dept Comp Sci, Huntsville, AL USA; [Bogomaz, Oleksandr] Minist Educ &amp; Sci Ukraine, State Inst Natl Antarctic Sci Ctr, Kiev, Ukraine; [Truhlik, Vladimir] Czech Acad Sci, Inst Atmospher Phys, Prague, Czech Republic; [Nossal, Susan] Univ Wisconsin, Phys Dept, Madison, WI USA; [Mierkiewicz, Edwin] Embry Riddle Aeronaut Univ, Dept Phys Sci, Daytona Beach, FL USA; [Miyoshi, Yoshizumi] Nagoya Univ, Inst Space Earth Environm Res, Nagoya, Japan; [Tsuchiya, Fuminori; Kumamoto, Atsushi; Kitahara, Masahiro] Tohoku Univ, Planetary Plasma &amp; Atmospher Res Ctr, Grad Sch Sci, Sendai, Japan; [Kasahara, Yoshiya] Kanazawa Univ, Grad Sch Nat Sci &amp; Technol, Kanazawa, Japan; [Nakamura, Satoko] Nagoya Univ, Inst Space Earth Environm Res, Nagoya, Japan; [Matsuoka, Ayako] Kyoto Univ, Data Anal Ctr Geomagnetism &amp; Space Magnetism, Grad Sch Sci, Kyoto, Japan; [Shinohara, Iku] Japan Aerosp Explorat Agcy, Inst Space &amp; Astronaut Sci, Sagamihara, Japan; [Hairston, Marc] Univ Texas Dallas, William B Hanson Ctr Space Sci, Richardson, TX USA</t>
  </si>
  <si>
    <t>University of Alabama System; University of Alabama Huntsville; Ministry of Education &amp; Science of Ukraine; State Institution National Antarctic Scientific Center; Czech Academy of Sciences; Institute of Atmospheric Physics of the Czech Academy of Sciences; University of Wisconsin System; University of Wisconsin Madison; Embry-Riddle Aeronautical University; Nagoya University; Tohoku University; Kanazawa University; Nagoya University; Kyoto University; Japan Aerospace Exploration Agency (JAXA); Institute of Space &amp; Astronautical Science (ISAS); University of Texas System; University of Texas Dallas</t>
  </si>
  <si>
    <t>Kotov, D (corresponding author), Inst Ionosphere, Kharkiv, Ukraine.</t>
  </si>
  <si>
    <t>dmitrykotoff@gmail.com</t>
  </si>
  <si>
    <t>Truhlik, Vladimir/H-6971-2014; KASAHARA, Yoshiya/E-7073-2015; Bogomaz, Oleksandr/AAK-4108-2021; 熊本, 篤志/JBS-8512-2023; 土屋, 史紀/IVV-2854-2023; Miyoshi, Yoshizumi/T-5748-2019</t>
  </si>
  <si>
    <t>Truhlik, Vladimir/0000-0002-6624-4388; 熊本, 篤志/0000-0002-3988-1488; Miyoshi, Yoshizumi/0000-0001-7998-1240; Bogomaz, Oleksandr/0000-0001-6824-2346</t>
  </si>
  <si>
    <t>National Academy of Sciences of Ukraine [0122U000187]; State Institution National Antarctic Scientific Center of the Ministry of Education and Science of Ukraine [0121U112420]; Ministry of Education, Youth and Sports of the Czechia [LTAUSA17100]; National Science Foundation [AGS-2050072, AGS-2050077]; JSPS [20H01959]</t>
  </si>
  <si>
    <t>National Academy of Sciences of Ukraine; State Institution National Antarctic Scientific Center of the Ministry of Education and Science of Ukraine; Ministry of Education, Youth and Sports of the Czechia; National Science Foundation(National Science Foundation (NSF)); JSPS(Ministry of Education, Culture, Sports, Science and Technology, Japan (MEXT)Japan Society for the Promotion of Science)</t>
  </si>
  <si>
    <t>DK and MR were supported by the National Academy of Sciences of Ukraine (project 0122U000187 Investigation of variations in the ion composition of the topside ionosphere during the weak maximum of the 25th solar cycle). OB was supported by the State Institution National Antarctic Scientific Center of the Ministry of Education and Science of Ukraine (project 0121U112420 Investigation of machine learning applicability for detection of traveling ionospheric disturbances). VT was supported, in part, by grant LTAUSA17100 of the Ministry of Education, Youth and Sports of the Czechia. SN is supported by National Science Foundation grant #AGS-2050072. EM is supported by National Science Foundation grant AGS-2050077. YM is supported by JSPS 20H01959.</t>
  </si>
  <si>
    <t>2296-987X</t>
  </si>
  <si>
    <t>FRONT ASTRON SPACE</t>
  </si>
  <si>
    <t>Front. Astron. Space Sci.</t>
  </si>
  <si>
    <t>JUN 5</t>
  </si>
  <si>
    <t>10.3389/fspas.2023.1113706</t>
  </si>
  <si>
    <t>K1GW8</t>
  </si>
  <si>
    <t>WOS:001014009200001</t>
  </si>
  <si>
    <t>Meynecke, JO; Samanta, S; de Bie, J; Seyboth, E; Dey, SP; Fearon, G; Vichi, M; Findlay, K; Roychoudhury, A; Mackey, B</t>
  </si>
  <si>
    <t>Meynecke, Jan-Olaf; Samanta, Saumik; de Bie, Jasper; Seyboth, Elisa; Prakash Dey, Subhra; Fearon, Giles; Vichi, Marcello; Findlay, Ken; Roychoudhury, Alakendra; Mackey, Brendan</t>
  </si>
  <si>
    <t>Do whales really increase the oceanic removal of atmospheric carbon?</t>
  </si>
  <si>
    <t>blue carbon; whales; carbon export; ocean carbon cycle; climate change</t>
  </si>
  <si>
    <t>SOUTHERN-OCEAN; IRON FERTILIZATION; MARINE MAMMALS; CLIMATE-CHANGE; BALEEN WHALES; EXPORT; KRILL; DISTRIBUTIONS; IMPACTS; WATERS</t>
  </si>
  <si>
    <t>Whales have been titled climate savers in the media with their recovery welcomed as a potential carbon solution. However, only a few studies were performed to date providing data or model outputs to support the hypothesis. Following an outline of the primary mechanisms by which baleen whales remove carbon from the atmosphere for eventual sequestration at regional and global scales, we conclude that the amount of carbon whales are potentially sequestering might be too little to meaningfully alter the course of climate change. This is in contrast to media perpetuating whales as climate engineers. Creating false hope in the ability of charismatic species to be climate engineers may act to further delay the urgent behavioral change needed to avert catastrophic climate change impacts, which can in turn have indirect consequences for the recovery of whale populations. Nevertheless, whales are important components of marine ecosystems, and any further investigation on existing gaps in their ecology will contribute to clarifying their contribution to the ocean carbon cycle, a major driver of the world's climate. While whales are vital to the healthy functioning of marine ecosystems, overstating their ability to prevent or counterbalance anthropogenically induced changes in global carbon budget may unintentionally redirect attention from known, well-established methods of reducing greenhouse gases. Large scale protection of marine environments including the habitats of whales will build resilience and assist with natural carbon capture.</t>
  </si>
  <si>
    <t>[Meynecke, Jan-Olaf; de Bie, Jasper; Mackey, Brendan] Griffith Univ, Whales &amp; Climate Res Program, Gold Coast, Qld, Australia; [Meynecke, Jan-Olaf; de Bie, Jasper; Mackey, Brendan] Griffith Univ, Griffith Climate Change Response Program, Gold Coast, Qld, Australia; [Meynecke, Jan-Olaf; de Bie, Jasper] Griffith Univ, Coastal &amp; Marine Res Ctr, Gold Coast, Qld, Australia; [Meynecke, Jan-Olaf; de Bie, Jasper] Griffith Univ, Cities Res Inst, Gold Coast, Qld, Australia; [Samanta, Saumik; Roychoudhury, Alakendra] Stellenbosch Univ, Dept Earth Sci, Stellenbosch, South Africa; [Seyboth, Elisa; Findlay, Ken] Univ Pretoria, Mammal Res Inst Whale Unit, Dept Zool &amp; Entomol, Hermanus, South Africa; [Prakash Dey, Subhra; Fearon, Giles; Vichi, Marcello] Univ Cape Town, Marine &amp; Antarctic Res Ctr Innovat &amp; Sustainabil M, Cape Town, South Africa; [Prakash Dey, Subhra; Fearon, Giles; Vichi, Marcello] Univ Cape Town, Dept Oceanog, Cape Town, South Africa</t>
  </si>
  <si>
    <t>Griffith University; Griffith University - Gold Coast Campus; Griffith University; Griffith University - Gold Coast Campus; Griffith University; Griffith University - Gold Coast Campus; Griffith University; Griffith University - Gold Coast Campus; Stellenbosch University; University of Pretoria; University of Cape Town; University of Cape Town</t>
  </si>
  <si>
    <t>Meynecke, JO (corresponding author), Griffith Univ, Whales &amp; Climate Res Program, Gold Coast, Qld, Australia.;Meynecke, JO (corresponding author), Griffith Univ, Griffith Climate Change Response Program, Gold Coast, Qld, Australia.;Meynecke, JO (corresponding author), Griffith Univ, Coastal &amp; Marine Res Ctr, Gold Coast, Qld, Australia.;Meynecke, JO (corresponding author), Griffith Univ, Cities Res Inst, Gold Coast, Qld, Australia.</t>
  </si>
  <si>
    <t>o.meynecke@griffith.edu.au</t>
  </si>
  <si>
    <t>Samanta, Saumik/GYQ-8988-2022; Vichi, Marcello/B-8719-2008</t>
  </si>
  <si>
    <t>Mackey, Brendan/0000-0003-1996-4064; SAMANTA, SAUMIK/0000-0002-6901-0747; de Bie, Jasper/0000-0002-8371-4089; Vichi, Marcello/0000-0002-0686-9634</t>
  </si>
  <si>
    <t>10.3389/fmars.2023.1117409</t>
  </si>
  <si>
    <t>J1UV8</t>
  </si>
  <si>
    <t>WOS:001007541400001</t>
  </si>
  <si>
    <t>Wang, HM; Ren, LY; Liang, YT; Zheng, KY; Guo, RZ; Liu, YD; Wang, ZY; Han, Y; Zhang, XR; Shao, HB; Sung, YY; Mok, WJ; Wong, LL; McMinn, A; Wang, M</t>
  </si>
  <si>
    <t>Wang, Hongmin; Ren, Linyi; Liang, Yantao; Zheng, Kaiyang; Guo, Ruizhe; Liu, Yundan; Wang, Ziyue; Han, Ying; Zhang, Xinran; Shao, Hongbing; Sung, Yeong Yik; Mok, Wen Jye; Wong, Li Lian; McMinn, Andrew; Wang, Min</t>
  </si>
  <si>
    <t>Psychrobacter Phage Encoding an Antibiotics Resistance Gene Represents a Novel Caudoviral Family</t>
  </si>
  <si>
    <t>MICROBIOLOGY SPECTRUM</t>
  </si>
  <si>
    <t>Psychrobacter phage; genomic and comparative genomic analysis; phylogenetic analysis; MarR2 family; Minviridae</t>
  </si>
  <si>
    <t>CRYSTAL-STRUCTURE; PSYCHROPHILIC BACTERIA; SP NOV.; PROTEIN; VIRUSES; INITIATION; REDUCTASE; IMMOBILIS; MECHANISM; FAECALIS</t>
  </si>
  <si>
    <t>Psychrobacter is an important bacterial genus that is widespread in Antarctic and marine environments. However, to date, only two complete Psychrobacter phage sequences have been deposited in the NCBI database. Here, the novel Psychrobacter phage vB_PmaS_Y8A, infecting Psychrobacter HM08A, was isolated from sewage in the Qingdao area, China. The morphology of vB_PmaS_Y8A was characterized by transmission electron microscopy, revealing an icosahedral head and long tail. The genomic sequence of vB_PmaS_Y8A is linear, double-stranded DNA with a length of 40,226 bp and 44.1% G+C content, and encodes 69 putative open reading frames. Two auxiliary metabolic genes (AMGs) were identified, encoding phosphoadenosine phosphosulfate reductase and MarR protein. The first AMG uses thioredoxin as an electron donor for the reduction of phosphoadenosine phosphosulfate to phosphoadenosine phosphate. MarR regulates multiple antibiotic resistance mechanisms in Escherichia coli and is rarely found in viruses. No tRNA genes were identified and no lysogeny-related feature genes were detected. However, many similar open reading frames (ORFs) were found in the host genome, which may indicate that Y8A also has a lysogenic stage. Phylogenetic analysis based on the amino acid sequences of whole genomes and comparative genomic analysis indicate that vB_PmaS_Y8A contains a novel genomic architecture similar only to that of Psychrobacter phage pOW20-A, although at a low similarity. vB_PmaS_Y8A represents a new family-level virus cluster with 22 metagenomic assembled viral genomes, here named Minviridae.IMPORTANCE Although Psychrobacter is a well-known and important bacterial genus that is widespread in Antarctic and marine environments, genetic characterization of its phages is still rare. This study describes a novel Psychrobacter phage containing an uncharacterized antibiotic resistance gene and representing a new virus family, Minviridae. The characterization provided here will bolster current understanding of genomes, diversity, evolution, and phage-host interactions in Psychrobacter populations. Although Psychrobacter is a well-known and important bacterial genus that is widespread in Antarctic and marine environments, genetic characterization of its phages is still rare. This study describes a novel Psychrobacter phage containing an uncharacterized antibiotic resistance gene and representing a new virus family, Minviridae. The characterization provided here will bolster current understanding of genomes, diversity, evolution, and phage-host interactions in Psychrobacter populations.</t>
  </si>
  <si>
    <t>[Wang, Hongmin; Ren, Linyi; Liang, Yantao; Zheng, Kaiyang; Guo, Ruizhe; Liu, Yundan; Wang, Ziyue; Han, Ying; Zhang, Xinran; Shao, Hongbing; McMinn, Andrew; Wang, Min] Ocean Univ China, Inst Evolut &amp; Marine Biodivers, Coll Marine Life Sci, Frontiers Sci Ctr Deep Ocean Multispheres &amp; Earth, Qingdao, Peoples R China; [Liang, Yantao; Shao, Hongbing; Sung, Yeong Yik; Mok, Wen Jye; Wong, Li Lian; Wang, Min] UMT OUC Joint Ctr Marine Studies, Qingdao, Peoples R China; [Sung, Yeong Yik; Mok, Wen Jye; Wong, Li Lian] Univ Malaysia Terengganu, Inst Marine Biotechnol, Kuala Terengganu, Malaysia; [McMinn, Andrew] Univ Tasmania, Inst Marine &amp; Antarctic Studies, Hobart, Tas, Australia; [Wang, Min] Ocean Univ China, Haide Coll, Qingdao, Peoples R China; [Wang, Min] Qingdao Univ, Affiliated Hosp, Qingdao, Peoples R China</t>
  </si>
  <si>
    <t>Liang, YT; Wang, M (corresponding author), Ocean Univ China, Inst Evolut &amp; Marine Biodivers, Coll Marine Life Sci, Frontiers Sci Ctr Deep Ocean Multispheres &amp; Earth, Qingdao, Peoples R China.;Liang, YT; Wang, M (corresponding author), UMT OUC Joint Ctr Marine Studies, Qingdao, Peoples R China.;Wang, M (corresponding author), Ocean Univ China, Haide Coll, Qingdao, Peoples R China.;Wang, M (corresponding author), Qingdao Univ, Affiliated Hosp, Qingdao, Peoples R China.</t>
  </si>
  <si>
    <t>wang, wenjing/KEH-0575-2024; Li, Bo/KHX-7246-2024; Li, Kexin/KAO-2519-2024; yu, zhang/JWO-7724-2024; chen, xiao/KFQ-6812-2024; Wang, Xin/KGK-9099-2024; wang, wei/JYP-7819-2024; liu, zhao/KGM-5884-2024; yang, ying/KHW-9378-2024; Chen, YiJun/KFS-9282-2024; Pan, Yue/KFS-4602-2024; JIANG, Peng/KGL-3427-2024; ZHANG, JING/KHY-1073-2024; WONG, LI LIAN/ABE-1887-2022; Wang, Yu/KGL-3101-2024; zhang, zheng/KHY-8870-2024; CUI, XU/JYO-8134-2024; Wen, Jing/KCL-6614-2024; yang, zhou/KBB-6972-2024; Han, Yang/JVN-5921-2024; Wang, Min/AFR-9645-2022; li, jixiang/JXN-7599-2024; Mok, Wen Jye/AAF-9229-2019; Liu, Xiaohan/KBB-4246-2024; chen, bin/KBQ-8114-2024</t>
  </si>
  <si>
    <t>Wang, Xin/0009-0004-7428-3071; Wang, Min/0000-0002-2357-589X; Mok, Wen Jye/0000-0002-7629-8312; Liu, Xiaohan/0009-0009-5291-2494; chen, bin/0000-0002-3398-1314; Yeong, Yik Sung/0000-0001-5897-9037; liang, yan tao/0000-0002-2477-8197</t>
  </si>
  <si>
    <t>Pilot National Laboratory for Marine Science and Technology (Qingdao) [LSKJ202203201]; National Key Research and Development Program of China [2022YFC2807500]; Natural Science Foundation of China [41976117, 42120104006, 42176111, 42188102]; Fundamental Research Funds for the Central Universities [202172002, 201812002, 202072001]; Laoshan Laboratory [LSKJ202203201]; National Key Research and Development Program of China [2022YFC2807500]; Natural Science Foundation of China [41976117, 42120104006, 42176111, 42188102]; Fundamental Research Funds for the Central Universities [202172002, 201812002, 202072001]</t>
  </si>
  <si>
    <t>Pilot National Laboratory for Marine Science and Technology (Qingdao); National Key Research and Development Program of China; Natural Science Foundation of China(National Natural Science Foundation of China (NSFC)); Fundamental Research Funds for the Central Universities(Fundamental Research Funds for the Central Universities); Laoshan Laboratory; National Key Research and Development Program of China; Natural Science Foundation of China(National Natural Science Foundation of China (NSFC)); Fundamental Research Funds for the Central Universities(Fundamental Research Funds for the Central Universities)</t>
  </si>
  <si>
    <t>We thank the support of the high-performance server of the Center for High Performance Computing and System Simulation, Pilot National Laboratory for Marine Science and Technology (Qingdao); the computing resources provided by IEMB-1, a high-performance computing cluster operated by the Institute of Evolution and Marine Biodiversity; and the Marine Big Data Center at the Institute for Advanced Ocean Study of Ocean University in China.We declare that we have no conflicts of interest regarding this study.This work was supported by the Laoshan Laboratory (no. LSKJ202203201), the National Key Research and Development Program of China (no. 2022YFC2807500), Natural Science Foundation of China (no. 41976117, 42120104006, 42176111, and 42188102), and the Fundamental Research Funds for the Central Universities (no. 202172002, 201812002, 202072001 and Andrew McMinn).</t>
  </si>
  <si>
    <t>2165-0497</t>
  </si>
  <si>
    <t>MICROBIOL SPECTR</t>
  </si>
  <si>
    <t>Microbiol. Spectr.</t>
  </si>
  <si>
    <t>10.1128/spectrum.05335-22</t>
  </si>
  <si>
    <t>W8TH0</t>
  </si>
  <si>
    <t>WOS:001000550600001</t>
  </si>
  <si>
    <t>Min, KYW; Sulaiman, S; Lee, H; Kang, P; Yoon, YJ; Lee, H</t>
  </si>
  <si>
    <t>Min, Kyungwon; Sulaiman, Syahril; Lee, Hyodong; Kang, Pilsung; Yoon, Young-Jun; Lee, Hyoungseok</t>
  </si>
  <si>
    <t>The complete mitochondrial genome of an Antarctic moss, Andreaea regularis Mull. Hal. 1890 (Andreaeaceae)</t>
  </si>
  <si>
    <t>MITOCHONDRIAL DNA PART B-RESOURCES</t>
  </si>
  <si>
    <t>Andreaeales; bryophyte; mitogenome; phylogeny; rock moss</t>
  </si>
  <si>
    <t>EVOLUTION; SEQUENCE; MODEL</t>
  </si>
  <si>
    <t>In the present study, we determined the complete mitochondrial genome of Andreaea regularis Mull. Hal. 1890, a lantern moss of the genus Andreaea Hedw. (Andreaeaceae). The A. regularis mitochondrial genome, with a total length of 118,833 bp, consists of 40 protein-coding genes, 3 ribosomal RNA genes, and 24 transfer RNA genes. A phylogenetic tree constructed with 19 complete mitochondrial genomes composed of liverworts, hornworts, and 15 mosses showed that Andreaeales formed the closest sister to Sphagnales before divergence of the remaining moss groups, indicating A. regularis being one of the earliest mosses. Our findings could be beneficial to investigate the bryophyte evolution.</t>
  </si>
  <si>
    <t>[Min, Kyungwon; Sulaiman, Syahril; Lee, Hyodong; Kang, Pilsung; Lee, Hyoungseok] Korea Polar Res Inst, Div Life Sci, Incheon, South Korea; [Sulaiman, Syahril; Lee, Hyoungseok] Univ Sci &amp; Technol, Polar Sci, Incheon, South Korea; [Yoon, Young-Jun] Natl Inst Ecol, Res Ctr Endangered Species, Yeongyang, South Korea</t>
  </si>
  <si>
    <t>Korea Polar Research Institute (KOPRI); National Institute of Ecology</t>
  </si>
  <si>
    <t>Lee, H (corresponding author), Korea Polar Res Inst, Div Life Sci, Incheon, South Korea.</t>
  </si>
  <si>
    <t>soulaid@kopri.re.kr</t>
  </si>
  <si>
    <t>Korea Polar Research Institute - Ministry of Oceans and Fisheries [KOPRI PE23130]</t>
  </si>
  <si>
    <t>Korea Polar Research Institute - Ministry of Oceans and Fisheries</t>
  </si>
  <si>
    <t>This work was supported by Korea Polar Research Institute grant funded by the Ministry of Oceans and Fisheries [KOPRI PE23130].</t>
  </si>
  <si>
    <t>2380-2359</t>
  </si>
  <si>
    <t>MITOCHONDRIAL DNA B</t>
  </si>
  <si>
    <t>Mitochondrial DNA Part B-Resour.</t>
  </si>
  <si>
    <t>JUN 3</t>
  </si>
  <si>
    <t>10.1080/23802359.2023.2226258</t>
  </si>
  <si>
    <t>K1UV0</t>
  </si>
  <si>
    <t>WOS:001014372800001</t>
  </si>
  <si>
    <t>Celis, JE; Espejo, W; Chiang, G; Kitamura, D; Kashiwada, S; O'Driscoll, NJ</t>
  </si>
  <si>
    <t>Celis, Jose E.; Espejo, Winfred; Chiang, Gustavo; Kitamura, Daiki; Kashiwada, Shosaku; O'Driscoll, Nelson J.</t>
  </si>
  <si>
    <t>Concentration of fifty-six elements in excreta of penguins from the Antarctic Peninsula area</t>
  </si>
  <si>
    <t>Seabirds; REEs; Heavy metals; Excrement; Trace elements; Emerging contaminants; Southern Hemisphere</t>
  </si>
  <si>
    <t>RARE-EARTH-ELEMENTS; TRACE-METALS; SPHENISCUS-HUMBOLDTI; DIFFERENT LOCATIONS; ADELIE PENGUINS; ACCUMULATION; SOIL; BIOMAGNIFICATION; CONTAMINATION; SEA</t>
  </si>
  <si>
    <t>Seabird feces as indicators of the exposure to environmental contaminants have been studied worldwide. Pen-guins are indicator species for marine pollution, but their role as biovectors of rare earth elements (REEs) to ecosystems have been little studied. The present study quantified the concentration of REEs and trace elements (TEs) in feces of gentoo penguin (Pygoscelis papua). Adult penguin excreta from Fildes Bay (King George Island) and Yelcho Base (Palmer Archipelago) were collected and then analyzed by ICP-MS. Among REEs, levels ranged from 0.0038 to 1.02 &amp; mu;g g-1 d.w. for Lu and Ce, respectively. For TEs, the levels varied widely through the sample set, with Al, Fe, Sr, Zn and Ti as the highest mean levels, particularly at Fildes Bay. The data show that gentoo penguins act as a biovector organism by transporting TEs and REEs from the sea to land via excreta, reaffirming that this species acts as an important biovector organism in Antarctic ecosystems. The potential impacts of this process on Antarctic ecosystems needs further research.</t>
  </si>
  <si>
    <t>[Celis, Jose E.] Univ Concepcion, Fac Ciencias Vet, Dept Anim Sci, Ave Vicente Mendez 595, Chillan, Chile; [Espejo, Winfred] Univ Concepcion, Fac Agron, Soils &amp; Nat Resources Dept, Ave Vicente Mendez 595, Chillan, Chile; [Chiang, Gustavo] Univ Andres Bello, Fac Ciencias Vida, Sustainabil Res Ctr, Ecol &amp; Biodivers Dept, Santiago, Chile; [Kitamura, Daiki; Kashiwada, Shosaku] Toyo Univ, Res Ctr Life &amp; Environm Sci, Oura 3740193, Japan; [O'Driscoll, Nelson J.] Acadia Univ, Dept Earth &amp; Environm Sci, Wolfville, NS, Canada</t>
  </si>
  <si>
    <t>Universidad de Concepcion; Universidad de Concepcion; Universidad Andres Bello; Toyo University; Acadia University</t>
  </si>
  <si>
    <t>Espejo, W (corresponding author), Univ Concepcion, Fac Agron, Soils &amp; Nat Resources Dept, Ave Vicente Mendez 595, Chillan, Chile.</t>
  </si>
  <si>
    <t>winfredespejo@udec.cl</t>
  </si>
  <si>
    <t>Chiang, Gustavo/0000-0003-4504-355X; CELIS, JOSE E./0000-0002-2458-1239</t>
  </si>
  <si>
    <t>ANID (Chile) through the postdoctoral project FONDECYT [3200302]; FONDECYT [1161504, 1221348]</t>
  </si>
  <si>
    <t>ANID (Chile) through the postdoctoral project FONDECYT; FONDECYT(Comision Nacional de Investigacion Cientifica y Tecnologica (CONICYT)CONICYT FONDECYT)</t>
  </si>
  <si>
    <t>This study was possible due to the financial support from ANID (Chile) through the postdoctoral project FONDECYT 3200302 (W. Espejo) , and FONDECYT Regular 1161504 &amp; amp; 1221348 (G. Chiang) . Also, many thanks are due to Diane Haughney for improving the language of the manuscript, as well as to the reviewers for their useful observations.</t>
  </si>
  <si>
    <t>10.1016/j.marpolbul.2023.115133</t>
  </si>
  <si>
    <t>K0PD5</t>
  </si>
  <si>
    <t>WOS:001013545400001</t>
  </si>
  <si>
    <t>Chaabane, S; de Garidel-Thoron, T; Giraud, X; Schiebel, R; Beaugrand, G; Brummer, GJ; Casajus, N; Greco, M; Grigoratou, M; Howa, H; Jonkers, L; Kucera, M; Kuroyanagi, A; Meilland, J; Monteiro, F; Mortyn, G; Almogi-Labin, A; Asahi, H; Avnaim-Katav, S; Bassinot, F; Davis, CV; Field, DB; Hernández-Almeida, I; Herut, B; Hosie, G; Howard, W; Jentzen, A; Johns, DG; Keigwin, L; Kitchener, J; Kohfeld, KE; Lessa, DVO; Manno, C; Marchant, M; Ofstad, S; Ortiz, JD; Post, A; Rigual-Hernandez, A; Rillo, MC; Robinson, K; Sagawa, T; Sierro, F; Takahashi, KT; Torfstein, A; Venancio, I; Yamasaki, M; Ziveri, P</t>
  </si>
  <si>
    <t>Chaabane, Sonia; de Garidel-Thoron, Thibault; Giraud, Xavier; Schiebel, Ralf; Beaugrand, Gregory; Brummer, Geert-Jan; Casajus, Nicolas; Greco, Mattia; Grigoratou, Maria; Howa, Helene; Jonkers, Lukas; Kucera, Michal; Kuroyanagi, Azumi; Meilland, Julie; Monteiro, Fanny; Mortyn, Graham; Almogi-Labin, Ahuva; Asahi, Hirofumi; Avnaim-Katav, Simona; Bassinot, Franck; Davis, Catherine V.; Field, David B.; Hernandez-Almeida, Ivan; Herut, Barak; Hosie, Graham; Howard, Will; Jentzen, Anna; Johns, David G.; Keigwin, Lloyd; Kitchener, John; Kohfeld, Karen E.; Lessa, Douglas V. O.; Manno, Clara; Marchant, Margarita; Ofstad, Siri; Ortiz, Joseph D.; Post, Alexandra; Rigual-Hernandez, Andres; Rillo, Marina C.; Robinson, Karen; Sagawa, Takuya; Sierro, Francisco; Takahashi, Kunio T.; Torfstein, Adi; Venancio, Igor; Yamasaki, Makoto; Ziveri, Patrizia</t>
  </si>
  <si>
    <t>The FORCIS database: A global census of planktonic Foraminifera from ocean waters</t>
  </si>
  <si>
    <t>OXYGEN ISOTOPIC COMPOSITION; NORTHWESTERN NORTH PACIFIC; SEASONAL FLUX PATTERNS; SEDIMENT-TRAP; VERTICAL-DISTRIBUTION; POPULATION-DYNAMICS; NEOGLOBOQUADRINA-PACHYDERMA; INTERANNUAL CHANGES; SOUTH ATLANTIC; DEPTH HABITAT</t>
  </si>
  <si>
    <t>Planktonic Foraminifera are unique paleo-environmental indicators through their excellent fossil record in ocean sediments. Their distribution and diversity are affected by different environmental factors including anthropogenically forced ocean and climate change. Until now, historical changes in their distribution have not been fully assessed at the global scale. Here we present the FORCIS (Foraminifera Response to Climatic Stress) database on foraminiferal species diversity and distribution in the global ocean from 1910 until 2018 including published and unpublished data. The FORCIS database includes data collected using plankton tows, continuous plankton recorder, sediment traps and plankton pump, and contains similar to 22,000, similar to 157,000, similar to 9,000, similar to 400 subsamples, respectively (one single plankton aliquot collected within a depth range, time interval, size fraction range, at a single location) from each category. Our database provides a perspective of the distribution patterns of planktonic Foraminifera in the global ocean on large spatial (regional to basin scale, and at the vertical scale), and temporal (seasonal to interdecadal) scales over the past century.</t>
  </si>
  <si>
    <t>[Chaabane, Sonia; de Garidel-Thoron, Thibault; Giraud, Xavier] Aix Marseille Univ, CNRS, IRD, INRAE,CEREGE, Aix En Provence, France; [Chaabane, Sonia; Schiebel, Ralf] Max Planck Inst Chem, Dept Climate Geochem, Mainz, Germany; [Chaabane, Sonia; Casajus, Nicolas] Fdn Rech Biodivers FRB CESAB, Montpellier, France; [Beaugrand, Gregory] Univ Lille, Univ Littoral Cote Opale, CNRS, Lab Oceanol &amp; Geosci,LOG,UMR 8187, Wimereux, France; [Brummer, Geert-Jan] Royal Netherlands Inst Sea Res, Dept Ocean Syst, NIOZ, Texel, Netherlands; [Greco, Mattia] Polish Acad Sci, Inst Oceanol, Sopot, Poland; [Grigoratou, Maria] Mercator Ocean Int, Toulouse, France; [Howa, Helene] Univ Angers, LPG BIAF, UMR CNRS 6112, Angers, France; [Jonkers, Lukas; Kucera, Michal; Meilland, Julie] Univ Bremen, Ctr Marine Environm Sci, MARUM, Bremen, Germany; [Kuroyanagi, Azumi] Tohoku Univ, Tohoku Univ Museum, Miyagi, Japan; [Monteiro, Fanny] Univ Bristol, Sch Geog Sci, BRIDGE, Bristol, England; [Mortyn, Graham; Ziveri, Patrizia] Univ Autonoma Barcelona, ICTA &amp; Dept Geog, Barcelona, Spain; [Almogi-Labin, Ahuva] Geol Survey Israel, IL-9692100 Jerusalem, Israel; [Asahi, Hirofumi] Fukui Prefectural Satoyama Satoumi Res Inst, 22-12-1,Torihama,Wakasa, Fukui 9191331, Japan; [Avnaim-Katav, Simona; Herut, Barak] Israel Oceanog &amp; Limnol Res, IL-31080 Haifa, Israel; [Bassinot, Franck] Domaine CNRS, Lab Sci Climat &amp; Environm, F-91198 Gif Sur Yvette, France; [Davis, Catherine V.] North Carolina State Univ, Dept Marine Earth &amp; Atmospher Sci, Raleigh, NC USA; [Field, David B.] Hawaii Pacific Univ, Dept Nat &amp; Computat Sci, Kaneohe, HI 96744 USA; [Hernandez-Almeida, Ivan] Swiss Fed Inst Technol, Geol Inst, Dept Earth Sci, Zurich, Switzerland; [Hosie, Graham] SCAR life Sci, Formerly Australian Antarctic Div, Dept Environm, 203 Channel Highwa, Kingston, Tas 7050, Australia; [Howard, Will] Australian Natl Univ, Climate Change Inst, Canberra, ACT, Australia; [Jentzen, Anna] GEOMAR Helmholtz Ctr Ocean Res Kiel, D-24148 Kiel, Germany; [Johns, David G.] Marine Biol Assoc UK, The Lab, Citadel Hill Plymouth, Plymouth PL1 2PB, Devon, England; [Keigwin, Lloyd] Woods Hole Oceanog Inst, Woods Hole, MA 02543 USA; [Kitchener, John] Australian Antarctic Div, Dept Climate Change Energy Environm &amp; Water, Kingston, Tas 7050, Australia; [Kohfeld, Karen E.] Simon Fraser Univ, Sch Resource &amp; Environm Management, Burnaby, BC, Canada; [Kohfeld, Karen E.] Simon Fraser Univ, Sch Environm Sci, Vancouver, BC, Canada; [Lessa, Douglas V. O.] Univ Fed Fluminense, Programa Posgrad Geoquim Ambiental, 24-020-141, Rio Janiero, Niteroi, Brazil; [Manno, Clara] British Antarctic Survey, High Cross,Madingley Rd, Cambridge CB3 0ET, Cambs, England; [Marchant, Margarita] Univ Concepcion, Dept Zool, Concepcion, Chile; [Ofstad, Siri] Arctic Univ Norway, Ctr Arctic Gas Hydrate Environm &amp; Climate, Dept Geosci, UiT, Tromso, Norway; [Ortiz, Joseph D.] Oregon State Univ, Coll Ocean &amp; Atmospher Sci, Corvallis, OR USA; [Post, Alexandra] Geosci Australia, GPO Box 378, Canberra, ACT 2601, Australia; [Rigual-Hernandez, Andres] Univ Salamanca, Geol Dept Paleontol, Salamanca, Spain; [Rillo, Marina C.] Carl von Ossietzky Univ Oldenburg, Inst Chem &amp; Biol Marine Environm, ICBM, Wilhelmshaven, Germany; [Robinson, Karen] NIWA, Christchurch, New Zealand; [Sagawa, Takuya] Kanazawa Univ, Kanazawa, Ishikawa 9201192, Japan; [Sierro, Francisco] Univ Salamanca, Dept Geol, Salamanca 37008, Spain; [Takahashi, Kunio T.] Natl Inst Polar Res, Tachikawa, Japan; [Torfstein, Adi] Hebrew Univ Jerusalem, Fredy &amp; Nadine Herrmann Inst Earth Sci, IL-91904 Jerusalem, Israel; [Torfstein, Adi] Interuniv Inst Marine Sci, IL-88103 Elat, Israel; [Venancio, Igor] Univ Fed Fluminense, Programa Geociencias Geoquim, Niteroi, Brazil; [Yamasaki, Makoto] Akita Univ, Grad Sch Int Resource Sci, Dept Earth Resource Sci, 1-1 Tegata Gakuencho, Akita 0108502, Japan; [Ziveri, Patrizia] Catalan Inst Res &amp; Adv Studies ICREA, Barcelona, Spain</t>
  </si>
  <si>
    <t>Centre National de la Recherche Scientifique (CNRS); Institut de Recherche pour le Developpement (IRD); INRAE; Aix-Marseille Universite; Max Planck Society; Universite du Littoral-Cote-d'Opale; Centre National de la Recherche Scientifique (CNRS); CNRS - National Institute for Earth Sciences &amp; Astronomy (INSU); Universite de Lille; Utrecht University; Royal Netherlands Institute for Sea Research (NIOZ); Polish Academy of Sciences; Institute of Oceanology of the Polish Academy of Sciences; Universite d'Angers; Centre National de la Recherche Scientifique (CNRS); University of Bremen; Tohoku University; University of Bristol; Autonomous University of Barcelona; Geological Survey Israel; Israel Oceanographic &amp; Limnological Research Institute; CEA; Centre National de la Recherche Scientifique (CNRS); Universite Paris Saclay; North Carolina State University; Swiss Federal Institutes of Technology Domain; ETH Zurich; Australian National University; Helmholtz Association; GEOMAR Helmholtz Center for Ocean Research Kiel; Marine Biological Association United Kingdom; Woods Hole Oceanographic Institution; Australian Antarctic Division; Simon Fraser University; Simon Fraser University; Universidade Federal Fluminense; UK Research &amp; Innovation (UKRI); Natural Environment Research Council (NERC); NERC British Antarctic Survey; Universidad de Concepcion; UiT The Arctic University of Tromso; Oregon State University; Geoscience Australia; University of Salamanca; Carl von Ossietzky Universitat Oldenburg; National Institute of Water &amp; Atmospheric Research (NIWA) - New Zealand; Kanazawa University; University of Salamanca; Research Organization of Information &amp; Systems (ROIS); National Institute of Polar Research (NIPR) - Japan; Hebrew University of Jerusalem; Universidade Federal Fluminense; Akita University; ICREA</t>
  </si>
  <si>
    <t>Chaabane, S (corresponding author), Aix Marseille Univ, CNRS, IRD, INRAE,CEREGE, Aix En Provence, France.;Chaabane, S (corresponding author), Max Planck Inst Chem, Dept Climate Geochem, Mainz, Germany.;Chaabane, S (corresponding author), Fdn Rech Biodivers FRB CESAB, Montpellier, France.</t>
  </si>
  <si>
    <t>chaabane@cerege.fr</t>
  </si>
  <si>
    <t>Venancio, Igor M/I-5893-2014; ALMEIDA, IVAN HERNANDEZ/G-3134-2015; Torfstein, Adi/C-5816-2017; Jonkers, Lukas/H-6314-2011; Ziveri, Patrizia/I-3856-2015; KUROYANAGI, Azumi/H-2408-2015; Greco, Mattia/HOF-9207-2023; de Garidel-Thoron, Thibault/B-1204-2008</t>
  </si>
  <si>
    <t>Venancio, Igor M/0000-0003-3118-4247; ALMEIDA, IVAN HERNANDEZ/0000-0002-9329-8357; Ziveri, Patrizia/0000-0002-5576-0301; KUROYANAGI, Azumi/0000-0003-2997-4864; Greco, Mattia/0000-0003-2416-6235; Chaabane, Sonia/0000-0002-4653-8610; Casajus, Nicolas/0000-0002-5537-5294; de Garidel-Thoron, Thibault/0000-0001-8983-9571; Schiebel, Ralf/0000-0002-6252-7647; Davis, Catherine/0000-0003-4279-5369; Herut, Barak/0000-0002-7093-8753; Kitchener, John/0000-0003-4642-3044</t>
  </si>
  <si>
    <t>synthesis center CESAB of the French Foundation for Research on Biodiversity (FRB); INSU LEFE program; Max Planck Institute for Chemistry (MPIC) in Mainz</t>
  </si>
  <si>
    <t>This research is a product of the FORCIS group funded by the synthesis center CESAB of the French Foundation for Research on Biodiversity (FRB; www.fondationbiodiversite.fr) and co-funded by INSU LEFE program, and the Max Planck Institute for Chemistry (MPIC) in Mainz. We appreciate the help of all data providers and modelers who contributed in designing and building the FORCIS database, especially Marine Courtois and Romain Suarez thanks to the Labex OT-Med/Institut ITEM. We thank the editor and two reviewers for their helpful feedback on a previous version of this manuscript.</t>
  </si>
  <si>
    <t>10.1038/s41597-023-02264-2</t>
  </si>
  <si>
    <t>I0TM2</t>
  </si>
  <si>
    <t>WOS:000999987300002</t>
  </si>
  <si>
    <t>O'Neil, EWMK; Frankish, CK; Phillips, RA</t>
  </si>
  <si>
    <t>O'Neil, Eleanor W. M. Kowalska; Frankish, Caitlin K. K.; Phillips, Richard A. A.</t>
  </si>
  <si>
    <t>Rafting behaviour of albatrosses and petrels at South Georgia</t>
  </si>
  <si>
    <t>Seabird; Tracking; Behaviour; Rafting</t>
  </si>
  <si>
    <t>WHITE-CHINNED PETRELS; COLONY ATTENDANCE PATTERNS; BLACK-BROWED ALBATROSSES; PROCELLARIA-AEQUINOCTIALIS; PROVISIONING STRATEGIES; FORAGING ECOLOGY; LINNAEUS 1758; SEABIRDS; SPECIALIZATION; CONSERVATION</t>
  </si>
  <si>
    <t>Seabirds often spend time on the water in the vicinity of their breeding colonies at the start or end of foraging trips, which may be for bathing, social interaction, information transfer, or to reduce predation risk for small petrels that prefer to return to land in darkness. Although such behaviour (hereafter rafting) is common, there are few data on variation in its incidence or timing across species, or analyses of relationships with intrinsic or extrinsic factors such as breeding stage (reflecting central-place foraging constraints) or weather. Here, we use GPS and immersion data collected over multiple years at Bird Island, South Georgia, to investigate rafting behaviour of four albatross and one burrow-nesting petrel species. Nearly all tracked birds (89%) landed within 10 km of the colony at the start of foraging trips for similar to 30 min, whereas only 17% did so at the end, suggesting they likely use rafting mainly for plumage maintenance after extended breeding shifts on land. Rafting duration, distance and bearing from the colony varied markedly according to species, wind speeds and period of the day (daylight vs. darkness), which may reflect differences in foraging direction, time constraints, degree of plumage soiling, diel activity patterns, or the requirement for high wind speeds for efficient flight. Given that all the study populations are decreasing, and most individuals make extensive use of nearshore waters during the breeding season, effective marine spatial planning is required that eliminates or mitigates human risks around their colonies.</t>
  </si>
  <si>
    <t>[O'Neil, Eleanor W. M. Kowalska] Univ York, Dept Environm &amp; Geog, York, England; [Frankish, Caitlin K. K.] Aarhus Univ, Dept Ecosci, Frederiskborgvej 399, DK-4000 Roskilde, Denmark; [Frankish, Caitlin K. K.; Phillips, Richard A. A.] NERC, British Antarctic Survey, Madingley Rd, Cambridge CB3 0ET, England</t>
  </si>
  <si>
    <t>University of York - UK; Aarhus University; UK Research &amp; Innovation (UKRI); Natural Environment Research Council (NERC); NERC British Antarctic Survey</t>
  </si>
  <si>
    <t>Frankish, CK (corresponding author), Aarhus Univ, Dept Ecosci, Frederiskborgvej 399, DK-4000 Roskilde, Denmark.;Frankish, CK (corresponding author), NERC, British Antarctic Survey, Madingley Rd, Cambridge CB3 0ET, England.</t>
  </si>
  <si>
    <t>ckf@ecos.au.dk</t>
  </si>
  <si>
    <t>Frankish, Caitlin Kim/0000-0002-4930-6153</t>
  </si>
  <si>
    <t>10.1007/s00300-023-03146-4</t>
  </si>
  <si>
    <t>J3KO3</t>
  </si>
  <si>
    <t>WOS:000998660700001</t>
  </si>
  <si>
    <t>Mehta, SK; Diak, DM; Rooney, BV; Krieger, SS; Nelman-Gonzalez, M; Locke, JP; Nagel, MA; Young, M; Crucian, BE</t>
  </si>
  <si>
    <t>Mehta, Satish K.; Diak, Douglass M.; Rooney, Bridgette V.; Krieger, Stephanie S.; Nelman-Gonzalez, Mayra; Locke, James P.; Nagel, Maria A.; Young, Millennia; Crucian, Brian E.</t>
  </si>
  <si>
    <t>Antiviral treatment with valacyclovir reduces virus shedding in saliva of Antarctic expeditioners</t>
  </si>
  <si>
    <t>FRONTIERS IN VIROLOGY</t>
  </si>
  <si>
    <t>antiviral; herpes viruses; Antarctic; countermeasure; valacyclovir HCl</t>
  </si>
  <si>
    <t>VARICELLA-ZOSTER-VIRUS; REACTIVATION; STRESS</t>
  </si>
  <si>
    <t>Introduction Reactivation of herpes viruses, such as Epstein-Barr virus (EBV), herpes simplex virus 1 (HSV1), and varicella zoster virus (VZV), increases in astronauts during spaceflight, compared with their preflight and postflight levels. Reactivations can increase the risk of associated clinical conditions, such as herpes zoster, chronic neuropathic pain, vision loss, stroke, cognitive impairment, and cold sores. Furthermore, continued viral shedding for longer periods after space travel may increase the risk of viral transmission to uninfected crew contacts, including, but not limited to, the immunocompromised and newborn infants. Thus, it is essential to develop spaceflight countermeasures to prevent herpes viral reactivations to ensure the health of crewmembers and their contacts. One such countermeasure is the prophylactic administration of an antiviral drug (valacyclovir) against the alpha herpesviruses (VZV and HSV1). To determine the effectiveness of this countermeasure, we studied the shedding of EBV, VZV, and HSV1 in Antarctic expeditioners, who have similar salivary viral shedding patterns during winter-over to astronauts during long spaceflights.Methods The efficacy of this antiviral drug as a countermeasure was determined using three major parameters in the saliva of expeditioners during winter-over with and without administration of this drug: (i) viral load and frequency, (ii) physiological stress biomarkers [i.e., levels of cortisol, dehydroepiandrosterone (DHEA), and amylase), and (iii) immune markers (i.e., inflammatory cytokines)]. Thirty-two volunteers from two Antarctic stations (McMurdo and South Pole) participated in this study. Participants were randomly assigned to either the treatment group (valacyclovir HCl: 1 g/day) or placebo group (oyster calcium: 500mg/day).Results Viral shedding of EBV reduced significantly (&gt; 24-fold) in the treatment group compared with the placebo group. HSV1 was also reduced by more than fivefold, but this was not statistically significant. No VZV shedding was observed in any of the participants. In the placebo group 50% of the saliva samples had measurable viral DNA (EBV, HSV1, or both), compared with 19% of the treatment group. There was no significant change in the ratio of cortisol to DHEA or levels of alpha-amylase, indicating that physiological stress was similar between the groups. No difference was detected in levels of salivary cytokines, except IL-10, which was found in significantly lower levels in the treatment group.Discussion These data indicate that valacyclovir is a safe and successful intervention to reduce EBV and HSV1 shedding in individuals subjected to extreme environments and stressors.</t>
  </si>
  <si>
    <t>[Mehta, Satish K.] JES Tech, NASA JSC, Dept Immunol &amp; Virol, Houston, TX 77058 USA; [Diak, Douglass M.] Aegis Aerosp, NASA JSC, Dept Immunol &amp; Virol, Houston, TX USA; [Rooney, Bridgette V.] GeoControl, NASA JSC, Dept Immunol &amp; Virol, Houston, TX USA; [Krieger, Stephanie S.; Nelman-Gonzalez, Mayra] KBR, NASA JSC, Dept Immunol &amp; Virol, Houston, TX USA; [Locke, James P.; Young, Millennia; Crucian, Brian E.] NASA, NASA JSC, Dept Immunol &amp; Virol, Houston, TX USA; [Nagel, Maria A.] Univ Colorado, Sch Med, NASA JSC, Dept Immunol &amp; Virol, Aurora, CO USA</t>
  </si>
  <si>
    <t>National Aeronautics &amp; Space Administration (NASA); NASA Johnson Space Center; National Aeronautics &amp; Space Administration (NASA); NASA Johnson Space Center; National Aeronautics &amp; Space Administration (NASA); NASA Johnson Space Center; National Aeronautics &amp; Space Administration (NASA); NASA Johnson Space Center; National Aeronautics &amp; Space Administration (NASA); NASA Johnson Space Center; University of Colorado System; University of Colorado Anschutz Medical Campus; National Aeronautics &amp; Space Administration (NASA); NASA Johnson Space Center</t>
  </si>
  <si>
    <t>Mehta, SK (corresponding author), JES Tech, NASA JSC, Dept Immunol &amp; Virol, Houston, TX 77058 USA.</t>
  </si>
  <si>
    <t>satish.k.mehta@nasa.gov</t>
  </si>
  <si>
    <t>The study was funded by Human Research Program of NASA grant # 80JSC017N0001-OMNIBUS. Authors acknowledge the National Science Foundation and UTMB, Galveston, Texas staff for coordinating the study and the subjects who participated in the study at McMurdo [80JSC017N0001-OMNIBUS]; Human Research Program of NASA; National Science Foundation</t>
  </si>
  <si>
    <t>The study was funded by Human Research Program of NASA grant # 80JSC017N0001-OMNIBUS. Authors acknowledge the National Science Foundation and UTMB, Galveston, Texas staff for coordinating the study and the subjects who participated in the study at McMurdo; Human Research Program of NASA; National Science Foundation(National Science Foundation (NSF))</t>
  </si>
  <si>
    <t>The study was funded by Human Research Program of NASA grant # 80JSC017N0001-OMNIBUS. Authors acknowledge the National Science Foundation and UTMB, Galveston, Texas staff for coordinating the study and the subjects who participated in the study at McMurdo and South Pole Stations.</t>
  </si>
  <si>
    <t>2673-818X</t>
  </si>
  <si>
    <t>FRONT VIROL-LAUSANNE</t>
  </si>
  <si>
    <t>Front. Virol.</t>
  </si>
  <si>
    <t>JUN 2</t>
  </si>
  <si>
    <t>10.3389/fviro.2023.1157659</t>
  </si>
  <si>
    <t>W3DB7</t>
  </si>
  <si>
    <t>WOS:001090456300001</t>
  </si>
  <si>
    <t>Zhou, RJ; Wang, TY; Du, Y</t>
  </si>
  <si>
    <t>Zhou, Runjie; Wang, Tianyu; Du, Yan</t>
  </si>
  <si>
    <t>Analysis of the quasi-two-year variation of the Zapiola Anticyclone based on the reanalysis data and drifter trajectories</t>
  </si>
  <si>
    <t>Zapiola anticyclone; Vorticity budget; Drifter trajectories; Seamount</t>
  </si>
  <si>
    <t>ANTARCTIC CIRCUMPOLAR CURRENT; MULTIPLE OSCILLATORY MODES; LARGE-SCALE OSCILLATIONS; ARGENTINE BASIN; SURFACE CIRCULATION; SATELLITE ALTIMETRY; POLAR FRONTS; ARGO FLOATS; VARIABILITY; SOUTH</t>
  </si>
  <si>
    <t>Zapiola anticyclone (ZA) is an anticyclonic circulation trapped by a seamount about 1200 m in height named Zapiola Rise (ZR). The ZA is adjacent to energetic flows of the South Atlantic Ocean, such as the Brazil/Malvinas Confluence (BMC) and the Antarctic Circumpolar Circulation (ACC). The interplay among the circulations makes the dynamic processes of the ZA complex and variable. Based on the reanalysis data and drifter observations, this study mainly aims to investigate the influence of a strong flow field outside of the seamount on variations of the ZA. Results show that the vorticity of the ZA has a significant quasi-two-year variation, which is an independent eigenmode in the basin. The advection of the potential vorticity over the bottom topography from the southern boundary plays the most significant role in controlling the vorticity variations of the ZA. Drifter trajectories also confirm the importance of the flow field in the south of the seamount. The statistical results of the drifter trajectories show that the transport process of the southern boundary flow field has the most significant effect on the dynamic processes of the ZA. It is worth mentioning that the results obtained using the dataset of the reanalysis are limited by its validity in the region.</t>
  </si>
  <si>
    <t>[Zhou, Runjie; Wang, Tianyu; Du, Yan] Chinese Acad Sci, South China Sea Inst Oceanol, State Key Lab Trop Oceanog, Guangzhou, Peoples R China; [Zhou, Runjie; Wang, Tianyu; Du, Yan] Univ Chinese Acad Sci, Beijing, Peoples R China; [Wang, Tianyu; Du, Yan] Southern Marine Sci &amp; Engn Guangdong Lab Guangzhou, Guangzhou, Peoples R China</t>
  </si>
  <si>
    <t>Chinese Academy of Sciences; South China Sea Institute of Oceanology, CAS; Chinese Academy of Sciences; University of Chinese Academy of Sciences, CAS; Southern Marine Science &amp; Engineering Guangdong Laboratory; Southern Marine Science &amp; Engineering Guangdong Laboratory (Guangzhou)</t>
  </si>
  <si>
    <t>Wang, TY (corresponding author), Chinese Acad Sci, South China Sea Inst Oceanol, State Key Lab Trop Oceanog, Guangzhou, Peoples R China.</t>
  </si>
  <si>
    <t>wangty@scsio.ac.cn</t>
  </si>
  <si>
    <t>National Natural Science Foundation of China [42106024, 2018YFA0605704]; National Key R amp; D Program of China [133244KYSB20190031]; Chinese Academy of Sciences [183311KYSB20200015, SCSIO202201]; [42106022]</t>
  </si>
  <si>
    <t>National Natural Science Foundation of China(National Natural Science Foundation of China (NSFC)); National Key R amp; D Program of China; Chinese Academy of Sciences(Chinese Academy of Sciences);</t>
  </si>
  <si>
    <t>This work is supported by the National Natural Science Foundation of China (42106022, 42106024) , the National Key R &amp; D Program of China (2018YFA0605704) , and the Chinese Academy of Sciences (133244KYSB20190031, 183311KYSB20200015, and SCSIO202201) .</t>
  </si>
  <si>
    <t>10.1016/j.dsr.2023.104070</t>
  </si>
  <si>
    <t>Q1AF6</t>
  </si>
  <si>
    <t>WOS:001054905300001</t>
  </si>
  <si>
    <t>Jordan, TA; Thompson, S; Kulessa, B; Ferraccioli, F</t>
  </si>
  <si>
    <t>Jordan, Tom A.; Thompson, Sarah; Kulessa, Bernd; Ferraccioli, Fausto</t>
  </si>
  <si>
    <t>Geological sketch map and implications for ice flow of Thwaites Glacier, West Antarctica, from integrated aerogeophysical observations</t>
  </si>
  <si>
    <t>MARIE-BYRD-LAND; U-PB GEOCHRONOLOGY; PINE ISLAND; PACIFIC MARGIN; RIFT SYSTEM; NEW-ZEALAND; BENEATH; GROUNDWATER; MAGMATISM; THICKNESS</t>
  </si>
  <si>
    <t>The geology beneath Thwaites Glacier, the Antarctic glacial catchment most vulnerable to climate change, is unknown. Thwaites Glacier lies within the West Antarctic Rift System, but details of the subglacial geology relevant to glacial flow, including sediment availability, underlying lithology, and heat flux, are lacking. We present the first sketch map of the subglacial geology of Thwaites Glacier, interpreted from maps of airborne gravity, magnetic and radar data, supported by 2D models and 3D inversion of subsurface properties, and the regional geological context. A zone of Cretaceous mafic magmatism extending similar to 200 km inland from the coast is interpreted, while sedimentary basins are restricted to a region 150 to 200 km inboard of the coast, underlying just 20% of the catchment. Several granitic subglacial highlands are identified, forming long-lived topographic highs. Our geological interpretation places constraints on the basal properties of Thwaites Glacier, laying the foundation for both improved predictions of ice sheet change and studies of West Antarctic tectonics.</t>
  </si>
  <si>
    <t>[Jordan, Tom A.; Ferraccioli, Fausto] British Antarctic Survey, Cambridge, England; [Thompson, Sarah] Univ Tasmania, Inst Marine &amp; Antarctic Studies, Australian Antarctic Program Partnership, Hobart, Tas, Australia; [Kulessa, Bernd] Swansea Univ, Sch Biosci Geog &amp; Phys, Swansea, Wales; [Kulessa, Bernd] Univ Tasmania, Sch Geog Planning &amp; Spatial Sci, Hobart, Australia; [Ferraccioli, Fausto] Ist Nazl Oceanog &amp; Geofis Sperimentale, Sgonico, Italy</t>
  </si>
  <si>
    <t>UK Research &amp; Innovation (UKRI); Natural Environment Research Council (NERC); NERC British Antarctic Survey; University of Tasmania; Swansea University; University of Tasmania; Istituto Nazionale di Oceanografia e di Geofisica Sperimentale</t>
  </si>
  <si>
    <t>Jordan, TA (corresponding author), British Antarctic Survey, Cambridge, England.</t>
  </si>
  <si>
    <t>tomj@bas.ac.uk</t>
  </si>
  <si>
    <t>Ferraccioli, Fausto/0000-0002-9347-4736; Jordan, Tom/0000-0003-2780-1986; Kulessa, Bernd/0000-0002-4830-4949</t>
  </si>
  <si>
    <t>British Antarctic Survey (BAS) National Capability contribution to the International Thwaites Glacier Collaboration (ITGC); NERC [NE/S006621/1]; Antarctic Science Collaboration Initiative program (Australian government); European Space Agency (ESA) 4D Antarctica project</t>
  </si>
  <si>
    <t>British Antarctic Survey (BAS) National Capability contribution to the International Thwaites Glacier Collaboration (ITGC); NERC(UK Research &amp; Innovation (UKRI)Natural Environment Research Council (NERC)); Antarctic Science Collaboration Initiative program (Australian government); European Space Agency (ESA) 4D Antarctica project</t>
  </si>
  <si>
    <t>This work was supported by the British Antarctic Survey (BAS) National Capability contribution to the International Thwaites Glacier Collaboration (ITGC) (to T.A.J.) , NERC grant NE/S006621/1 [Geophysical Habitats of Subglacial Thwaites (Ghost) ] (to B.K.), Antarctic Science Collaboration Initiative program (Australian government) (to S.T.) , and the European Space Agency (ESA) 4D Antarctica project (to F.F.).</t>
  </si>
  <si>
    <t>eadf2639</t>
  </si>
  <si>
    <t>10.1126/sciadv.adf2639</t>
  </si>
  <si>
    <t>J5DF3</t>
  </si>
  <si>
    <t>WOS:001009814700023</t>
  </si>
  <si>
    <t>Turetta, C; Barbaro, E; Skidmore, ML; Gambaro, A; Michaud, AB; Mitchell, AC; Vick-Majors, TJ; Priscu, JC; Barbante, C</t>
  </si>
  <si>
    <t>Turetta, Clara; Barbaro, Elena; Skidmore, Mark L.; Gambaro, Andrea; Michaud, Alexander B.; Mitchell, Andrew C.; Vick-Majors, Trista J.; Priscu, John C.; Barbante, Carlo</t>
  </si>
  <si>
    <t>Trace element, rare earth element and trace carbon compounds in Subglacial Lake Whillans, West Antarctica</t>
  </si>
  <si>
    <t>Lake water; Porewater; Redox conditions; West Antarctica; SLW; REE; TE; Amino acids; Phenolic compounds</t>
  </si>
  <si>
    <t>FREE AMINO-ACIDS; ORGANIC-MATTER SOURCES; FUNGAL DEGRADATION; PHENOLIC-COMPOUNDS; GROUNDING LINE; SOUTHERN-OCEAN; PLANT-TISSUES; ICE STREAM; LIGNIN; WATER</t>
  </si>
  <si>
    <t>Whillans Subglacial Lake (SLW) lies beneath 801 m of ice in the lower portion of the Whillans Ice Stream (WIS) in West Antarctica and is part of an extensive and active subglacial drainage network. Here, the geochemical characterization of SLW rare earth elements (REE), trace elements (TE), free amino acids (FAA), and phenolic compounds (PC) measured in lakewater and sediment porewater are reported. The results show, on average, higher values of REEs in the lakewater than in the porewater, and clear changes in all REE concentrations and select redox sensitive trace element concentrations in porewaters at a depth of similar to 15 cm in the 38 cm lake sediment core. This is consistent with prior results on the lake sediment redox conditions based on gas chemistry and microbiological data. Low concentrations of vanillyl phenols were measured in the SLW water column with higher concentrations in porewater samples and their concentration profiles in the sediments may also reflect changing redox conditions in the sediments. Vanillin concentrations increased with depth in the sediments as oxygenation decreases, while the concentrations of vanillic acid, the more oxidized component, were higher in the more oxygenated surface sediments. Collectively these results indicate redox changes occurring with the upper 38 cm of sediment in SLW and provide support for the existence of a seawater source, already hypothesized, in the sediments below the lowest measured depth, and of a complex and dynamic geochemical system beneath the West Antarctic Ice Sheet. Our results are the first to detail geochemical properties from an Antarctic subglacial environment using direct sampling technology. Due to their isolation from the wider environment, subglacial lakes represent one of our planets last pristine environments that provide habitats for microbial life and natural biogeochemical cycles but also impact the basal hydrology and can cause ice flow variations.</t>
  </si>
  <si>
    <t>[Turetta, Clara; Barbaro, Elena; Gambaro, Andrea; Barbante, Carlo] CNR, Inst Polar Sci, Via Torino 155, I-30172 Mestre Venezia, Italy; [Turetta, Clara; Barbaro, Elena; Gambaro, Andrea; Barbante, Carlo] Univ Venice, Dept Environm Sci Informat &amp; Stat, Via Torino 155, I-30172 Mestre Venezia, Italy; [Skidmore, Mark L.] Montana State Univ, Dept Earth Sci, Bozeman, MT 59717 USA; [Michaud, Alexander B.] Bigelow Lab Ocean Sci, East Boothbay, ME 04544 USA; [Mitchell, Andrew C.] Aberystwyth Univ, Dept Geog &amp; Earth Sci, Aberystwyth, Wales; [Vick-Majors, Trista J.] Michigan Technol Univ, Dept Biol Sci, Houghton, MI USA; [Vick-Majors, Trista J.] Michigan Technol Univ, Great Lakes Res Ctr, Houghton, MI USA; [Priscu, John C.] Polar Oceans Res Grp, Sheridan, MT 59749 USA; [Barbaro, Elena] Via Torino 155, I-30172 Mestre Venezia, Italy</t>
  </si>
  <si>
    <t>Consiglio Nazionale delle Ricerche (CNR); Istituto di Scienze Polari (ISP-CNR); Universita Ca Foscari Venezia; Montana State University System; Montana State University Bozeman; Bigelow Laboratory for Ocean Sciences; Aberystwyth University; Michigan Technological University; Michigan Technological University</t>
  </si>
  <si>
    <t>Barbaro, E (corresponding author), Via Torino 155, I-30172 Mestre Venezia, Italy.</t>
  </si>
  <si>
    <t>BARBARO, ELENA/0000-0003-2639-7475</t>
  </si>
  <si>
    <t>Italian National Antarctic Program [PNRA-2009/A2.02]; National Science Foundation [OPP-0838933, 1346250, 1439774]; NSF-IGERT Program [0654336]; Montana Space Grant Consortium; NSF -Center for Dark Energy Biosphere Investigations; American Association of University Women</t>
  </si>
  <si>
    <t>Italian National Antarctic Program; National Science Foundation(National Science Foundation (NSF)); NSF-IGERT Program(National Science Foundation (NSF)); Montana Space Grant Consortium; NSF -Center for Dark Energy Biosphere Investigations; American Association of University Women</t>
  </si>
  <si>
    <t>Support was provided by the Italian National Antarctic Program (PNRA-2009/A2.02, CaBILA project) . The authors thank the WISSARD science team for assistance in project planning and sample collection. The Whillans Ice Stream Subglacial Access Research Drilling (WISSARD) project was funded by National Science Foundation grants (OPP-0838933, 1346250, 1439774) . Partial support was provided by graduate fellowships from the NSF-IGERT Program (0654336) , Montana Space Grant Consortium and NSF -Center for Dark Energy Biosphere Investigations (A.B.M) and a dissertation grant from the American Association of University Women (T.J.V-M) . The authors thank Elga Lab water, High Wycombe UK for supplying the pure water systems used in this study.</t>
  </si>
  <si>
    <t>10.1016/j.scitotenv.2023.164480</t>
  </si>
  <si>
    <t>L6YO2</t>
  </si>
  <si>
    <t>WOS:001024698300001</t>
  </si>
  <si>
    <t>Wang, F; Yang, DK; Wang, JK; Xing, J; Yu, YQ</t>
  </si>
  <si>
    <t>Wang, Feng; Yang, Dongkai; Wang, Jiuke; Xing, Jin; Yu, Yongqing</t>
  </si>
  <si>
    <t>Shipborne GNSS reflectometry for monitoring along-track significant wave height and wind speed</t>
  </si>
  <si>
    <t>OCEAN ENGINEERING</t>
  </si>
  <si>
    <t>Shipborne GNSS reflectometry; Significant wave height (SWH); Wind speed; Geophysical model function (GMF); Neural network (NN)</t>
  </si>
  <si>
    <t>DELAY-DOPPLER MAPS; NEURAL-NETWORK; MODEL; INTERFEROMETRY; ALTIMETER; SIGNALS</t>
  </si>
  <si>
    <t>Shipborne Global Navigation Satellite System-Reflectometry (GNSS-R) for measuring along-track significant wave height (SWH) and wind speed are first investigated in this article. A real-time shipborne GNSS-R instrument was carried on the XUELONG-2 for the 38th Antarctic Scientific Expedition. The collected dataset covered the entire expedition of the XUELONG-2. The dependencies of the correlation time, normalized area, ratio of reflected-to-direct signal-to-noise ratio (SNR), spectral width, and peak frequency on SWH and wind speed are explored. It is found that the correlation time, spectral width, and peak frequency better depend on SWH and wind speed than other two observables, therefore, they are used to measure the SWH and wind speed. The elevation angle, SNR and ship velocity, also impact on the observables, thus their influences should be corrected. The geophysical model function (GMF) and neural network are used to develop retrieval models of SWH and wind speed. Neural networks provide better retrieval performances. The best root mean square errors (RMSEs) of the retrieved SWH and wind speed are 0.38 m and 2.49 m/s, with a temporal and spatial resolutions of 1 min and 600 m, respectively. The measurements from the shipborne GNSS-R also agree with the co-located European Centre for Medium-Range Weather Forecasts (ECMWF) and Jason-3 altimeter data.</t>
  </si>
  <si>
    <t>[Wang, Feng; Yang, Dongkai; Xing, Jin] Beihang Univ, Sch Elect Informat Engn, 37 Xueyuan Rd, Beijing 100191, Peoples R China; [Wang, Jiuke] Natl Marine Environm Predict Ctr, Beijing 100081, Peoples R China; [Yu, Yongqing] Sinopec Shengli Oilfield Co, Oil Prod Plant, Dongying 257000, Shandong, Peoples R China</t>
  </si>
  <si>
    <t>Beihang University; Sinopec</t>
  </si>
  <si>
    <t>Yang, DK (corresponding author), Beihang Univ, Sch Elect Informat Engn, 37 Xueyuan Rd, Beijing 100191, Peoples R China.</t>
  </si>
  <si>
    <t>wangfeng_buaa@buaa.edu.cn; edk@buaa.edu.cn; wangfeng_buaa@buaa.edu.cn; jinxing@buaa.edu.cn; yuyongqing356.slyt@sinopec.com</t>
  </si>
  <si>
    <t>0029-8018</t>
  </si>
  <si>
    <t>1873-5258</t>
  </si>
  <si>
    <t>OCEAN ENG</t>
  </si>
  <si>
    <t>Ocean Eng.</t>
  </si>
  <si>
    <t>10.1016/j.oceaneng.2023.114935</t>
  </si>
  <si>
    <t>Engineering, Marine; Engineering, Civil; Engineering, Ocean; Oceanography</t>
  </si>
  <si>
    <t>L3YM8</t>
  </si>
  <si>
    <t>WOS:001022649600001</t>
  </si>
  <si>
    <t>Wang, Y; Tian, Y; Zhong, YY; Suleiman, MA; Feller, G; Westh, P; Blennow, A; Moller, MS; Svensson, B</t>
  </si>
  <si>
    <t>Wang, Yu; Tian, Yu; Zhong, Yuyue; Suleiman, Mohammad Amer; Feller, Georges; Westh, Peter; Blennow, Andreas; Moller, Marie Sofie; Svensson, Birte</t>
  </si>
  <si>
    <t>Improved Hydrolysis of Granular Starches by a Psychrophilic α-Amylase Starch Binding Domain-Fusion</t>
  </si>
  <si>
    <t>carbohydrate-binding module; waxy starch; normalstarch; high-amylose starch; Pseudoalteromonashaloplanktis alpha-amylase; heterogenous catalysis; Sabatier principle</t>
  </si>
  <si>
    <t>ASPERGILLUS-NIGER GLUCOAMYLASE; MICHAELIS-MENTEN EQUATION; ALTEROMONAS-HALOPLANCTIS; MAIZE STARCHES; SURFACE; STABILITY; KINETICS; INSIGHTS; ENZYMES; GLUCAN</t>
  </si>
  <si>
    <t>Degradation of starch granules by a psychrophilic a-amylase, AHA, from the Antarctic bacterium Pseudoalteromonas haloplanktis TAB23 was facilitated by C-terminal fusion to a starch-binding domain (SBD) from either Aspergillus niger glucoamylase (SBDGA) or Arabidopsis thaliana glucan, water dikinase 3 (SBDGWD3) via a decapeptide linker. Depending on the waxy, normal or high-amylose starch type and the botanical source, the AHA-SBD fusion enzymes showed up to 3 times higher activity than AHA wild-type. The SBD-fusion thus increased the density of enzyme attack-sites and binding-sites on the starch granules by up to 5- and 7-fold, respectively, as measured using an interfacial catalysis approach that combined conventional Michaelis-Menten kinetics, with the substrate in excess, and inverse kinetics, having enzyme in excess, with enzyme-starch granule adsorption isotherms. Higher substrate affinity of the SBDGA compared to SBDGWD3 was accompanied by the superior activity of AHA-SBDGA in agreement with the Sabatier principle of adsorption limited heterogenous catalysis.</t>
  </si>
  <si>
    <t>[Wang, Yu; Suleiman, Mohammad Amer; Svensson, Birte] Tech Univ Denmark, Dept Biotechnol &amp; Biomed, Enzyme &amp; Prot Chem, DK-2800 Lyngby, Denmark; [Tian, Yu; Zhong, Yuyue; Blennow, Andreas] Univ Copenhagen, Dept Plant &amp; Environm Sci, DK-1871 Frederiksberg C, Denmark; [Feller, Georges] Univ Liege, Ctr Prot Engn InBioS, Lab Biochem, Liege B-4000, Belgium; [Westh, Peter] Tech Univ Denmark, Dept Biotechnol &amp; Biomed, Interfacial Enzymol, DK-2800 Lyngby, Denmark; [Moller, Marie Sofie] Tech Univ Denmark, Dept Biotechnol &amp; Biomed, Appl Mol Enzyme Chem, DK-2800 Lyngby, Denmark</t>
  </si>
  <si>
    <t>Technical University of Denmark; University of Copenhagen; University of Liege; Technical University of Denmark; Technical University of Denmark</t>
  </si>
  <si>
    <t>Svensson, B (corresponding author), Tech Univ Denmark, Dept Biotechnol &amp; Biomed, Enzyme &amp; Prot Chem, DK-2800 Lyngby, Denmark.;Moller, MS (corresponding author), Tech Univ Denmark, Dept Biotechnol &amp; Biomed, Appl Mol Enzyme Chem, DK-2800 Lyngby, Denmark.</t>
  </si>
  <si>
    <t>msmo@dtu.dk; bis@bio.dtu.dk</t>
  </si>
  <si>
    <t>Wang, Yu/0000-0002-0019-6889; Svensson, Birte/0000-0002-2993-8196; Moller, Marie Sofie/0000-0001-9017-3367</t>
  </si>
  <si>
    <t>China Scholarship Council (CSC) [202006790033, 202003250068]; Technical University of Denmark; project HIAMBA -grain, flour, bread &amp; bakery products preventing type 2 diabetes, Innovation Fund Denmark [9067-00004A]</t>
  </si>
  <si>
    <t>China Scholarship Council (CSC)(China Scholarship Council); Technical University of Denmark; project HIAMBA -grain, flour, bread &amp; bakery products preventing type 2 diabetes, Innovation Fund Denmark</t>
  </si>
  <si>
    <t>This work was supported by a China Scholarship Council (CSC) grant #202006790033 and the Technical University of Denmark (Y.W.), by a China Scholarship Council (CSC) grant #202003250068 (Y.T.), and the project HIAMBA -grain, flour, bread &amp; bakery products preventing type 2 diabetes, Innovation Fund Denmark (Project 9067-00004A) (Y.Z.).</t>
  </si>
  <si>
    <t>10.1021/acs.jafc.3c01898</t>
  </si>
  <si>
    <t>J6YG5</t>
  </si>
  <si>
    <t>WOS:001014893000001</t>
  </si>
  <si>
    <t>Constable, AJ; Kawaguchi, S; Sumner, M; Trathan, PN; Warwick-Evans, V</t>
  </si>
  <si>
    <t>Constable, Andrew J. J.; Kawaguchi, So; Sumner, Michael; Trathan, Philip N. N.; Warwick-Evans, Victoria</t>
  </si>
  <si>
    <t>A dynamic framework for assessing and managing risks to ecosystems from fisheries: demonstration for conserving the krill-based food web in Antarctica</t>
  </si>
  <si>
    <t>CCAMLR; Southern Ocean; ecosystem-based management; EBFM; MPA; risk management</t>
  </si>
  <si>
    <t>EUPHAUSIA-SUPERBA DANA; SCALE MANAGEMENT UNITS; LIFE-HISTORY; PRACTICAL IMPLEMENTATION; MARINE ECOSYSTEM; SOUTH GEORGIA; SCOTIA SEA; VARIABILITY; BIOMASS; CCAMLR</t>
  </si>
  <si>
    <t>The ecosystem approach to fisheries has been discussed since the 1980s. It aims to reduce risks from fisheries to whole, or components of, ecosystems, not just to target species. Precautionary approaches further aim to keep the risk of damage to a low level. Here, we provide a dynamic framework for spreading the ecosystems risk of fisheries in space and time, a method that can be used from the outset of developing fisheries and continually updated as new knowledge becomes available. Importantly, this method integrates qualitative and quantitative approaches to assess risk and provides mechanisms to both spread the risk, including enabling closed areas to help offset risk, and adjust catch limits to keep regional risk to a baseline level. Also, the framework does not require uniform data standards across a region but can incorporate spatially and temporally heterogeneous data and knowledge. The approach can be coupled with the conservation of biodiversity in marine protected areas, addressing potential overlap of fisheries with areas of high conservation value. It accounts for spatial and temporal heterogeneity in ecosystems, including the different spatial and temporal scales at which organisms function. We develop the framework in the first section of the paper, including a simple illustration of its application. In the framework we include methods for using closed areas to offset risk or for conserving biodiversity of high conservation value. We also present methods that could be used to account for uncertainties in input data and knowledge. In the second section, we present a real-world illustration of the application of the framework to managing risks of food web effects of fishing for Antarctic krill in the Southern Ocean. Last, we comment on the wider application and development of the framework as information improves.</t>
  </si>
  <si>
    <t>[Constable, Andrew J. J.; Kawaguchi, So; Sumner, Michael] Australian Antarctic Div, Australian Commonwealth Dept Climate Change Energy, Kingston, Tas, Australia; [Constable, Andrew J. J.] Antarctic Climate &amp; Ecosyst Cooperat Res Ctr, Hobart, Tas, Australia; [Constable, Andrew J. J.] Univ Tasmania, Ctr Marine Socioecol, Hobart, Tas, Australia; [Constable, Andrew J. J.] Univ Tasmania, Inst Marine &amp; Antarctic Studies, Australian Antarctic Program Partnership, Hobart, Tas, Australia; [Trathan, Philip N. N.; Warwick-Evans, Victoria] NERC, British Antarctic Survey, Cambridge, England; [Trathan, Philip N. N.] Univ Southampton, Natl Oceanog Ctr Southampton, Ocean &amp; Earth Sci, Southampton, England</t>
  </si>
  <si>
    <t>Australian Antarctic Division; Antarctic Climate &amp; Ecosystems Cooperative Research Centre (ACE CRC); University of Tasmania; University of Tasmania; UK Research &amp; Innovation (UKRI); Natural Environment Research Council (NERC); NERC British Antarctic Survey; University of Southampton; NERC National Oceanography Centre</t>
  </si>
  <si>
    <t>Constable, AJ (corresponding author), Australian Antarctic Div, Australian Commonwealth Dept Climate Change Energy, Kingston, Tas, Australia.;Constable, AJ (corresponding author), Antarctic Climate &amp; Ecosyst Cooperat Res Ctr, Hobart, Tas, Australia.;Constable, AJ (corresponding author), Univ Tasmania, Ctr Marine Socioecol, Hobart, Tas, Australia.;Constable, AJ (corresponding author), Univ Tasmania, Inst Marine &amp; Antarctic Studies, Australian Antarctic Program Partnership, Hobart, Tas, Australia.</t>
  </si>
  <si>
    <t>a.constable@utas.edu.au</t>
  </si>
  <si>
    <t>Australian Antarctic Division; Australian Cooperative Research Centre program through the Antarctic Climate and Ecosystems Cooperative Research Centre; Pew Fellowship in Marine Conservation; Darwin Plus [DPLUS072]; Pew Charitable Trusts [PA00034295]</t>
  </si>
  <si>
    <t>Australian Antarctic Division; Australian Cooperative Research Centre program through the Antarctic Climate and Ecosystems Cooperative Research Centre(Australian GovernmentDepartment of Industry, Innovation and ScienceCooperative Research Centres (CRC) Programme); Pew Fellowship in Marine Conservation; Darwin Plus; Pew Charitable Trusts</t>
  </si>
  <si>
    <t>AC, SK, and MS were supported by the Australian Antarctic Division. AC was also supported by the Australian Cooperative Research Centre program through the Antarctic Climate and Ecosystems Cooperative Research Centre, and through a Pew Fellowship in Marine Conservation. VW-E was funded through Darwin Plus (grant DPLUS072) and the Pew Charitable Trusts (grant no. PA00034295). PT was funded through the NERC BAS-ALI Science budget, with a collaborative study trip to Hobart funded by the Pew Charitable Trusts (grant no. PA00034295).</t>
  </si>
  <si>
    <t>10.3389/fevo.2023.1043800</t>
  </si>
  <si>
    <t>J3FU2</t>
  </si>
  <si>
    <t>WOS:001008509500001</t>
  </si>
  <si>
    <t>Hu, HH; Zhao, JC; Heil, P; Qin, ZL; Ma, JK; Hui, FM; Cheng, X</t>
  </si>
  <si>
    <t>Hu, Haihan; Zhao, Jiechen; Heil, Petra; Qin, Zhiliang; Ma, Jingkai; Hui, Fengming; Cheng, Xiao</t>
  </si>
  <si>
    <t>Annual evolution of the ice-ocean interaction beneath landfast ice in PrydzBay, East Antarctica</t>
  </si>
  <si>
    <t>VERTICAL HEAT-FLUX; SEA-ICE; THICKNESS; GROWTH; MODEL; VARIABILITY; CYCLE; DRIFT; BUOY; BAY</t>
  </si>
  <si>
    <t>High-frequency observations of the ice-ocean interaction and high-precision estimation of the ice-ocean heat exchange are critical to understanding the thermodynamics of the landfast ice mass balance in Antarctica. To investigate the oceanic contribution to the evolution of the landfast ice, an integrated ocean observation system, including an acoustic Doppler velocimeter (ADV), conductivity-temperature-depth (CTD) sensors, and a sea ice mass balance array (SIMBA), was deployed on the landfast ice near the Chinese Zhongshan Station in Prydz Bay, East Antarctica, from April to November 2021. The CTD sensors recorded the ocean temperature and salinity. The ocean temperature experienced a rapid increase in late April, from -1.62 to the maximum of -1.30 degrees C, and then it gradually decreased to -1.75 degrees C in May and remained at this temperature until November. The seawater salinity and density exhibited similar increasing trends during April and May, with mean rates of 0.04 psu d(-1) and 0.03 kg m(-3) d(-1), respectively, which was related to the strong salt rejection caused by freezing of the landfast ice. The ocean current observed by the ADV had mean horizontal and vertical velocities of 9.5 +/- 3.9 and 0.2 +/- 0.8 cm s(-1), respectively. The domain current direction was ESE (120 degrees)-WSW (240 degrees), and the domain velocity (79 %) was 5-15 cm s(-1). The oceanic heat flux (F-w) estimated using the residual method reached a peak of 41.3 +/- 9.8 W m(-2) in April, and then it gradually decreased to a stable level of 7.8 +/- 2.9 W m(-2) from June to October. The F-w values calculated using three different bulk parameterizations exhibited similar trends with different magnitudes due to the uncertainties of the empirical friction velocity. The spectral analysis results suggest that all of the observed ocean variables exhibited a typical half-day period, indicating the strong diurnal influence of the local tidal oscillations. The large-scale sea ice distribution and ocean circulation contributed to the seasonal variations in the ocean variables, revealing the important relationship between the large-scale and local phenomena. The high-frequency and cross-seasonal observations of oceanic variables obtained in this study allow us to deeply investigate their diurnal and seasonal variations and to evaluate their influences on the landfast ice evolution.</t>
  </si>
  <si>
    <t>[Hu, Haihan; Hui, Fengming; Cheng, Xiao] Sun Yat sen Univ, Sch Geospatial Engn &amp; Sci, Southern Marine Sci &amp; Engn Guangdong Lab, Zhuhai 519082, Peoples R China; [Hu, Haihan; Hui, Fengming; Cheng, Xiao] Sun Yat sen Univ, Key Lab Comprehens Observat Polar Environm, Minist Educ, Zhuhai 519082, Peoples R China; [Zhao, Jiechen; Qin, Zhiliang] Harbin Engn Univ, Qingdao Innovat &amp; Dev Base Ctr, Qingdao 266500, Peoples R China; [Qin, Zhiliang] Univ Harbin Engn, Coll Underwater Acoust Engn, Harbin 150001, Peoples R China; [Heil, Petra] Australia Antarctic Div &amp; Australian Antarctic Pr, Private Bag 80, Hobart, Tas 7001, Australia; [Ma, Jingkai] Natl Marine Environm Forecasting Ctr, Key Lab Res Marine Hazards Forecasting, Beijing 100081, Peoples R China</t>
  </si>
  <si>
    <t>Southern Marine Science &amp; Engineering Guangdong Laboratory; Sun Yat Sen University; Sun Yat Sen University; Harbin Engineering University; National Marine Environmental Forecasting Center</t>
  </si>
  <si>
    <t>Hui, FM (corresponding author), Sun Yat sen Univ, Sch Geospatial Engn &amp; Sci, Southern Marine Sci &amp; Engn Guangdong Lab, Zhuhai 519082, Peoples R China.;Hui, FM (corresponding author), Sun Yat sen Univ, Key Lab Comprehens Observat Polar Environm, Minist Educ, Zhuhai 519082, Peoples R China.;Zhao, JC (corresponding author), Harbin Engn Univ, Qingdao Innovat &amp; Dev Base Ctr, Qingdao 266500, Peoples R China.</t>
  </si>
  <si>
    <t>zhaojiechen@hrbeu.edu.cn; huifm@mail.sysu.edu.cn</t>
  </si>
  <si>
    <t>Zhao, Jiechen/0000-0001-7134-057X; Heil, Petra/0000-0003-2078-0342</t>
  </si>
  <si>
    <t>National Natural Science Foundation of China [42276251, 42211530033, 41876212]; Australian Government through Australian Antarctic Science Projects [4506]; International Space Science Institute [406]</t>
  </si>
  <si>
    <t>National Natural Science Foundation of China(National Natural Science Foundation of China (NSFC)); Australian Government through Australian Antarctic Science Projects; International Space Science Institute</t>
  </si>
  <si>
    <t>We are very grateful to the editor, Christian Haas, and two anonymous reviewers for their constructive feedback which helped us to improve the manuscript. This study was financially supported by the National Natural Science Foundation of China (grant nos.~42276251, 42211530033, and 41876212). Petra Heil was supported by the Australian Government through Australian Antarctic Science Projects (grant no.~4506) and the International Space Science Institute (grant no.~406).</t>
  </si>
  <si>
    <t>10.5194/tc-17-2231-2023</t>
  </si>
  <si>
    <t>H9RZ5</t>
  </si>
  <si>
    <t>WOS:000999263200001</t>
  </si>
  <si>
    <t>Thöle, LM; Nooteboom, PD; Hou, SN; Wang, RJ; Nie, SY; Michel, E; Sauermilch, I; Marret, F; Sangiorgi, F; Bijl, PK</t>
  </si>
  <si>
    <t>Thole, Lena Mareike; Nooteboom, Peter Dirk; Hou, Suning; Wang, Rujian; Nie, Senyan; Michel, Elisabeth; Sauermilch, Isabel; Marret, Fabienne; Sangiorgi, Francesca; Bijl, Peter Kristian</t>
  </si>
  <si>
    <t>An expanded database of Southern Hemisphere surface sediment dinoflagellatecyst assemblages and their oceanographic affinities</t>
  </si>
  <si>
    <t>JOURNAL OF MICROPALAEONTOLOGY</t>
  </si>
  <si>
    <t>OFFSHORE WILKES LAND; ANTARCTIC ICE-SHEET; SOUTHWEST PACIFIC; SEA; CYSTS; RECONSTRUCTION; FRAMEWORK; HOLOCENE</t>
  </si>
  <si>
    <t>Dinoflagellate cyst assemblages present a valuable proxy to infer paleoceanographic conditions, yet factors influencing geographic distributions of species remain largely unknown, especially in the Southern Ocean. Strong lateral transport, sea-ice dynamics, and a sparse and uneven geographic distribution of surface sediment samples have limited the use of dinocyst assemblages as a quantitative proxy for paleo-environmental conditions such as sea surface temperature (SST), nutrient concentrations, salinity, and sea ice (presence). In this study we present a new set of surface sediment samples (n=66) from around Antarctica, doubling the number of Antarctic-proximal samples to 100 (dataset wsi_100) and increasing the total number of Southern Hemisphere samples to 655 (dataset sh_655). Additionally, we use modelled ocean conditions and apply Lagrangian techniques to all Southern Hemisphere sample stations to quantify and evaluate the influence of lateral transport on the sinking trajectory of microplankton and, with that, to the inferred ocean conditions. k-means cluster analysis on the wsi_100 dataset demonstrates the strong affinity of Selenopemphix antarctica with sea-ice presence and of Islandinium spp. with low-salinity conditions. For the entire Southern Hemisphere, the k-means cluster analysis identifies nine clusters with a characteristic assemblage. In most clusters a single dinocyst species dominates the assemblage. These clusters correspond to well-defined oceanic conditions in specific Southern Ocean zones or along the ocean fronts. We find that, when lateral transport is predominantly zonal, the environmental parameters inferred from the sea floor assemblages mostly correspond to those of the overlying ocean surface. In this case, the transport factor can thus be neglected and will not represent a bias in the reconstructions. Yet, for some individual sites, e.g. deep-water sites or sites under strong-current regimes, lateral transport can play a large role. The results of our study further constrain environmental conditions represented by dinocyst assemblages and the location of Southern Ocean frontal systems.</t>
  </si>
  <si>
    <t>[Thole, Lena Mareike; Hou, Suning; Sauermilch, Isabel; Sangiorgi, Francesca; Bijl, Peter Kristian] Univ Utrecht, Dept Earth Sci, Utrecht, Netherlands; [Nooteboom, Peter Dirk] Univ Utrecht, Inst Marine &amp; Atmospher Res Utrecht IMAU, Dept Phys, Utrecht, Netherlands; [Nooteboom, Peter Dirk] Univ Utrecht, Ctr Complex Syst Studies, Utrecht, Netherlands; [Wang, Rujian; Nie, Senyan] Tongji Univ, State Key Lab Marine Geol, Shanghai, Peoples R China; [Michel, Elisabeth] Univ Paris Saclay, Lab Sci Climat &amp; Environm, LSCE IPSL, Gif sur Yvette, France; [Marret, Fabienne] Univ Liverpool, Sch Environm, Dept Geog &amp; Planning, Liverpool, England</t>
  </si>
  <si>
    <t>Utrecht University; Utrecht University; Utrecht University; Tongji University; CEA; Centre National de la Recherche Scientifique (CNRS); Universite Paris Saclay; Universite Paris Cite; University of Liverpool</t>
  </si>
  <si>
    <t>Bijl, PK (corresponding author), Univ Utrecht, Dept Earth Sci, Utrecht, Netherlands.</t>
  </si>
  <si>
    <t>p.k.bijl@uu.nl</t>
  </si>
  <si>
    <t>Brinkhuis, Henk/B-4223-2009</t>
  </si>
  <si>
    <t>Hou, Suning/0000-0002-8902-6367; Sangiorgi, Francesca/0000-0003-4233-6154; Marret-Davies, Fabienne/0000-0003-4244-0437; Thole, Lena/0000-0002-5405-3613; Bijl, Peter/0000-0002-1710-4012</t>
  </si>
  <si>
    <t>European Research Council (ERC) [802835]</t>
  </si>
  <si>
    <t>European Research Council (ERC)(European Research Council (ERC)Spanish Government)</t>
  </si>
  <si>
    <t>This research has been supported by the seventh framework programme of the European Research Council (ERC Starting grant no. 802835, OceaNice to Peter Kristian Bijl).</t>
  </si>
  <si>
    <t>0262-821X</t>
  </si>
  <si>
    <t>2041-4978</t>
  </si>
  <si>
    <t>J MICROPALAEONTOL</t>
  </si>
  <si>
    <t>J. Micropalaentol.</t>
  </si>
  <si>
    <t>10.5194/jm-42-35-2023</t>
  </si>
  <si>
    <t>I1HR2</t>
  </si>
  <si>
    <t>WOS:001000360600001</t>
  </si>
  <si>
    <t>Fusaro, B; Lorenti, E; Panisse, G; Fornillo, MV; Fuentes, L; Libertelli, M; Ansaldo, M; Diaz, JI</t>
  </si>
  <si>
    <t>Fusaro, Bruno; Lorenti, Eliana; Panisse, Guillermo; Fornillo, Maria Valentina; Fuentes, Lautaro; Libertelli, Marcela; Ansaldo, Martin; Diaz, Julia I.</t>
  </si>
  <si>
    <t>Gastrointestinal helminths of two storm-petrel species, Oceanites oceanicus and Fregetta tropica, (Aves: Oceanitidae) from Antarctica</t>
  </si>
  <si>
    <t>Antartica; Parasites; Storm-petrels; Seuratia sp; Stegophorus macronectes; Tetrabothrius sp</t>
  </si>
  <si>
    <t>KING-GEORGE-ISLAND; CLIMATE-CHANGE; SEABIRDS; MIGRATION; AREAS</t>
  </si>
  <si>
    <t>Although knowledge about parasitic diseases in Antarctic birds is scarce, an increasing number of studies is currently being carried out in this area. A better knowledge of host-parasite relationships in Antarctic seabirds is key to understanding trophic ecology and epidemiology of infection diseases, especially in those birds with extensive migratory routes that can act as reservoirs and distributors of diseases. This study aims to provide information on helminths of two storm-petrel species, the Wilson's Storm-Petrel Oceanites oceanicus and the Black-bellied Storm-Petrel Fregetta tropica (Oceanitidae). Twenty freshly dead individuals were analysed: 18 O. oceanicus (8 adults, 10 chicks) and 2 F. tropica (adults). Fifteen O. oceanicus were parasitized with the nematode Stegophorus macronectes, whereas the two F. tropica were parasitized by at least one of three parasite species identified: S. macronectes, Seuratia sp., and Tetrabothrius sp. The low richness of parasites may be associated with a stenophagic diet. However, a clear difference is observed between both host species that could be related to a higher fish ingestion by F. tropica, unlike O. oceanicus with a higher ingestion of krill.</t>
  </si>
  <si>
    <t>[Fusaro, Bruno; Libertelli, Marcela; Ansaldo, Martin] Inst Antartico Argentino DNA, 25 Mayo 1143, RA-1143 San Martin, Buenos Aires, Argentina; [Fusaro, Bruno; Lorenti, Eliana; Panisse, Guillermo; Fornillo, Maria Valentina; Fuentes, Lautaro; Diaz, Julia I.] Ctr Estudios Parasitol &amp; Vectores CCT La Plata CON, 120 S-N E-61 &amp; 62, RA-1900 La Plata, Buenos Aires, Argentina</t>
  </si>
  <si>
    <t>Instituto Antartico Argentino</t>
  </si>
  <si>
    <t>Fusaro, B (corresponding author), Inst Antartico Argentino DNA, 25 Mayo 1143, RA-1143 San Martin, Buenos Aires, Argentina.;Fusaro, B (corresponding author), Ctr Estudios Parasitol &amp; Vectores CCT La Plata CON, 120 S-N E-61 &amp; 62, RA-1900 La Plata, Buenos Aires, Argentina.</t>
  </si>
  <si>
    <t>fusarobruss@gmail.com</t>
  </si>
  <si>
    <t>Fusaro, Bruno/0000-0002-8982-3366</t>
  </si>
  <si>
    <t>DNA-IAA project [PICTA 0091]; ANPCyT [PICT 20190111]; UNLP [N859]</t>
  </si>
  <si>
    <t>DNA-IAA project; ANPCyT(ANPCyT); UNLP(National University of La Plata)</t>
  </si>
  <si>
    <t>Funding was provided to MA by DNA-IAA (PICTA 0091) project and to JID by ANPCyT (PICT 2019-0111) and UNLP (N859).</t>
  </si>
  <si>
    <t>10.1007/s00300-023-03155-3</t>
  </si>
  <si>
    <t>WOS:000999813700001</t>
  </si>
  <si>
    <t>Gapp, I</t>
  </si>
  <si>
    <t>Gapp, Isabelle</t>
  </si>
  <si>
    <t>Climate Change and the New Polar Aesthetics: Artists Reimagine the Arctic and Antarctic</t>
  </si>
  <si>
    <t>ART HISTORY</t>
  </si>
  <si>
    <t>0141-6790</t>
  </si>
  <si>
    <t>1467-8365</t>
  </si>
  <si>
    <t>ART HIST</t>
  </si>
  <si>
    <t>Art Hist.</t>
  </si>
  <si>
    <t>Art</t>
  </si>
  <si>
    <t>LU1Z7</t>
  </si>
  <si>
    <t>WOS:001189236000012</t>
  </si>
  <si>
    <t>Brunyate, F</t>
  </si>
  <si>
    <t>Brunyate, Fred</t>
  </si>
  <si>
    <t>ANTARCTIC HIGH RISE</t>
  </si>
  <si>
    <t>SCIENTIFIC AMERICAN</t>
  </si>
  <si>
    <t>0036-8733</t>
  </si>
  <si>
    <t>1946-7087</t>
  </si>
  <si>
    <t>SCI AM</t>
  </si>
  <si>
    <t>Sci.Am.</t>
  </si>
  <si>
    <t>KM2T7</t>
  </si>
  <si>
    <t>WOS:001180325100007</t>
  </si>
  <si>
    <t>[Anonymous]</t>
  </si>
  <si>
    <t>ANTARCTIC HIGH RISE FOX REPLIES</t>
  </si>
  <si>
    <t>WOS:001180325100008</t>
  </si>
  <si>
    <t>Naylor, A; Kenny, TA; Harper, S; Beale, D; Premji, Z; Furgal, C; Ford, J; Little, M</t>
  </si>
  <si>
    <t>Naylor, Angus; Kenny, Tiff-Annie; Harper, Sherilee; Beale, Dorothy; Premji, Zahra; Furgal, Chris; Ford, James; Little, Matthew</t>
  </si>
  <si>
    <t>Inuit-defined determinants of food security in academic research focusing on Inuit Nunangat and Alaska: A scoping review protocol</t>
  </si>
  <si>
    <t>NUTRITION AND HEALTH</t>
  </si>
  <si>
    <t>food security; food systems; Inuit Nunangat; Arctic Canada; Alaska; Canadian Arctic; Inuit; Inupiat</t>
  </si>
  <si>
    <t>NUNAVUT; INSECURITY; CHALLENGES</t>
  </si>
  <si>
    <t>Background: Academic research on food security in Inuit Nunangat and Alaska frequently adopts the Food and Agriculture Organization of the United Nations' working definition of food security and Western conceptualisations of what it means to be 'food secure'. However, in 2014, the Alaskan branch of the Inuit Circumpolar Council (ICC) stated that academic and intergovernmental definitions and understandings 'are important, but not what we are talking about when we say food security'. The organisation subsequently developed its own conceptualisation and definition: the Alaskan Inuit Food Security Conceptual Framework (AIFSCF), which in 2020 received informal assent by ICC-Canada. Aim: This protocol establishes a review strategy to examine how well academic research reflects Inuit conceptualisations and understandings of food security, as outlined in the AIFSCF. Methods: Review structure and reporting will be completed according to adapted RepOrting standards for Systematic Evidence Syntheses (ROSES) guidelines. A comprehensive search strategy will be used to locate peer-reviewed research from Medline, Scopus, Web of Science and the Arctic and Antarctic Regions (EBSCO) databases. Dual reviewer screening will take place at the abstract, title, and full-text stages. Different study methodologies (qualitative, quantitative, and mixed methods) will be included for review, on the proviso that articles identify drivers of food security. An a priori coding framework will be applied by a single reviewer to extract data on publication characteristics, methods and article aims. Deductive thematic content analysis will then identify the frequency and precedence afforded within literature to the drivers and dimensions of food security identified by the AIFSCF.</t>
  </si>
  <si>
    <t>[Naylor, Angus; Beale, Dorothy; Little, Matthew] Univ Victoria, Sch Publ Hlth &amp; Social Policy, Victoria, BC, Canada; [Kenny, Tiff-Annie] Univ Laval, Dept Med Sociale &amp; Prevent, Quebec City, PQ, Canada; [Harper, Sherilee] Univ Alberta, Sch Publ Hlth, Edmonton, AB, Canada; [Premji, Zahra] Univ Victoria, Victoria, BC, Canada; [Furgal, Chris] Trent Univ, Dept Indigenous Studies, Peterborough, ON, Canada; [Ford, James] Univ Leeds, Priestley Int Ctr Climate, Leeds, W Yorkshire, England</t>
  </si>
  <si>
    <t>University of Victoria; Laval University; University of Alberta; University of Victoria; Trent University; University of Leeds</t>
  </si>
  <si>
    <t>Naylor, A (corresponding author), Univ Victoria, Sch Publ Hlth &amp; Social Policy, Victoria, BC, Canada.</t>
  </si>
  <si>
    <t>angusnaylor@uvic.ca</t>
  </si>
  <si>
    <t>Ford, James/A-4284-2013; Premji, Zahra/N-1117-2017</t>
  </si>
  <si>
    <t>Ford, James/0000-0002-2066-3456; Naylor, Angus/0000-0003-0286-6484; Premji, Zahra/0000-0002-6899-0528</t>
  </si>
  <si>
    <t>ArcticNet project: 'P74 - Moving from understanding to action on food security in the Canadian Arctic [(Inuit Nunangat)]' ArcticNet (Inuit Health Education and Adaptation) [P74]</t>
  </si>
  <si>
    <t>ArcticNet project: 'P74 - Moving from understanding to action on food security in the Canadian Arctic [(Inuit Nunangat)]' ArcticNet (Inuit Health Education and Adaptation)</t>
  </si>
  <si>
    <t>The authors disclosed receipt of the following financial support for the research, authorship, and/or publication of this article: This research was funded by ArcticNet project: 'P74 - Moving from understanding to action on food security in the Canadian Arctic [(Inuit Nunangat)]' ArcticNet (Inuit Health Education and Adaptation) (grant number P74).</t>
  </si>
  <si>
    <t>SAGE PUBLICATIONS INC</t>
  </si>
  <si>
    <t>THOUSAND OAKS</t>
  </si>
  <si>
    <t>2455 TELLER RD, THOUSAND OAKS, CA 91320 USA</t>
  </si>
  <si>
    <t>0260-1060</t>
  </si>
  <si>
    <t>2047-945X</t>
  </si>
  <si>
    <t>NUTR HEALTH-UK</t>
  </si>
  <si>
    <t>NUTR. HEALTH</t>
  </si>
  <si>
    <t>10.1177/02601060221151091</t>
  </si>
  <si>
    <t>Nutrition &amp; Dietetics</t>
  </si>
  <si>
    <t>CL8D9</t>
  </si>
  <si>
    <t>WOS:001125489300003</t>
  </si>
  <si>
    <t>Cagide, C; García-Laviña, CX; Morel, MA; Castro-Sowinski, S</t>
  </si>
  <si>
    <t>Cagide, Celica; Garcia-Lavina, Cesar X.; Morel, Maria A.; Castro-Sowinski, Susana</t>
  </si>
  <si>
    <t>Descriptive analysis of the draft genome from the melanin-producing bacterium Sinorhizobium (Ensifer) meliloti CE52G</t>
  </si>
  <si>
    <t>ENVIRONMENTAL SUSTAINABILITY</t>
  </si>
  <si>
    <t>Ensifer meliloti; Draft genome; Nitrogen metabolism; Stress endurance</t>
  </si>
  <si>
    <t>ALFALFA-NODULATING RHIZOBIA; GENES; EXOPOLYSACCHARIDE; THIOREDOXIN; METABOLISM; TRANSPORT; SYMBIOSIS; SEQUENCE; MUTATION; GLYCOGEN</t>
  </si>
  <si>
    <t>Herein we present the draft genome (7.32 Mb and 62% GC content) of melanin- and laccase-producing Sinorhizobium (Ensifer) meliloti strain CE52G isolated from alfalfa nodules. We analyzed the genome and, performed a few in-bench experiments to corroborate some information. We found the gene for the laccase, probably involved in the production of the pigment melanin. CE52G shows genes for: (i) Embden-Meyerhof (EMP) and Entner-Doudoroff (ED) pathways; (ii) dissimilation and assimilation of nitrate, assimilation to ammonia, and conversion of nitrous oxide to nitrogen; (iii) Nodulation Factor and Mo-nitrogenase synthesis; (iv) synthesis and degradation of polyhydroxybutyrate and glycogen; (v) succinoglycan (EPS I) and galactoglucan (EPS II); and (vi) acidic and oxidative stress endurance. This bacterium does not produce siderophores but has the genomic machinery for the acquisition of siderophores (produced by other organisms) and hemophores for the uptake of heme from the environment. Among others, we found genes for two-component systems involved in the uptake of dicarboxylic acids and, the response to acidic conditions. The general information is discussed in terms of their relevance during CE52G association with plants and environmental adaptation.</t>
  </si>
  <si>
    <t>[Cagide, Celica; Garcia-Lavina, Cesar X.; Castro-Sowinski, Susana] Univ Republica, Fac Ciencias, Secc Bioquim, Igua 4225, Montevideo 11400, Uruguay; [Morel, Maria A.] Univ Republica, Lab Microbiol Suelos, Fac Ciencias, Igua 4225, Montevideo 11400, Uruguay; [Morel, Maria A.; Castro-Sowinski, Susana] Inst Invest Biol Clemente Estable, Microbiol Mol, Ave Italia 3318, Montevideo, Uruguay</t>
  </si>
  <si>
    <t>Universidad de la Republica, Uruguay; Universidad de la Republica, Uruguay; Instituto de Investigaciones Biologicas Clemente Estable Uruguay</t>
  </si>
  <si>
    <t>Castro-Sowinski, S (corresponding author), Univ Republica, Fac Ciencias, Secc Bioquim, Igua 4225, Montevideo 11400, Uruguay.;Castro-Sowinski, S (corresponding author), Inst Invest Biol Clemente Estable, Microbiol Mol, Ave Italia 3318, Montevideo, Uruguay.</t>
  </si>
  <si>
    <t>ccagide@fcien.edu.uy; cgarcia@fcien.edu.uy; mmorel@fcien.edu.uy; scs@fcien.edu.uy</t>
  </si>
  <si>
    <t>Basic Sciences Development Program (PEDECIBA; Programa de Desarrollo de las Ciencias Basicas); National Agency for Research and Innovation (ANII; Agencia Nacional de Investigacion e Innovacion); Uruguayan Antarctic Institute (IAU, Instituto Antartico Uruguayo)</t>
  </si>
  <si>
    <t>This work was financially supported by the Basic Sciences Development Program (PEDECIBA; Programa de Desarrollo de las Ciencias Basicas). S. Castro-Sowinski, C. Garcia and Maria A. Morel are members of the National Research System (SNI, Sistema Nacional de Investigadores). The work of C. Cagide was supported by the National Agency for Research and Innovation (ANII; Agencia Nacional de Investigacion e Innovacion). We thank the Uruguayan Antarctic Institute (IAU, Instituto Antartico Uruguayo) for partial financial support and logistics during the stay in the Artigas Scientific Antarctic Base.</t>
  </si>
  <si>
    <t>2523-8922</t>
  </si>
  <si>
    <t>ENVIRON SUSTAIN</t>
  </si>
  <si>
    <t>Environ. Sustain.</t>
  </si>
  <si>
    <t>10.1007/s42398-023-00273-w</t>
  </si>
  <si>
    <t>CR9V4</t>
  </si>
  <si>
    <t>WOS:001127096200012</t>
  </si>
  <si>
    <t>López-Gappa, J; Ezcurra, MD; Martha, SO; Pérez, LM</t>
  </si>
  <si>
    <t>Lopez-Gappa, Juan; Ezcurra, Martin D.; Martha, Silviu O.; Perez, Leandro M.</t>
  </si>
  <si>
    <t>Species of Inversiulidae Vigneaux, 1949 (Bryozoa: Cheilostomatida) in the early Miocene of Patagonia (Argentina), with a phylogenetic and palaeobiogeographical analysis of the family</t>
  </si>
  <si>
    <t>JOURNAL OF SYSTEMATIC PALAEONTOLOGY</t>
  </si>
  <si>
    <t>Inversiula; Parainversiula gen. nov.; umbonuloid frontal shield; Monte Leon Formation; Chenque Formation</t>
  </si>
  <si>
    <t>The family Inversiulidae, and its only genus Inversiula, are unique among cheilostome bryozoans owing to the reverse orientation of the operculum, which hinges distally instead of proximally. Inversiula currently includes four extant and one fossil species almost exclusively distributed in the Southern Hemisphere. A phylogenetic analysis of the Inversiulidae based on morphological characters was performed, showing the existence of two clades with contrasting development of the frontal shield. As a result of this analysis, Parainversiula gen. nov. is erected to contain inversiulid species with an umbonuloid frontal shield structure and fewer than 30 central spoked pores. Two poorly known fossil species from the early Miocene of Patagonia (Argentina), originally assigned to the genus Microporella, are here redescribed as Parainversiula sp. and P. chubutiana (Canu) comb. nov. The historical, time-calibrated biogeography of Inversiulidae was estimated using an event-based, multi-model quantitative analysis. The analyses estimated that Australasia was the ancestral area of Parainversiula and a dispersion of the genus into South America occurred between the late Eocene and Oligocene (c. 23-42 Ma), an event that could have been helped by the origin of the Antarctic Circumpolar Current.http://zoobank.org/urn:lsid:zoobank.org:pub:A2CFF6CE-9BC4-4D07-AA4A-890CC1F372D3</t>
  </si>
  <si>
    <t>[Lopez-Gappa, Juan; Ezcurra, Martin D.; Perez, Leandro M.] Consejo Nacl Invest Cient &amp; Tecn, Av Angel Gallardo 470, Buenos Aires, Argentina; [Lopez-Gappa, Juan] Museo Argentino Ciencias Nat Bernardino Rivadavia, Div Invertebrados, Av Angel Gallardo 470, Buenos Aires, Argentina; [Ezcurra, Martin D.] Museo Argentino Ciencias Nat Bernardino Rivadavia, Secc Paleontol Vertebrados, Av Angel Gallardo 470, Buenos Aires, Argentina; [Martha, Silviu O.] Senckenberg Nat Museum Frankfurt, Senckenberganlage 25, D-60325 Frankfurt, Germany; [Perez, Leandro M.] UNLP, Fac Ciencias Nat &amp; Museo, Div Paleozool Invertebrados, Anexo Museo 122 &amp; 60, La Plata, Buenos Aires, Argentina</t>
  </si>
  <si>
    <t>Consejo Nacional de Investigaciones Cientificas y Tecnicas (CONICET); Museo Argentino de Ciencias Naturales Bernardino Rivadavia (MACN); Museo Argentino de Ciencias Naturales Bernardino Rivadavia (MACN); National University of La Plata; Museo La Plata</t>
  </si>
  <si>
    <t>López-Gappa, J (corresponding author), Consejo Nacl Invest Cient &amp; Tecn, Av Angel Gallardo 470, Buenos Aires, Argentina.;López-Gappa, J (corresponding author), Museo Argentino Ciencias Nat Bernardino Rivadavia, Div Invertebrados, Av Angel Gallardo 470, Buenos Aires, Argentina.</t>
  </si>
  <si>
    <t>Martha, Silviu/F-9686-2016</t>
  </si>
  <si>
    <t>Martha, Silviu/0000-0002-0540-6013; Lopez-Gappa, Juan/0000-0002-9567-9401</t>
  </si>
  <si>
    <t>Agence Nationale de la Recherche via the programme 'Investissements d'avenir' [ANR-11-INBS-0004-RECOLNAT]</t>
  </si>
  <si>
    <t>Agence Nationale de la Recherche via the programme 'Investissements d'avenir'(Agence Nationale de la Recherche (ANR))</t>
  </si>
  <si>
    <t>Two anonymous reviewers made useful comments on an earlier version of this article. Thanks to Guido Pastorino (MACN) and Miguel Griffin (Museo de La Plata, UNLP) for collecting material from Monte Leon. Anahi Azpeitia and Fabian Tricarico operated the Scanning Electron Microscope at LIMF and MACN, respectively. Claudia del Rio allowed us access to the MACN-Pi collection. This work benefited from a grant of the French state managed by the Agence Nationale de la Recherche via the programme 'Investissements d'avenir' (ANR-11-INBS-0004-RECOLNAT). We thank Jean-Michel Pacaud (MNHN) for information about the Tournouer Collection at the MNHN and Loic Villier for arranging SEM imaging at Sorbonne Universite.</t>
  </si>
  <si>
    <t>1477-2019</t>
  </si>
  <si>
    <t>1478-0941</t>
  </si>
  <si>
    <t>J SYST PALAEONTOL</t>
  </si>
  <si>
    <t>J. Syst. Palaeontol.</t>
  </si>
  <si>
    <t>JUN 1</t>
  </si>
  <si>
    <t>10.1080/14772019.2023.2279674</t>
  </si>
  <si>
    <t>Evolutionary Biology; Paleontology</t>
  </si>
  <si>
    <t>CF8W2</t>
  </si>
  <si>
    <t>WOS:001123936800001</t>
  </si>
  <si>
    <t>Masunaga, R; Miyakawa, T; Kawasaki, T; Yashiro, H</t>
  </si>
  <si>
    <t>Masunaga, Ryusuke; Miyakawa, Tomoki; Kawasaki, Takao; Yashiro, Hisashi</t>
  </si>
  <si>
    <t>Flux Adjustment on Seasonal-Scale Sea Surface Temperature Drift in NICOCO</t>
  </si>
  <si>
    <t>JOURNAL OF THE METEOROLOGICAL SOCIETY OF JAPAN</t>
  </si>
  <si>
    <t>air-sea interaction; coupled model; high performance computing</t>
  </si>
  <si>
    <t>STOCHASTIC CLIMATE MODELS; GENERAL-CIRCULATION; ATMOSPHERE MODELS; COUPLED MODEL; OCEAN; SIMULATIONS; OSCILLATION; PREDICTION; ADVECTION; RESPONSES</t>
  </si>
  <si>
    <t>High-resolution atmosphere-ocean coupled models are the primary tool for subseasonal to seasonal-scale (S2S) prediction. However, seasonal-scale sea surface temperature (SST) drift is inevitable due to the imbalance between the model components, which may deteriorate the prediction skill. Here, we investigate the performance of a simple flux adjustment method specifically designed to suppress seasonal-scale SST drift through case studies. The Nonhydrostatic Icosahedral Atmospheric Model (NICAM)-Center for Climate System Research Ocean Component Model (COCO) coupled weather/climate model, referred to as NICOCO, was used for wintertime 40-day integrations with a horizontal resolution of 14 km for the atmosphere and 0.25 degrees for the ocean components. The coupled model with no flux adjustment suffers SST drift of typically -1.5-2 degrees C in 40 days over the tropical, sub-tropical, and Antarctic regions. Simple flux adjustment was found to sufficiently suppress the SST drift. Nevertheless, the lead-lag correlation analysis revealed that air-sea interactions are likely to be appropriately represented under flux adjustment. Thus, high-resolution coupled models with flux adjustment can significantly improve S2S prediction.</t>
  </si>
  <si>
    <t>[Masunaga, Ryusuke] Japan Agcy Marine Earth Sci &amp; Technol, Yokohama, Kanagawa, Japan; [Masunaga, Ryusuke; Miyakawa, Tomoki; Kawasaki, Takao] Univ Tokyo, Atmosphere &amp; Ocean Res Inst, Kashiwa, Chiba, Japan; [Yashiro, Hisashi] Natl Inst Environm Studies, Tsukuba, Ibaraki, Japan</t>
  </si>
  <si>
    <t>Japan Agency for Marine-Earth Science &amp; Technology (JAMSTEC); University of Tokyo; National Institute for Environmental Studies - Japan</t>
  </si>
  <si>
    <t>Masunaga, R (corresponding author), Japan Agcy Marine Earth Sci &amp; Technol, 3173-25,Showa Machi,Kanazawa Ku, Yokohama, Kanagawa 2360001, Japan.</t>
  </si>
  <si>
    <t>masunagar@jamstec.go.jp</t>
  </si>
  <si>
    <t>; YASHIRO, HISASHI/C-4617-2016</t>
  </si>
  <si>
    <t>Masunaga, Ryusuke/0000-0002-6734-4559; YASHIRO, HISASHI/0000-0002-2678-526X</t>
  </si>
  <si>
    <t>MEXT [JPMXP1020200305]</t>
  </si>
  <si>
    <t>MEXT(Ministry of Education, Culture, Sports, Science and Technology, Japan (MEXT))</t>
  </si>
  <si>
    <t>We would like to thank the editor and two anonymous reviewers for their constructive suggestions. We thank Drs. Chihiro Kodama and Masao Kurogi for their valuable suggestions. We also thank Drs. Yohei Yamada, Hidetaka Kobayashi, and Takashi Obase for their technical support. This work was supported by MEXT (JPMXP1020200305) as Program for Promoting Researches on the Supercomputer 'Fugaku' (Large Ensemble Atmospheric and Environmental Prediction for Disaster Prevention and Mitigation) and used computational resources of Supercomputer Fugaku provided by the RIKEN Center for Computational Science (ID:hp200128, hp210166, hp220167). J-OFURO3 was obtained from the Data Integration and Analysis System (DIAS), which was developed and operated by a project supported by MEXT. We thank Editage for English language editing.</t>
  </si>
  <si>
    <t>METEOROLOGICAL SOC JAPAN</t>
  </si>
  <si>
    <t>C/O JAPAN METEOROLOGICAL AGENCY 1-3-4 OTE-MACHI, CHIYODA-KU, TOKYO, 100-0004, JAPAN</t>
  </si>
  <si>
    <t>0026-1165</t>
  </si>
  <si>
    <t>2186-9057</t>
  </si>
  <si>
    <t>J METEOROL SOC JPN</t>
  </si>
  <si>
    <t>J. Meteorol. Soc. Jpn.</t>
  </si>
  <si>
    <t>10.2151/jmsj.2023-010</t>
  </si>
  <si>
    <t>W4XM6</t>
  </si>
  <si>
    <t>WOS:001091672300001</t>
  </si>
  <si>
    <t>Mikhailov, AV; Perrone, L</t>
  </si>
  <si>
    <t>Mikhailov, Andrey V.; Perrone, Loredana</t>
  </si>
  <si>
    <t>Whether Sudden Stratospheric Warming Effects Are Seen in the Midlatitude Thermosphere of the Opposite Hemisphere?</t>
  </si>
  <si>
    <t>GLOBAL PLASMASPHERIC TEC; WIND MODEL; SOLAR EUV; SATELLITE; IONOSPHERE; MIDDLE; TIME</t>
  </si>
  <si>
    <t>The reaction of midlatitude daytime foF(2) and thermospheric parameters in two Hemispheres has been analyzed for a minor Arctic Sudden Stratospheric Warming (SSW) in January 2008, three major Arctic SSWs in January 2006, 2009, 2013, and a minor Antarctic SSW in September 2019. Arctic SSWs always result in a simultaneous foF(2) depression observed at some stations in the Northern Hemisphere but not necessary in the opposite Hemisphere, that is, not all SSWs have global appearance. Thermospheric parameters retrieved from ionospheric observations in two Hemispheres manifest a dependence on the type of SSW (major/minor) and its magnitude. Pronounced thermospheric SSW effects in the opposite (Southern) Hemisphere may be expected only for strong major Arctic SSW events. Retrieved exospheric temperature does not manifest any visible reaction to SSWs both for major and minor SSW events. The duration of foF(2) and atomic oxygen decrease related to SSW is 3-5 days in the vicinity of the SSW peak. Both observed neutral gas density and retrieved thermospheric parameters do not manifest a significant difference comparing western and eastern regions of North America during the minor Antarctic SSW in September 2019. Therefore, the previously reported (80-100%) increase in TEC in the western region of North America was not related with variations of neutral composition and winds.</t>
  </si>
  <si>
    <t>[Mikhailov, Andrey V.] Pushkov Inst Terr Magnetism, Moscow, Russia; [Mikhailov, Andrey V.; Perrone, Loredana] Ist Nazl Geofis &amp; Vulcanol INGV, Rome, Italy</t>
  </si>
  <si>
    <t>Istituto Nazionale Geofisica e Vulcanologia (INGV)</t>
  </si>
  <si>
    <t>Perrone, L (corresponding author), Ist Nazl Geofis &amp; Vulcanol INGV, Rome, Italy.</t>
  </si>
  <si>
    <t>loredana.perrone@ingv.it</t>
  </si>
  <si>
    <t>Perrone, Loredana/0000-0003-4335-0345</t>
  </si>
  <si>
    <t>MUR [CUP D53J19000170001]</t>
  </si>
  <si>
    <t>MUR(Ministry of Education, Universities and Research (MIUR))</t>
  </si>
  <si>
    <t>This research was carried within the INGV Pianeta Dinamico Project (CUP D53J19000170001), The Solar wind-Earth's magnetosphere Relationships and their Effects on ioNosphere and upper and lower Atmosphere (SERENA)-2021, funded by MUR (law 145/2018). The authors thanks for the Ionosonde data the GIRO group. Data from the South African Ionosonde network is made available through the South African National Space Agency (SANSA), who are acknowledged for facilitating and coordinating the continued availability of data. This publication uses data from: the ionospheric observatory in Roquetes, Spain, owned and operated by the Fundacio Observatori de l'Ebre; from the Juliusruh Ionosonde which is owned by the Leibniz Institute of Atmospheric Physics Kuehlungsborn. The responsible Operations Manager is Jens Mielich; from the ionospheric observatory in Dourbes, owned and operated by the Royal Meteorological Institute (RMI) of Belgium.</t>
  </si>
  <si>
    <t>e2023JA031285</t>
  </si>
  <si>
    <t>10.1029/2023JA031285</t>
  </si>
  <si>
    <t>H9GW4</t>
  </si>
  <si>
    <t>WOS:000998970100001</t>
  </si>
  <si>
    <t>Weygand, JM; Hartinger, MD; Strangeway, RJ; Welling, DT; Kim, H; Matzka, J; Clauer, CR</t>
  </si>
  <si>
    <t>Weygand, J. M.; Hartinger, M. D.; Strangeway, R. J.; Welling, D. T.; Kim, Hyomin; Matzka, Juergen; Clauer, C. Robert</t>
  </si>
  <si>
    <t>Interhemispheric Asymmetry Due To IMF By Within the Cusp Spherical Elementary Currents</t>
  </si>
  <si>
    <t>interhemispheric asymmetry; magnetometers; ionospheric currents; spherical elementary currents; conjugate observations; IMF By</t>
  </si>
  <si>
    <t>INTERPLANETARY MAGNETIC-FIELD; DEPENDENT PLASMA-FLOW; BIRKELAND CURRENTS; HIGH-LATITUDE; PARTICLE-PRECIPITATION; DAYSIDE MAGNETOSPHERE; MAGNETOMETER ARRAY; ALIGNED CURRENTS; Y-COMPONENT; IONOSPHERE</t>
  </si>
  <si>
    <t>Observations of interhemispheric asymmetry in the cusp region due to the interplanetary magnetic field (IMF) By component have been performed for years, but those observations typically are not simultaneous in both hemispheres and represent an average picture. Simultaneous instantaneous observations in both hemispheres are rare. We have combined four sets of magnetometers in Antarctica to produce equivalent ionospheric currents and current amplitudes at 10 s resolution using the spherical elementary current systems technique. These Antarctica spherical elementary currents are roughly conjugate to the northern hemisphere spherical elementary currents derived over Greenland and North America. We examined five intervals with large interplanetary magnetic field By positive and negative and demonstrate that the equivalent current pattern in opposite hemispheres are asymmetric with respect to one another during IMF By positive with the cusp throat opening towards the dusk in the northern hemisphere and towards the dawn in the southern hemisphere. This configuration reverses for interplanetary magnetic field By negative. In one of these events we examine the rotation of the equivalent currents in real time in the northern hemisphere. We also compare these results with virtual magnetometer predictions from the Space Weather Modeling Framework. Simultaneous spherical elementary currents observations in both hemispheres are important because they allow us to observe the evolution of the cusp throat during changing solar wind and interplanetary magnetic field conditions.</t>
  </si>
  <si>
    <t>[Weygand, J. M.; Strangeway, R. J.] Univ Calif Los Angeles, Dept Earth Planetary Space Sci, Los Angeles, CA 90095 USA; [Hartinger, M. D.] Space Sci Inst, Boulder, CO USA; [Welling, D. T.] Univ Michigan, Dept Atmospher Ocean &amp; Space Sci, Ann Arbor, MI USA; [Kim, Hyomin] New Jersey Inst Technol, Newark, NJ USA; [Matzka, Juergen] GFZ German Res Ctr Geosci, Potsdam, Germany; [Clauer, C. Robert] Virginia Tech, Blacksburg, VA USA</t>
  </si>
  <si>
    <t>University of California System; University of California Los Angeles; University of Michigan System; University of Michigan; New Jersey Institute of Technology; Helmholtz Association; Helmholtz-Center Potsdam GFZ German Research Center for Geosciences; Virginia Polytechnic Institute &amp; State University</t>
  </si>
  <si>
    <t>Weygand, JM (corresponding author), Univ Calif Los Angeles, Dept Earth Planetary Space Sci, Los Angeles, CA 90095 USA.</t>
  </si>
  <si>
    <t>jweygand@igpp.ucla.edu</t>
  </si>
  <si>
    <t>Hartinger, Michael/H-9088-2012; Matzka, Jurgen/J-9420-2014</t>
  </si>
  <si>
    <t>Matzka, Jurgen/0000-0001-9926-2796; Welling, Daniel/0000-0002-0590-1022; Strangeway, Robert/0000-0001-9839-1828</t>
  </si>
  <si>
    <t>NSF GEO-NERC; NASA [2027190]; NASA HSR award [80GSFC17C0018, 80NSSC18K1220, 80675]; NASA DRIVE/UTA [80NSSC21K0132]; NSF [80NSSC18K1227]; US National Science Foundation at Augsburg University [PLR-1443507, AGS-1004736, OPP-1744861, ATM-0827903]; Magnetospheric Physics Program of National Science Foundation [AGS-0245139]; [OPP-1643700]</t>
  </si>
  <si>
    <t>NSF GEO-NERC; NASA(National Aeronautics &amp; Space Administration (NASA)); NASA HSR award; NASA DRIVE/UTA; NSF(National Science Foundation (NSF)); US National Science Foundation at Augsburg University; Magnetospheric Physics Program of National Science Foundation;</t>
  </si>
  <si>
    <t>J.M. Weygand would like to acknowledge NSF GEO-NERC award number 2027190, NASA contract 80GSFC17C0018, NASA award number 80NSSC18K1220, and NASA HSR award number 80NSSC18K1227. R.J. Strangeway, D. Welling, and J.M. Weygand would like to acknowledge NASA DRIVE/UTA award number 80675. We thank the many different groups operating magnetometer arrays for providing data for this study including: We thank the AALPIP magnetometer team at mist.nianet.org for supplying Antarctica magnetometer data. The work at New Jersey Institute of Technology was supported by NASA Grant 80NSSC21K0132 and NSF Grant OPP-1744861. The fluxgate magneto-meter projects at South Pole and AGO stations are supported by NSF Grants OPP-1643700 and PLR-1443507, respectively, managed by the New Jersey Institute of Technology. We thank Andrew J. Gerrard for making these data available. We thank Mervyn P. Freeman for making the British Antarctic Survey magneto-meter data available. We thank Brian J. Anderson, the AMPERE team, and the AMPERE Science Data Center for providing data products derived from the Iridium Communications constellation, enabled by support from the National Science Foundation. The THEMIS UCLA magnetometer network (Ground-based Imager and Magnetometer Network for Auroral Studies) is funded through NSF Grant AGS-1004736. The authors thank I.R. Mann, D.K. Milling and the rest of the CARISMA team for data. CARISMA is operated by the University of Alberta, funded by the Canadian Space Agency. The Canadian Magnetic Observatory Network (CANMON) is maintained and operated by the Geological Survey of Canada-http://gsc.nrcan.gc.ca/geomag. The Magnetometer Array for Cusp and Cleft Studies (MACCS) array is supported by US National Science Foundation Grant ATM-0827903 at Augsburg University and M. J. Engebretson, D. Murr, and E.S. Steinmetz. The McMAC Project is sponsored by the Magnetospheric Physics Program of National Science Foundation through Grant AGS-0245139 and was maintained by Dr. Peter Chi. The Falcon magnetometers were maintained by United States Air Force Academy (USAFA) and Peter Chi. We would like to thank the DTU magnetometer team. The Solar and Terrestrial Physics (STEP) magnetometer file storage is at Department of Earth and Planetary Physics, University of Tokyo and maintained by Dr. Kanji Hayashi. Finally, the United States Geological Survey (USGS) Geomagnetism Program.</t>
  </si>
  <si>
    <t>e2023JA031430</t>
  </si>
  <si>
    <t>10.1029/2023JA031430</t>
  </si>
  <si>
    <t>J0IS6</t>
  </si>
  <si>
    <t>WOS:001006534100001</t>
  </si>
  <si>
    <t>Golovin, PN; Molchanov, MS</t>
  </si>
  <si>
    <t>Golovin, P. N.; Molchanov, M. S.</t>
  </si>
  <si>
    <t>Fine-scale Modeling of Water Dynamics on the Shelf and Continental Slope in the Antarctic</t>
  </si>
  <si>
    <t>Antarctic; formation of Antarctic shelf water; fine-scale modeling of shelf and slope cascading; model verification based on field submesoscale and fine-scale hydrological observations</t>
  </si>
  <si>
    <t>BOTTOM WATER; THERMOHALINE VARIABILITY; GRAVITY CURRENTS; SEA; FLOWS; DEEP; SIMULATIONS; STABILITY; DENSITY; REGION</t>
  </si>
  <si>
    <t>The use of the Fluidity-ICOM model in a full non-hydrostatic formulation enables the correct investigation of fine-scale water dynamics and water transformations on the Antarctic shelf and the continental slope. A possibility of solving problems with high order of accuracy in models is determined by the use of a three-dimensional adaptive unstructured mesh with automatic refinement to given scales. The modernization of the graphical model output has made it possible to visualize reliably the details of simulated hydrophysical process development, to obtain the numerical estimates of parameters of these processes, and to verify them against unique field observation data. An original three-dimensional numerical experiment was held in the area of a shelf glade with an open water surface. In this case, the real salt (buoyancy) flux is specified, which is caused by the in-water ice formation in the glade and obtained from the actual atmospheric forcing. As a result, the convective circulation was correctly simulated as a process of forming dense water on the shelf, which then flows down the shelf and the continental slope in the form of discrete density currents. Similarity of the model geometric, dynamic, and hydrophysical characteristics of cascading with the characteristics obtained from the analysis of field observations is noted.</t>
  </si>
  <si>
    <t>[Golovin, P. N.; Molchanov, M. S.] Arctic &amp; Antarctic Res Inst, Ul Beringa 38, St Petersburg 199397, Russia</t>
  </si>
  <si>
    <t>Golovin, PN (corresponding author), Arctic &amp; Antarctic Res Inst, Ul Beringa 38, St Petersburg 199397, Russia.</t>
  </si>
  <si>
    <t>golovin@aari.ru</t>
  </si>
  <si>
    <t>Russian Science Foundation [22-27-00013]</t>
  </si>
  <si>
    <t>The research was supported by the Russian Science Foundation (grant 22-27-00013).</t>
  </si>
  <si>
    <t>10.3103/S106837392306002X</t>
  </si>
  <si>
    <t>S9TI7</t>
  </si>
  <si>
    <t>WOS:001074514200002</t>
  </si>
  <si>
    <t>Deinego, ID; Belyaev, KP; Tarakanov, RY</t>
  </si>
  <si>
    <t>Deinego, I. D.; Belyaev, K. P.; Tarakanov, R. Yu.</t>
  </si>
  <si>
    <t>Assimilation of Expedition Observation Data on Water Temperature and Salinity in the Region of Drake Passage</t>
  </si>
  <si>
    <t>assimilation of observational data; salinity; temperature; South Atlantic; generalized Kalman filter; INMOM</t>
  </si>
  <si>
    <t>ANTARCTIC BOTTOM WATER; CIRCUMPOLAR CURRENT; SCOTIA SEA; WESTERN PART; CURRENTS; TRANSPORT; OCEAN; MODEL; JETS</t>
  </si>
  <si>
    <t>Results of numerical experiments on the assimilation of in situ temperature and salinity profiles observed in the region of Drake Passage (the South Atlantic) during the expedition of Shirshov Institute of Oceanology of Russian Academy of Sciences (RAS) in the autumn of 2011 into the INMOM model developed by Marchuk Institute of Numerical Mathematics of RAS are considered. The previously developed method of assimilation presented in several publications is used. As a result of some experiments, it has been shown that the structure of the anticyclonic circulation associated with the Brazil-Malvinas Confluence in the area of the Argentine Basin has been mostly affected by the expedition data assimilation. Assimilated fields of ocean temperature on the surface and at various horizons show better agreement with reanalysis data than corresponding fields without assimilation. It is also demonstrated that the influence of assimilation spreads much further beyond the local area of observations and leads to changing all calculated characteristics (not only observed ones).</t>
  </si>
  <si>
    <t>[Deinego, I. D.; Belyaev, K. P.; Tarakanov, R. Yu.] Russian Acad Sci, Shirshov Inst Oceanol, Nakhimovskii Pr 36, Moscow 117997, Russia; [Belyaev, K. P.] Russian Acad Sci, Fed Res Ctr Informat &amp; Management, Ul Vavilova 44 k-2, Moscow 119333, Russia</t>
  </si>
  <si>
    <t>Russian Academy of Sciences; Shirshov Institute of Oceanology; Russian Academy of Sciences; Federal Research Center Computer Science &amp; Control of RAS</t>
  </si>
  <si>
    <t>Deinego, ID (corresponding author), Russian Acad Sci, Shirshov Inst Oceanol, Nakhimovskii Pr 36, Moscow 117997, Russia.</t>
  </si>
  <si>
    <t>deinego182@gmail.com</t>
  </si>
  <si>
    <t>Governmental Assignment of Shirshov Institute of Oceanology of Russian Academy of Sciences [FMWE-2021-0016]; Russian Science Foundation [21-77-20004]</t>
  </si>
  <si>
    <t>Governmental Assignment of Shirshov Institute of Oceanology of Russian Academy of Sciences; Russian Science Foundation(Russian Science Foundation (RSF))</t>
  </si>
  <si>
    <t>The research was per formed in the frame work of the Governmental Assignment of Shirshov Institute of Oceanology of Russian Academy of Sciences FMWE-2021-0016 and supported by the Russian Science Foundation (grant 21-77-20004) (model simula tions).</t>
  </si>
  <si>
    <t>10.3103/S1068373923060031</t>
  </si>
  <si>
    <t>WOS:001074514200003</t>
  </si>
  <si>
    <t>McCahey, D</t>
  </si>
  <si>
    <t>McCahey, Daniella</t>
  </si>
  <si>
    <t>ANTARCTIC PIONEER: THE TRAILBLAZING LIFE OF JACKIE RONNE</t>
  </si>
  <si>
    <t>[McCahey, Daniella] Texas Tech Univ, Box 41013,131 Holden Hall, Lubbock, TX 79409 USA</t>
  </si>
  <si>
    <t>Texas Tech University System; Texas Tech University</t>
  </si>
  <si>
    <t>McCahey, D (corresponding author), Texas Tech Univ, Box 41013,131 Holden Hall, Lubbock, TX 79409 USA.</t>
  </si>
  <si>
    <t>dmccahey@ttu.edu</t>
  </si>
  <si>
    <t>R6QJ0</t>
  </si>
  <si>
    <t>WOS:001065578500010</t>
  </si>
  <si>
    <t>Mokhov, II</t>
  </si>
  <si>
    <t>Mokhov, I. I.</t>
  </si>
  <si>
    <t>Mutual Changes in Temperature and Aerosol Content in the Atmosphere Based on Antarctic Ice Core Data for the Last 800 000 Years</t>
  </si>
  <si>
    <t>MOSCOW UNIVERSITY PHYSICS BULLETIN</t>
  </si>
  <si>
    <t>paleoclimatic reconstructions; Antarctic ice cores; Vostok station; EPICA; temperature changes/variations; radiatively-active atmospheric components; marine and continental aerosols</t>
  </si>
  <si>
    <t>GLOBAL TEMPERATURE; GLACIAL CYCLE; SHEET MODEL; CO2 CONTENT; DOME-C; CLIMATE; VOSTOK; LAG</t>
  </si>
  <si>
    <t>A comparative analysis of mutual changes in temperature and aerosol content in the atmosphere was carried out based on Antarctic ice core data obtained from the Russian station Vostok and the international EPICA project for the last 800 000 years. According to the results of cross-wavelet analysis for the last hundreds of thousands of years, variations in aerosol content in the atmosphere, as well as variations in the content of greenhouse gases CO2 and CH4, generally lag behind temperature changes for dominant glacial cycles within the last million years, with periods of approximately 100 000 years, associated with changes in the Earth's orbit eccentricity around the Sun. For shorter-period glacial cycles, opposite effects with a lag of temperature variations relative to variations in radiatively-active components, including marine and continental aerosols, are manifested on separate time intervals. In particular, the lag of temperature variations relative to variations in aerosol content in the atmosphere (as well as relative to variations in methane content) is observed for the modes associated with obliquity changes in the Earth's rotation axis with periods of approximately 40 000 years.</t>
  </si>
  <si>
    <t>[Mokhov, I. I.] Lomonosov State Univ, Fac Phys, Dept Atmospher Phys, Moscow 119991, Russia; [Mokhov, I. I.] Russian Acad Sci, Obukhov Inst Atmospher Phys, Moscow 119017, Russia</t>
  </si>
  <si>
    <t>Lomonosov Moscow State University; Russian Academy of Sciences; Obukhov Institute of Atmospheric Physics of Russian Academy of Sciences</t>
  </si>
  <si>
    <t>Mokhov, II (corresponding author), Lomonosov State Univ, Fac Phys, Dept Atmospher Phys, Moscow 119991, Russia.;Mokhov, II (corresponding author), Russian Acad Sci, Obukhov Inst Atmospher Phys, Moscow 119017, Russia.</t>
  </si>
  <si>
    <t>mokhov_ii@physics.msu.ru</t>
  </si>
  <si>
    <t>Russian Science Foundation [19-17-00240]</t>
  </si>
  <si>
    <t>&amp; nbsp;The work is supported by the Russian Science Foundation, project no. 19-17-00240.</t>
  </si>
  <si>
    <t>0027-1349</t>
  </si>
  <si>
    <t>1934-8460</t>
  </si>
  <si>
    <t>MOSC U PHYS B+</t>
  </si>
  <si>
    <t>Mosc. Univ. Phys. Bull.</t>
  </si>
  <si>
    <t>10.3103/S002713492303013X</t>
  </si>
  <si>
    <t>R0KW9</t>
  </si>
  <si>
    <t>WOS:001061326900020</t>
  </si>
  <si>
    <t>Jordaan, RK; Oosthuizen, WC; Reisinger, RR; de Bruyn, PJN</t>
  </si>
  <si>
    <t>Jordaan, Rowan K.; Oosthuizen, W. Chris; Reisinger, Ryan R.; de Bruyn, P. J. Nico</t>
  </si>
  <si>
    <t>The effect of prey abundance and fisheries on the survival, reproduction, and social structure of killer whales (Orcinus orca) at subantarctic Marion Island</t>
  </si>
  <si>
    <t>apex predator; environment; fishery; marine; population; threat</t>
  </si>
  <si>
    <t>SOUTHERN-OCEAN; POPULATION-DYNAMICS; SEA OTTERS; TOP-DOWN; CLIMATE; RECAPTURE; IMPACTS; CONSEQUENCES; INDICATORS; TOOTHFISH</t>
  </si>
  <si>
    <t>Most marine apex predators are keystone species that fundamentally influence their ecosystems through cascading top-down processes. Reductions in worldwide predator abundances, attributed to environmental- and anthropogenic-induced changes to prey availability and negative interactions with fisheries, can have far-reaching ecosystem impacts. We tested whether the survival of killer whales (Orcinus orca) observed at Marion Island in the Southern Indian Ocean correlated with social structure and prey variables (direct measures of prey abundance, Patagonian toothfish fishery effort, and environmental proxies) using multistate models of capture-recapture data spanning 12 years (2006-2018). We also tested the effect of these same variables on killer whale social structure and reproduction measured over the same period. Indices of social structure had the strongest correlation with survival, with higher sociality associated with increased survival probability. Survival was also positively correlated with Patagonian toothfish fishing effort during the previous year, suggesting that fishery-linked resource availability is an important determinant of survival. No correlation between survival and environmental proxies of prey abundance was found. At-island prey availability influenced the social structure of Marion Island killer whales, but none of the variables explained variability in reproduction. Future increases in legal fishing activity may benefit this population of killer whales through the artificial provisioning of resources they provide.</t>
  </si>
  <si>
    <t>[Jordaan, Rowan K.; de Bruyn, P. J. Nico] Univ Pretoria, Mammal Res Inst, Dept Zool &amp; Entomol, Pretoria, South Africa; [Oosthuizen, W. Chris] Univ Cape Town, Ctr Stat Ecol Environm SEEC, Cape Town, South Africa; [Reisinger, Ryan R.] Univ Southampton, Natl Oceanog Ctr Southampton, Ocean &amp; Earth Sci, Southampton, England</t>
  </si>
  <si>
    <t>University of Pretoria; University of Cape Town; University of Southampton; NERC National Oceanography Centre</t>
  </si>
  <si>
    <t>Jordaan, RK (corresponding author), Univ Pretoria, Mammal Res Inst, Dept Zool &amp; Entomol, Pretoria, South Africa.</t>
  </si>
  <si>
    <t>rowan.jordaan@up.ac.za</t>
  </si>
  <si>
    <t>de Bruyn, P. J. Nico/E-4176-2010; Oosthuizen, W. Chris/I-2947-2016; Reisinger, Ryan/D-6151-2014</t>
  </si>
  <si>
    <t>de Bruyn, P. J. Nico/0000-0002-9114-9569; Oosthuizen, W. Chris/0000-0003-2905-6297; Reisinger, Ryan/0000-0002-8933-6875</t>
  </si>
  <si>
    <t>South African Department of Science and Innovation (DSI) through the National Research Foundation's SANAP program; South African Department of Science and Innovation (DSI) through the National Research Foundation's Thuthuka program; International Whaling Commission Southern Ocean Research Partnership; Mohamed bin Zayed Species Conservation Fund [10251290]; FILAMO Mobility grant</t>
  </si>
  <si>
    <t>South African Department of Science and Innovation (DSI) through the National Research Foundation's SANAP program; South African Department of Science and Innovation (DSI) through the National Research Foundation's Thuthuka program; International Whaling Commission Southern Ocean Research Partnership; Mohamed bin Zayed Species Conservation Fund; FILAMO Mobility grant</t>
  </si>
  <si>
    <t>This work would not have been possible without the fieldworkers and individuals who collected long-term data on killer whales at Marion Island. Marion Island killer whale research was conducted in accordance with the provisions of the Marine Living Resources Act, 1998 (Act 18 of 1998) and the Prince Edward Islands Management Plan v0.2 (2010). All research was also carried out under permit from the Director-General: Department of Forestry, Fisheries and the Environment (DFFE), South Africa. Logistical support for ongoing fieldwork at Marion Island was provided by the DFFE, through the South African National Antarctic Program (SANAP). Funding was provided by The South African Department of Science and Innovation (DSI) through the National Research Foundation's SANAP and Thuthuka programs. Further funding was provided through the International Whaling Commission Southern Ocean Research Partnership, as well as the Mohamed bin Zayed Species Conservation Fund (project number: 10251290). During his studies, R.K.J. was supported by a FILAMO Mobility grant. We are grateful for the comments and suggestions provided by two anonymous referees.</t>
  </si>
  <si>
    <t>e10144</t>
  </si>
  <si>
    <t>10.1002/ece3.10144</t>
  </si>
  <si>
    <t>I1UH7</t>
  </si>
  <si>
    <t>WOS:001000700200001</t>
  </si>
  <si>
    <t>Sandvig, EM; Quilodrán, CS; Altamirano, TA; Aguirre, F; Barroso, O; de Aguilar, JR; Schaub, M; Kéry, M; Vásquez, RA; Rozzi, R</t>
  </si>
  <si>
    <t>Sandvig, Erik M.; Quilodran, Claudio S.; Altamirano, Tomas A.; Aguirre, Francisco; Barroso, Omar; de Aguilar, Juan Rivero; Schaub, Michael; Kery, Marc; Vasquez, Rodrigo A.; Rozzi, Ricardo</t>
  </si>
  <si>
    <t>Survival rates in the world's southernmost forest bird community</t>
  </si>
  <si>
    <t>capture-mark-recapture; climate change; forest birds; hierarchical model; multispecies CJS model; Patagonia; survival</t>
  </si>
  <si>
    <t>HORN BIOSPHERE RESERVE; NORTH-ATLANTIC OSCILLATION; CLIMATE-CHANGE; POPULATION-DYNAMICS; ECOLOGY; BIODIVERSITY; PATTERNS; IMPACTS; DENSITY; WEATHER</t>
  </si>
  <si>
    <t>The Magellanic sub-Antarctic Forest is home to the world's southernmost avian community and is the only Southern Hemisphere analogue to Northern Hemisphere temperate forests at this latitude. This region is considered among the few remaining pristine areas of the world, and shifts in environmental conditions are predominantly driven by climate variability. Thus, understanding climate-driven demographic processes is critical for addressing conservation issues in this system under future climate change scenarios. Here, we describe annual survival patterns and their association with climate variables using a 20-year mark-recapture data set of five forest bird species in the Cape Horn Biosphere Reserve. We develop a multispecies hierarchical survival model to jointly explore age-dependent survival probabilities at the community and species levels in a group of five forest passerines. At the community level, we assess the association of migratory behavior and body size with survival, and at the species level, we investigate the influence of local and regional climatic variables on temporal variations of survival. We found a positive effect of precipitation and a negative effect of El Nino Southern Oscillation on juvenile survival in the white-crested Elaenia and a consistent but uncertain negative effect of temperature on survival in juveniles and 80% of adults. We found only a weak association of climate variables with survival across species in the community and no temporal trends in survival for any of the species in either age class, highlighting apparent stability in these high austral latitude forests. Finally, our findings provide an important resource of survival probabilities, a necessary input for assessing potential impacts of global climate change in this unique region of the world.</t>
  </si>
  <si>
    <t>[Sandvig, Erik M.; Quilodran, Claudio S.; Altamirano, Tomas A.; Aguirre, Francisco; Barroso, Omar; de Aguilar, Juan Rivero; Vasquez, Rodrigo A.; Rozzi, Ricardo] Univ Magallanes, Cape Horn Int Ctr, Puerto Williams, Chile; [Sandvig, Erik M.] Univ Santo Tomas, Fac Ciencias, Ctr Bahia Lomas, Santiago, Chile; [Sandvig, Erik M.; Schaub, Michael; Kery, Marc] Swiss Ornithol Inst Vogelwarte, Sempach, Switzerland; [Sandvig, Erik M.; Vasquez, Rodrigo A.] Univ Chile, Fac Ciencias, Dept Ciencias Ecol, Inst Ecol &amp; Biodivers IEB, Santiago, Chile; [Quilodran, Claudio S.] Univ Geneva, Dept Genet &amp; Evolut, Geneva, Switzerland; [Altamirano, Tomas A.] Natl Audubon Soc, Audubon Amer, Santiago, Chile; [Altamirano, Tomas A.] Pontificia Univ Catolica Chile, Ctr Local Dev CEDEL, Villarrica Campus, Villarrica, Chile; [Aguirre, Francisco] Univ Magallanes, Ctr Invest Gaia Antart CIGA, Punta Arenas, Chile; [Rozzi, Ricardo] Univ North Texas, Dept Biol Sciencies, Subantarct Biocultural Conservat Program, Denton, TX USA; [Vasquez, Rodrigo A.; Rozzi, Ricardo] Univ North Texas, Dept Biol Sci, Denton, TX USA</t>
  </si>
  <si>
    <t>Universidad de Magallanes; Universidad Santo Tomas; Universidad de Chile; University of Geneva; Pontificia Universidad Catolica de Chile; Universidad de Magallanes; University of North Texas System; University of North Texas Denton; University of North Texas System; University of North Texas Denton</t>
  </si>
  <si>
    <t>Sandvig, EM (corresponding author), Univ Santo Tomas, Fac Ciencias, Ctr Bahia Lomas, Santiago, Chile.</t>
  </si>
  <si>
    <t>esandvig@santotomas.cl</t>
  </si>
  <si>
    <t>Rozzi, Ricardo/G-1047-2012; Quilodran, Claudio/JVO-8631-2024</t>
  </si>
  <si>
    <t>Rozzi, Ricardo/0000-0001-5265-8726; Quilodran, Claudio/0000-0001-7197-9154; Aguirre, Francisco Javier/0000-0001-7546-0106; Barroso Putare, Omar/0000-0003-0565-329X; Vasquez, Rodrigo A/0000-0003-4309-6789; Schaub, Michael/0000-0003-2745-0557; Altamirano, Tomas/0000-0001-9839-7154; Sandvig, Erik/0000-0002-4180-000X</t>
  </si>
  <si>
    <t>ANID/FONDECYT [ACE210006, AFB170008]; Schweizerischer Nationalfonds zur Foerderung der Wissenschaftlichen Forschung [P5R5PB_203169]; ANID/BASAL [FB210018]; ANID/FONDECYT de Inicio [11230504]; Swiss National Science Foundation (SNF) [P5R5PB_203169] Funding Source: Swiss National Science Foundation (SNF)</t>
  </si>
  <si>
    <t>ANID/FONDECYT; Schweizerischer Nationalfonds zur Foerderung der Wissenschaftlichen Forschung; ANID/BASAL; ANID/FONDECYT de Inicio; Swiss National Science Foundation (SNF)(Swiss National Science Foundation (SNSF))</t>
  </si>
  <si>
    <t>ANID/FONDECYT, Grant/Award Number: ACE210006 and AFB170008; Schweizerischer Nationalfonds zur Foerderung der Wissenschaftlichen Forschung, Grant/Award Number: P5R5PB_203169; ANID/BASAL, Grant/Award Number: FB210018; ANID/FONDECYT de Inicio, Grant/Award Number: 11230504</t>
  </si>
  <si>
    <t>e10143</t>
  </si>
  <si>
    <t>10.1002/ece3.10143</t>
  </si>
  <si>
    <t>K3MO5</t>
  </si>
  <si>
    <t>WOS:001015516400001</t>
  </si>
  <si>
    <t>Fang, MM</t>
  </si>
  <si>
    <t>Fang, Mandy Meng</t>
  </si>
  <si>
    <t>China's at the Hainan Mandy Assistant Hong Introduction* Recent decades</t>
  </si>
  <si>
    <t>OCEAN YEARBOOK</t>
  </si>
  <si>
    <t>ENVIRONMENTAL GOVERNANCE; CHALLENGES; POLLUTION; IMPLEMENTATION; POLITICS; LAW</t>
  </si>
  <si>
    <t>Recent decades have experienced exponential growth in the use of plastics and inadequate management of the resulting waste, leading to the accumulation of plastic wastes in the marine environment globally.1 Even in the most remote parts of the Arctic and Antarctic Oceans and in every marine habitat, the existence of plastics has been recognized.2 The high societal penetration of plastics is primarily attributable to the material's versatility, durability, high strength-to-weight ratio, and low cost.3 However, many plastics are hazardous because they either contain chemical additives and plasticizers or absorb hazardous chemicals.4 The rapidly unfolding plastic</t>
  </si>
  <si>
    <t>[Fang, Mandy Meng] City Univ Hong Kon g, Sch Law, Hong Kong, Peoples R China</t>
  </si>
  <si>
    <t>Fang, MM (corresponding author), City Univ Hong Kon g, Sch Law, Hong Kong, Peoples R China.</t>
  </si>
  <si>
    <t>mengfang@cityu.edu.hk</t>
  </si>
  <si>
    <t>BRILL</t>
  </si>
  <si>
    <t>LEIDEN</t>
  </si>
  <si>
    <t>PLANTIJNSTRAAT 2, P O BOX 9000, 2300 PA LEIDEN, NETHERLANDS</t>
  </si>
  <si>
    <t>0191-8575</t>
  </si>
  <si>
    <t>2211-6001</t>
  </si>
  <si>
    <t>OCEAN YEARB</t>
  </si>
  <si>
    <t>Ocean Yearb.</t>
  </si>
  <si>
    <t>10.1163/22116001-03701013</t>
  </si>
  <si>
    <t>Environmental Studies</t>
  </si>
  <si>
    <t>P4TT5</t>
  </si>
  <si>
    <t>WOS:001050604700013</t>
  </si>
  <si>
    <t>Sun, XQ; Li, SL; Yang, DX</t>
  </si>
  <si>
    <t>Sun, Xue-Qian; Li, Shuang-Lin; Yang, Dong-Xia</t>
  </si>
  <si>
    <t>Air-sea coupling over the Tasman Sea intensifies the ENSO-related South Pacific atmospheric teleconnection</t>
  </si>
  <si>
    <t>ADVANCES IN CLIMATE CHANGE RESEARCH</t>
  </si>
  <si>
    <t>Tasman Sea; Air-sea coupling; ENSO-South Pacific atmospheric teleconnection</t>
  </si>
  <si>
    <t>VARIABILITY; CLIMATE; ICE; HEMISPHERE; IMPACTS; OCEAN; CIRCULATION; PATTERNS; MODES; ANOMALIES</t>
  </si>
  <si>
    <t>The ENSO-induced Pacific -South America (PSA) pattern is an important atmospheric bridge in linking the Antarctic climate to the tropical Pacific. The AGCM simulated PSA-like responses to ENSO are evidently weaker than the observed in terms of its intensity due to the lack of air-sea coupling processes. The Tasman Sea features active air-sea interactions. However, how and to what extent the air-sea coupling ex-plains the deficiency of the AGCM responses to ENSO is unclear. In this study, the role of the air-sea coupling elsewhere the tropical Pacific in shaping the ENSO-South Pacific teleconnection is first estimated by comparing the coupled tropical Pacific pacemaker experiments (PACE) derived from the Community Earth System Model version 1 (CESM1) and the parallel Pacific Ocean-Global Atmosphere experiments (POGA) with the same atmospheric component model of CESM1. Our results suggest that the air-sea coupling elsewhere the tropical Pacific greatly intensifies the South Pacific atmospheric response to ENSO. Then the separated impact of air-sea coupling over the Tasman Sea is stressed with another set of AGCM experiments forced with the PACE sea surface temperature (SST) outputs in the Tasman Sea. The results show that the atmospheric response to the SST anomalies in the Tasman Sea bears a remarkable resemblance to that due to the air-sea coupling elsewhere the tropical Pacific, and explains about 30% of the intensified amplitude. This highlights a substantial contribution of the air-sea coupling over the Tasman Sea to intensifying the extratropical South Pacific atmospheric responses to ENSO, and provides a new perspective on the connection between tropical Pacific and Antarctic climate change.</t>
  </si>
  <si>
    <t>[Sun, Xue-Qian; Li, Shuang-Lin] Chinese Acad Sci, Inst Atmospher Phys, Climate Change Res Ctr CCRC, Beijing 100029, Peoples R China; [Sun, Xue-Qian] Tianjin Key Lab Ocean Meteorol, Tianjin 300074, Peoples R China; [Sun, Xue-Qian] Tianjin Cent Observ Ocean Meteorol, Tianjin 300074, Peoples R China; [Li, Shuang-Lin] China Univ Geosci, Dept Atmospher Sci, Wuhan 430074, Peoples R China; [Yang, Dong-Xia] Univ Melbourne, ARC Ctr Excellence Climate Extremes, Melbourne, Australia; [Li, Shuang-Lin] Univ Chinese Acad Sci, Coll Earth &amp; Planetary Sci, Beijing, Peoples R China; [Li, Shuang-Lin] Chinese Acad Sci, Inst Atmospher Phys, CCRC, Beijing 100029, Peoples R China</t>
  </si>
  <si>
    <t>Chinese Academy of Sciences; Institute of Atmospheric Physics, CAS; China University of Geosciences; University of Melbourne; Chinese Academy of Sciences; University of Chinese Academy of Sciences, CAS; Chinese Academy of Sciences; Institute of Atmospheric Physics, CAS</t>
  </si>
  <si>
    <t>Li, SL (corresponding author), Chinese Acad Sci, Inst Atmospher Phys, CCRC, Beijing 100029, Peoples R China.</t>
  </si>
  <si>
    <t>Li, Shuanglin/0000-0002-4891-8561</t>
  </si>
  <si>
    <t>Strategic Priority Research Program of the Chinese Academy of Sciences [41790473]; National Natural Science Foundation of China [2019YFC1510105]; National Key Research and Development Program of China; [XDA19070402]</t>
  </si>
  <si>
    <t>Strategic Priority Research Program of the Chinese Academy of Sciences(Chinese Academy of Sciences); National Natural Science Foundation of China(National Natural Science Foundation of China (NSFC)); National Key Research and Development Program of China;</t>
  </si>
  <si>
    <t>This work was supported by the Strategic Priority Research Program of the Chinese Academy of Sciences (XDA19070402) , the National Natural Science Foundation of China (41790473) , and the National Key Research and Development Program of China (2019YFC1510105) .</t>
  </si>
  <si>
    <t>1674-9278</t>
  </si>
  <si>
    <t>ADV CLIM CHANG RES</t>
  </si>
  <si>
    <t>Adv. Clim. Chang. Res.</t>
  </si>
  <si>
    <t>10.1016/j.accre.2023.06.001</t>
  </si>
  <si>
    <t>P7SG6</t>
  </si>
  <si>
    <t>WOS:001052628700001</t>
  </si>
  <si>
    <t>Agranov, GD; Dubinin, EP; Grokholsky, AL; Leichenkov, GL</t>
  </si>
  <si>
    <t>Agranov, G. D.; Dubinin, E. P.; Grokholsky, A. L.; Leichenkov, G. L.</t>
  </si>
  <si>
    <t>Structure Formation of the Southeast Indian Ridge at the Early Stages of Development: Physical Modeling</t>
  </si>
  <si>
    <t>geology; tectonics; igneous province; hotspot; Southeast Indian Ridge; Kerguelen Plateau; Broken Ridge; Indian Ocean evolution; physical modeling</t>
  </si>
  <si>
    <t>KERGUELEN PLATEAU; TECTONIC EVOLUTION; OCEAN; SEPARATION; AUSTRALIA; FEATURES; HISTORY; BASINS; ZONES</t>
  </si>
  <si>
    <t>The features of the structure formation of the Earth's crust at the early stage of formation of the Southeast Indian Ridge were studied. The process of formation was associated with the separation of Australia from Antarctica and the advance of the rift zone westward towards the ancient oceanic lithosphere and, then, towards the large igneous province of Kerguelen, formed by the activity of the plume of the same name. The separation of Australia and Antarctica spanned a long period of continental rifting (similar to 160-80 Ma), which was followed by ultraslow spreading (similar to 80-45 Ma), slow spreading (similar to 45-40 Ma), and, finally, by recent stationary spreading at average rates (after 40 Ma). The advance of the rift zone towards the ancient oceanic lithosphere gave way to the accretion of young oceanic crust on the emerging Southeast Indian Mid-Oceanic Ridge. The early stages of development of the young spreading ridge are reflected in the modern structural plan of the study region. The advance of the rift zone from the continent into the boundaries of the ancient oceanic lithosphere led to the formation of the Naturalist Plateau and the Bruce Bank near the Antarctic margin. The break-up of the ancient oceanic lithosphere and the formation of the young crust on the Southeast Indian Ridge led to the formation of conjugated Diamantina and Labuan suture zones, fixing the position of the initial rifting. The transition from ultraslow spreading at the initial stage of oceanic crust formation to stationary spreading at average rates is clearly recorded in the change in the ruggedness of the accretionary relief. The Southeast Indian Mid-Oceanic Ridge collided as a result of its propagation westward with a large igneous province during the formation of the Kerguelen Plateau and separated the Broken Range from the plateau. The authors carried out physical modeling of the development conditions of rifting and spreading processes, as well as structure formation within the Southeast Indian Ridge.</t>
  </si>
  <si>
    <t>[Agranov, G. D.] Lomonosov Moscow State Univ, Dept Geol, Moscow 119234, Russia; [Dubinin, E. P.; Grokholsky, A. L.] Lomonosov Moscow State Univ, Museum Earth Sci, Moscow 119234, Russia; [Agranov, G. D.] Russian Acad Sci, Geol Inst, Moscow 119017, Russia; [Leichenkov, G. L.] All Russia Res Inst Geol &amp; Mineral Resources Ocean, St Petersburg 190121, Russia; [Leichenkov, G. L.] St Petersburg State Univ, Inst Earth Sci, St Petersburg 199034, Russia</t>
  </si>
  <si>
    <t>Lomonosov Moscow State University; Lomonosov Moscow State University; Russian Academy of Sciences; Geological Institute, Russian Academy of Sciences; Saint Petersburg State University</t>
  </si>
  <si>
    <t>Agranov, GD (corresponding author), Lomonosov Moscow State Univ, Dept Geol, Moscow 119234, Russia.;Agranov, GD (corresponding author), Russian Acad Sci, Geol Inst, Moscow 119017, Russia.</t>
  </si>
  <si>
    <t>Agranovgr@gmail.com</t>
  </si>
  <si>
    <t>10.1134/S0016852123030020</t>
  </si>
  <si>
    <t>WOS:001050486000001</t>
  </si>
  <si>
    <t>Chen, YT</t>
  </si>
  <si>
    <t>Chen, Yitong</t>
  </si>
  <si>
    <t>China's Role of Bioprospecting in Antarctica and Future Prospects</t>
  </si>
  <si>
    <t>CHINESE JOURNAL OF ENVIRONMENTAL LAW</t>
  </si>
  <si>
    <t>China; Antarctica; bioprospecting; Antarctic Treaty System</t>
  </si>
  <si>
    <t>MARINE PROTECTED AREAS; SOUTHERN-OCEAN; SCIENCE; CONSERVATION; MANAGEMENT; POLICY</t>
  </si>
  <si>
    <t>The rapid advancement of biotechnology in the late zoth century promoted bio-prospecting in Antarctica and has been a regular topic of discussion in the Antarctic Treaty Consultative Meeting (ATCM) since zooz. However, there still needs to be an explicit regulatory framework in the Antarctic Treaty System (ATS). Meanwhile, the Convention on Biological Diversity and the United Nations Convention on the Law of the Sea (uNCLoS) posed competitive governance mandates on regulating bioprospecting in the Antarctic Treaty Area and challenging the legitimacy of ATS. China's increasing Antarctic presence is also reflected in its bioprospecting activities. However, its enthusiasm for bioprospecting remains inconsistent with its approach towards the ATS through reluctant contribution on regulation. This article will analyze the discussions on bioprospecting in the ATCM as contained within the ACTM meeting documents. Then, this article will analyze how China should actively pursue legitimate bioprospecting interests in the Antarctic from three aspects, which include improv-ing domestic laws and regulations on access to genetic resources and benefit-sharing activities, speedy enactment of Antarctic legislation, and leading the establishment of regulations on Antarctic bioprospecting in the ATCM. It concludes with an outlook on bioprospecting regulation and China's role in future prospects.</t>
  </si>
  <si>
    <t>[Chen, Yitong] Ocean Univ China, Sch Law, Qingdao, Peoples R China</t>
  </si>
  <si>
    <t>Ocean University of China</t>
  </si>
  <si>
    <t>Chen, YT (corresponding author), Ocean Univ China, Sch Law, Qingdao, Peoples R China.</t>
  </si>
  <si>
    <t>chenyitong@ouc.edu.cn</t>
  </si>
  <si>
    <t>Chen, Yitong/0000-0002-8338-9749</t>
  </si>
  <si>
    <t>National Foundation for Australia-China Relations (NFACR)</t>
  </si>
  <si>
    <t>This paper is part of Macquarie University's Australia-China Biodiversity Law and Governance project, funded through the National Foundation for Australia-China Relations (NFACR) . Final responsibility for the views, information, or advice expressed in this paper is that of the author. The contents of this report do not necessarily reflect the views of the NFACR or the Australian government.</t>
  </si>
  <si>
    <t>2468-6034</t>
  </si>
  <si>
    <t>2468-6042</t>
  </si>
  <si>
    <t>CHINESE J ENV LAW</t>
  </si>
  <si>
    <t>Chin. J. Environ. Law</t>
  </si>
  <si>
    <t>10.1163/24686042-12340098</t>
  </si>
  <si>
    <t>Environmental Studies; Law</t>
  </si>
  <si>
    <t>Environmental Sciences &amp; Ecology; Government &amp; Law</t>
  </si>
  <si>
    <t>M6YY9</t>
  </si>
  <si>
    <t>WOS:001031664900006</t>
  </si>
  <si>
    <t>Chen, BW; Shi, S; Gong, W; Xu, Q; Tang, XT; Bi, SF; Chen, BW</t>
  </si>
  <si>
    <t>Chen Bowen; Shi Shuo; Gong Wei; Xu Qian; Tang Xingtao; Bi Sifu; Chen Biwu</t>
  </si>
  <si>
    <t>Target Classification of Hyperspectral Lidar Based on Optimization Selection of Spatial-Spectral Features</t>
  </si>
  <si>
    <t>remote sensing and sensors; lidar; hyperspectral imaging; spatial-spectral features; target classification</t>
  </si>
  <si>
    <t>VEGETATION INDEX; CHLOROPHYLL CONTENT; SOIL; BIOMASS; PLANT; PARAMETERS; ALGORITHM; RESIDUE; MODELS; LEAF</t>
  </si>
  <si>
    <t>Objective The refined target classification has always been a research hotspot in remote sensing and is also a prerequisite for studies on biomass calculation, global carbon cycle, and energy flow. With the continuous expansion and refinement in remote sensing detection, more effective and accurate target classification is becoming more complex and difficult. 3D spatial information and rich spectral information are typical attributes of a target, which is significant data support for target classification. Hyperspectral lidars have been successfully designed and structured for target classification to achieve the integrated acquisition of 3D spatial information and spectral information. With an aim at this new type of remote sensing data, how to develop and exploit its potential in target classification is of research significance. Therefore, to realize high-precision recognition and classification under complex scenes, we propose a target classification process of spatial-spectral feature optimization selection dependent on the hyperspectral lidar. This method can not only reduce feature redundancy and select the optimal feature combination for target classification but also reduce computational efficiency and save costs, thereby providing new research ideas for refined target classification with hyperspectral lidar. Methods With the continuous expansion of remote sensing detection, detection targets become more diversified and complicated. Constructing various spatial-spectral features based on spectral information and spatial information is a mainstream method to improve the accuracy of target classification. Based on the technological advantages of the integrated imaging detection of high spatial resolution and hyperspectral resolution, we construct spectral index features of the vegetable index and color index, and geometric features for target classification. Extracting lots of spatial-spectral classification features can enhance the classification accuracy, yet it may produce feature redundancy, increase the calculation cost, affect the classification efficiency, and even lead to declining classification accuracy. Therefore, we put forward a target classification process of spatial-spectral features optimization selection dependent on the hyperspectral lidar. In the feature space built by the hyperspectral lidar, these spatial-spectral features with the best classification significance are determined based on the marine predator algorithm by iterative search and selection to minimize the classification error. Finally, considering the feature heterogeneity of the selected feature combination, the feature correlation is calculated to eliminate feature redundancy and determine the optimal feature combination, thereby improving classification accuracy. Results and Discussions To further explore the technological advantages of hyperspectral lidar for target classification under complex scenes, and to compare and verify the feasibility and universality of the proposed method, we design six different classification strategies with different feature combinations. Classification results of these feature combinations are determined by a random forest algorithm. Total accuracy, average accuracy, Kappa coefficient, accuracy rate, and recall rate are adopted to evaluate the classification results of each category. Table 4 shows that the six different classification strategies yield sound classification results with the total accuracy higher than 89%, the average accuracy of more than 68%, and Kappa coefficient greater than 0. 85. Compared with the results of the first three classification strategies, the classification results of the fourth strategy which integrates original spectral information, elevation value, index features, and geometrical features, have been greatly improved. Additionally, the overall accuracy can reach 95. 57% with the average accuracy of 84. 37% and the Kappa coefficient of 0. 9380, whereas the elapsed time is the longest at 5. 16 s. The predicted result of target labels is shown in Fig. 6( d). Based on the spatial-spectral feature optimization selection method, the optimal feature combination could be determined to eliminate feature redundancy and enhance classification accuracy. The overall accuracy and average accuracy are increased by 1. 56% and 4. 36%, respectively, and the elapsed time is reduced by 1. 55 s. The predicted results of target labels are shown in Fig. 8(f). The classification results demonstrate that this method can determine the optimal spatial-spectral features for target classification, and provide a new research idea for refined target classification with hyperspectral lidar. Conclusions As a new active remote sensing technology, the hyperspectral lidar can combine the technology advantages of passive hyperspectral imaging and lidar scanning imaging and has great application potential in refined target classification under complex scenes. Therefore, we propose a target classification process of spatial- spectral feature optimization selection dependent on the hyperspectral lidar. The index features constructed by the spectral band optimization and geometric features constructed by the local neighborhood surface fitting are extracted and employed to target classification. Finally, the optimal feature combination is determined by the proposed method to achieve highprecision target classification under complex scenes with the scanning scene of 14 different targets. Based on the spatialspectral feature optimization selection to determine the optimal spatial-spectral feature combination, it can effectively eliminate the characteristic redundancy. This increases the overall classification accuracy by 1. 56% and the average classification accuracy by 4. 36%, and the elapsed time is reduced by 1. 55 s. However, there is a certain degree of misclassification because the spatial structures of some targets are so complex that the laser irradiates to the edge of targets or only part of the laser irradiates to the surface of a target, thus leading to a large deviation in spectrum acquirement. The classification results could be smoothed by the boundary algorithm or conditional random field algorithm to eliminate the salt and pepper noise and improve the classification accuracy.</t>
  </si>
  <si>
    <t>[Chen Bowen] Wuhan Univ, Chinese Antarctic Ctr Surveying &amp; Mapping, Wuhan 430079, Hubei, Peoples R China; [Chen Bowen; Shi Shuo; Gong Wei; Xu Qian; Tang Xingtao; Bi Sifu] Wuhan Univ, State Key Lab Informat Engn Surveying Mapping &amp; R, Wuhan 430079, Hubei, Peoples R China; [Chen Bowen; Shi Shuo; Gong Wei] Wuhan Univ, Elect Informat Sch, Wuhan 430079, Hubei, Peoples R China; [Shi Shuo; Gong Wei] Collaborat Innovat Ctr Geospatial Technol, Wuhan 430079, Hubei, Peoples R China; [Chen Biwu] Shanghai Radio Equipment Res Inst, Shanghai 201109, Peoples R China</t>
  </si>
  <si>
    <t>Shi, S (corresponding author), Wuhan Univ, State Key Lab Informat Engn Surveying Mapping &amp; R, Wuhan 430079, Hubei, Peoples R China.;Shi, S (corresponding author), Wuhan Univ, Elect Informat Sch, Wuhan 430079, Hubei, Peoples R China.;Shi, S (corresponding author), Collaborat Innovat Ctr Geospatial Technol, Wuhan 430079, Hubei, Peoples R China.</t>
  </si>
  <si>
    <t>shishuo@whu.edu.cn</t>
  </si>
  <si>
    <t>Bi, Sifu/JKC-9564-2023; zhou, yuwei/KHD-4127-2024; Chen, Bowen/KFB-3986-2024</t>
  </si>
  <si>
    <t>10.3788/AOS221717</t>
  </si>
  <si>
    <t>M2TE1</t>
  </si>
  <si>
    <t>WOS:001028747700029</t>
  </si>
  <si>
    <t>Amenábar, CR; Guerstein, GR; Alperin, M; Daners, G; Casadío, S; Raising, MR</t>
  </si>
  <si>
    <t>Rodriguez Amenabar, Cecilia; Raquel Guerstein, G.; Alperin, Marta; Daners, Gloria; Casadio, Silvio; Rodriguez Raising, Martin</t>
  </si>
  <si>
    <t>CoRRELATIoN oF MIDDLE To UPPER EoCENE UNITS FRoM HIGH LATITUDE SoUTHWESTERN ATLANTIC SITES</t>
  </si>
  <si>
    <t>AMEGHINIANA</t>
  </si>
  <si>
    <t>Dinoflagellate cysts; Paleogene; Drake Passage; Compositional Data Analysis; Biostratigraphy</t>
  </si>
  <si>
    <t>TIERRA-DEL-FUEGO; DINOFLAGELLATE CYSTS; DRAKE PASSAGE; SEYMOUR ISLAND; AUSTRAL BASIN; PATAGONIA; STRATIGRAPHY; PENINSULA; OCEAN; SEDIMENTOLOGY</t>
  </si>
  <si>
    <t>To understand the important significant climatic and paleoceanographic changes occurred in the Southern Hemisphere during the Paleogene, and especially those related to the opening of the Drake Passage, is essential to correlate the Eocene lithostratigraphic units in areas adjacent to this passage, such as those from the Austral-Magallanes and James Ross basins, to the north and to the south, respectively. For many years, there was no correlation between these units due to the absence of reliable chronostratigraphic and biostratigraphic information. Recently, other authors published U/ Pb data for the Austral-Magallanes Basin and introduced important modifications to the previous stratigraphic scheme. Subsequently, due to reinterpretating the available isotope data together with U/Pb ages, the chronostratigraphic model has modified again, also including the James Ross Basin. In light of an updated quantitative dinoflagellate cyst dataset from the units adjacent to the Drake Passage, we performed a Principal Component Analysis (PCA) to discuss the correlation between the studied sections. The PCA groups assemblages with a high contribution of Antarctic taxa (e. g., Enneadocysta dictyostila, Deflandrea antarctica) containing in the Upper Member of the Rio Turbio Formation (lower part), Man Aike, Leticia, and La Meseta formations, being Bartonian in age. The other group joined assemblages with younger ages, Priabonian, dominated by Antarctic species (Vozzhennikovia-Spinidinium) and cosmopolitan taxa, corresponding to the Upper Member of the Rio Turbio Formation (upper part). This study reinforces the most recent chronostratigraphic proposal and proves the biostratigraphic useful of some taxa for sites near the Drake Passage.</t>
  </si>
  <si>
    <t>[Rodriguez Amenabar, Cecilia] Univ Buenos Aires, Fac Ciencias Exactas &amp; Nat,Inst Estudios Andinos, Consejo Nacl Invest Cient Tecn IDEAN CONICET, Lab Bioestratig Alta Resoluc,Dept Ciencias Geol, Buenos Aires, DF, Argentina; [Rodriguez Amenabar, Cecilia] Inst Antartico Argentino, Area Ciencias Tierra, Dept Paleontol, 25 Mayo 1143,CP 1650, San Martin, Buenos Aires, Argentina; [Raquel Guerstein, G.] Univ Nacl Sul, INGEOSUR, CONICET, Dept Geol,Inst Geol Sur, Bahia Blanca, Buenos Aires, Argentina; [Alperin, Marta] Univ Nacl La Plata, Fac Ciencias Nat &amp; Museo, Calle 64 S-N,Bv 120 &amp; Diag 113,CP 1900, La Plata, Argentina; [Daners, Gloria] Univ La Republ UDELAR, Fac Ciencias, Montevideo, Uruguay; [Casadio, Silvio] Univ Nacl Rio Negro, Inst Invest Paleobiol &amp; Geol, Ave Roca 1242, RA-8332 Roca, Rio Negro, Argentina; [Rodriguez Raising, Martin] Tucuman, RA-8300 San Miguel De Tucuman, Argentina</t>
  </si>
  <si>
    <t>University of Buenos Aires; Instituto Antartico Argentino; Consejo Nacional de Investigaciones Cientificas y Tecnicas (CONICET); National University of La Plata; Universidad de la Republica, Uruguay</t>
  </si>
  <si>
    <t>Amenábar, CR (corresponding author), Univ Buenos Aires, Fac Ciencias Exactas &amp; Nat,Inst Estudios Andinos, Consejo Nacl Invest Cient Tecn IDEAN CONICET, Lab Bioestratig Alta Resoluc,Dept Ciencias Geol, Buenos Aires, DF, Argentina.;Amenábar, CR (corresponding author), Inst Antartico Argentino, Area Ciencias Tierra, Dept Paleontol, 25 Mayo 1143,CP 1650, San Martin, Buenos Aires, Argentina.</t>
  </si>
  <si>
    <t>amenabar@gl.fcen.uba.ar; raquel.guerstein@uns.edu.ar; alperin@fcnym.unlp.edu.ar; lagluar@gmail.com; scasadio@unrn.edu.ar; martinrodriguezraising@hotmail.com</t>
  </si>
  <si>
    <t>Universidad Nacional del Sur [PGI 24/F079]; Agencia Nacional de Promocion Cientifica y Tecnologica [PICT 2018-00917]</t>
  </si>
  <si>
    <t>Universidad Nacional del Sur; Agencia Nacional de Promocion Cientifica y Tecnologica(ANPCyTSpanish Government)</t>
  </si>
  <si>
    <t>We thank Drs. A. Concheyro and E. Bernasconi for inviting us to participate in this Special Volume project. We would like to express our gratitude to the reviewers, Drs. A. Iakovleva, E. G. ottone, and N. Toledo for the effort and the time invested in providing detailed and comprehensive comments. We also appreciate the recommendations made by the Artwork Editor of Ameghiniana, P. Pineiro and the Editor-in-chief, Dr. D. G. Lazo. All the suggestions have significantly improved our manuscript. Financial support was provided by the Universidad Nacional del Sur (PGI 24/F079) and the Agencia Nacional de Promocion Cientifica y Tecnologica (PICT 2018-00917). This is a contribution to the Instituto Antartico Argentino (IAA) and the contribution R-457 to the Instituto de Estudios Andinos Don Pablo Groeber (IDEAN-CoNICET).</t>
  </si>
  <si>
    <t>ASOCIACION PALEONTOLOGICA ARGENTINA</t>
  </si>
  <si>
    <t>BUENOS AIRES</t>
  </si>
  <si>
    <t>MAIPU 645, 1ER PISO, 1006 BUENOS AIRES, ARGENTINA</t>
  </si>
  <si>
    <t>0002-7014</t>
  </si>
  <si>
    <t>1851-8044</t>
  </si>
  <si>
    <t>Ameghiniana</t>
  </si>
  <si>
    <t>10.5710/AMGH.25.02.2023.3514</t>
  </si>
  <si>
    <t>M3CX6</t>
  </si>
  <si>
    <t>WOS:001029002200005</t>
  </si>
  <si>
    <t>Hendry, K; Hewit, N</t>
  </si>
  <si>
    <t>Hendry, Katharine; Hewit, Natalie</t>
  </si>
  <si>
    <t>Storytelling, exploration and science at the end of the world</t>
  </si>
  <si>
    <t>[Hendry, Katharine] British Antarctic Survey, Cambridge, England</t>
  </si>
  <si>
    <t>Hendry, K (corresponding author), British Antarctic Survey, Cambridge, England.</t>
  </si>
  <si>
    <t>PII S0954102023000184</t>
  </si>
  <si>
    <t>10.1017/S0954102023000184</t>
  </si>
  <si>
    <t>WOS:001042104300001</t>
  </si>
  <si>
    <t>Bezotecheskaya, EA; Chkhetiani, OG; Mokhov, II</t>
  </si>
  <si>
    <t>Bezotecheskaya, E. A.; Chkhetiani, O. G.; Mokhov, I. I.</t>
  </si>
  <si>
    <t>Variability of Jet Streams in the Atmosphere of the Northern Hemisphere in Recent Decades (1980-2021)</t>
  </si>
  <si>
    <t>IZVESTIYA ATMOSPHERIC AND OCEANIC PHYSICS</t>
  </si>
  <si>
    <t>climate variability; atmospheric circulation; high-altitude jet streams; El Nino phenomena; observational and reanalysis data</t>
  </si>
  <si>
    <t>TRENDS</t>
  </si>
  <si>
    <t>on reanalysis data, quantitative estimates of the kinetic energy of the high-altitude jet streams of the Northern Hemisphere (E-K JS NH) and its changes in the annual cycle and interannual variability for 1980-2021 have been obtained under different conditions for the minimum wind velocity V-m in the JS area. Adequate estimates are made for the share of the total kinetic energy of the atmosphere of the Northern Hemisphere associated with the JS ( JS). The share of the volume of atmospheric layers in the JS area P EK in the NH in the total analyzed atmospheric layer of 500-100 hPa (P(V)JS) was also estimated. Significant changes were noted in the summer, including significant weakening trends of EK, , and PV in July and P-EK August at V-m = 20 and V-m = 30 m/s. In winter, significant changes were noted only for PV-a decreasing trend at V-m = 20 and V-m = 30 m/s. Seasonal features of the JS connection with El Nino phenomena are noted that are most significantly manifested from January to April.</t>
  </si>
  <si>
    <t>[Bezotecheskaya, E. A.; Chkhetiani, O. G.; Mokhov, I. I.] Russian Acad Sci, Obukhov Inst Atmospher Phys, Moscow 119017, Russia; [Bezotecheskaya, E. A.] Arctic &amp; Antarctic Res Inst, St Petersburg 199397, Russia; [Mokhov, I. I.] Moscow MV Lomonosov State Univ, Moscow 119991, Russia</t>
  </si>
  <si>
    <t>Russian Academy of Sciences; Obukhov Institute of Atmospheric Physics of Russian Academy of Sciences; Arctic &amp; Antarctic Research Institute; Lomonosov Moscow State University</t>
  </si>
  <si>
    <t>Bezotecheskaya, EA (corresponding author), Russian Acad Sci, Obukhov Inst Atmospher Phys, Moscow 119017, Russia.;Bezotecheskaya, EA (corresponding author), Arctic &amp; Antarctic Res Inst, St Petersburg 199397, Russia.</t>
  </si>
  <si>
    <t>eadurneva@aari.ru</t>
  </si>
  <si>
    <t>0001-4338</t>
  </si>
  <si>
    <t>1555-628X</t>
  </si>
  <si>
    <t>IZV ATMOS OCEAN PHY+</t>
  </si>
  <si>
    <t>Izv. Atmos. Ocean. Phys.</t>
  </si>
  <si>
    <t>10.1134/S0001433823030027</t>
  </si>
  <si>
    <t>N3DF8</t>
  </si>
  <si>
    <t>WOS:001035853600002</t>
  </si>
  <si>
    <t>Fourquez, M; Janssen, DJ; Conway, TM; Cabanes, D; Ellwood, MJ; Sieber, M; Trimborn, S; Hassler, C</t>
  </si>
  <si>
    <t>Fourquez, Marion; Janssen, David J.; Conway, Tim M.; Cabanes, Damien; Ellwood, Michael J.; Sieber, Matthias; Trimborn, Scarlett; Hassler, Christel</t>
  </si>
  <si>
    <t>Chasing iron bioavailability in the Southern Ocean: Insights from Phaeocystis antarctica and iron speciation</t>
  </si>
  <si>
    <t>FE ISOTOPE FRACTIONATION; BINDING LIGANDS; TRACE-ELEMENTS; MARINE-PHYTOPLANKTON; ORGANIC-LIGANDS; GLOBAL OCEAN; PACIFIC; GEOTRACES; EQUILIBRATION; MECHANISMS</t>
  </si>
  <si>
    <t>Dissolved iron (dFe) availability limits the uptake of atmospheric CO2 by the Southern Ocean (SO) biological pump. Hence, any change in bioavailable dFe in this region can directly influence climate. On the basis of Fe uptake experiments with Phaeocystis antarctica, we show that the range of dFe bioavailability in natural samples is wider (&lt;1 to similar to 200% compared to free inorganic Fe') than previously thought, with higher bioavailability found near glacial sources. The degree of bioavailability varied regardless of in situ dFe concentration and depth, challenging the consensus that sole dFe concentrations can be used to predict Fe uptake in modeling studies. Further, our data suggest a disproportionately major role of biologically mediated ligands and encourage revisiting the role of humic substances in influencing marine Fe biogeochemical cycling in the SO. Last, we describe a linkage between in situ dFe bioavailability and isotopic signatures that, we anticipate, will stimulate future research.</t>
  </si>
  <si>
    <t>[Fourquez, Marion] Univ Toulon &amp; Var, Aix Marseille Univ, CNRS, IRD,MIO UMR 110, F-13288 Marseille, France; [Fourquez, Marion; Cabanes, Damien; Hassler, Christel] Univ Geneva, Dept Forel Environm &amp; Aquat Sci FA, CH-1211 Geneva, Switzerland; [Janssen, David J.] Eawag Swiss Fed Inst Aquat Sci &amp; Technol, Dept Surface Waters, Kastanienbaum, Switzerland; [Conway, Tim M.; Sieber, Matthias] Univ S Florida, Coll Marine Sci, St Petersburg, FL 33701 USA; [Ellwood, Michael J.] Australian Natl Univ, Res Sch Earth Sci, Canberra, ACT, Australia; [Ellwood, Michael J.] Australian Natl Univ, Australian Ctr Excellence Antarctic Sci, Res Sch Earth Sci, Canberra, ACT, Australia; [Sieber, Matthias] Swiss Fed Inst Technol, Inst Geochem &amp; Petrol, Zurich, Switzerland; [Trimborn, Scarlett] Alfred Wegener Inst, Helmholtz Ctr Polar &amp; Marine Res, D-27570 Bremerhaven, Germany; [Hassler, Christel] Univ Lausanne, Inst Earth Sci, CH-1015 Lausanne, Switzerland; [Hassler, Christel] Ecole Polytech Fed Lausanne, Sch Architecture Civil &amp; Environm Engn, CH-1951 Sion, Switzerland</t>
  </si>
  <si>
    <t>Universite de Toulon; Centre National de la Recherche Scientifique (CNRS); Aix-Marseille Universite; Institut de Recherche pour le Developpement (IRD); University of Geneva; Swiss Federal Institutes of Technology Domain; Swiss Federal Institute of Aquatic Science &amp; Technology (EAWAG); State University System of Florida; University of South Florida; Australian National University; Australian National University; Swiss Federal Institutes of Technology Domain; ETH Zurich; Helmholtz Association; Alfred Wegener Institute, Helmholtz Centre for Polar &amp; Marine Research; University of Lausanne; Swiss Federal Institutes of Technology Domain; Ecole Polytechnique Federale de Lausanne</t>
  </si>
  <si>
    <t>Fourquez, M (corresponding author), Univ Toulon &amp; Var, Aix Marseille Univ, CNRS, IRD,MIO UMR 110, F-13288 Marseille, France.;Fourquez, M (corresponding author), Univ Geneva, Dept Forel Environm &amp; Aquat Sci FA, CH-1211 Geneva, Switzerland.</t>
  </si>
  <si>
    <t>marion.fourquez@gmail.com</t>
  </si>
  <si>
    <t>Janssen, David/0000-0002-9091-8936; Ellwood, Michael/0000-0003-4288-8530; Hassler, Christel/0000-0002-8976-5469; Sieber, Matthias/0000-0001-5510-6126; Conway, Tim/0000-0002-3069-9786; Trimborn, Scarlett/0000-0003-1434-9927; Fourquez, Marion/0000-0001-5395-4877</t>
  </si>
  <si>
    <t>Antarctic Circumnavigation Expedition (ACE) [16]; ACE Foundation; Ferring Pharmaceuticals; Swiss National Science Foundation [PP00P2_138955, PP00P2_166197]; European Union [894264]; ERC [101044637]; Swiss National Science Foundation (SNF) [PP00P2_138955, PP00P2_166197] Funding Source: Swiss National Science Foundation (SNF); Marie Curie Actions (MSCA) [894264] Funding Source: Marie Curie Actions (MSCA); European Research Council (ERC) [101044637] Funding Source: European Research Council (ERC)</t>
  </si>
  <si>
    <t>Antarctic Circumnavigation Expedition (ACE); ACE Foundation; Ferring Pharmaceuticals(Ferring Pharmaceuticals); Swiss National Science Foundation(Swiss National Science Foundation (SNSF)); European Union(European Union (EU)); ERC(European Research Council (ERC)); Swiss National Science Foundation (SNF)(Swiss National Science Foundation (SNSF)); Marie Curie Actions (MSCA)(Marie Curie Actions); European Research Council (ERC)(European Research Council (ERC)Spanish Government)</t>
  </si>
  <si>
    <t>This study was supported by Project 16 of the Antarctic Circumnavigation Expedition (ACE). ACE was a scientific expedition that carried out under the auspices of the Swiss Polar Institute (SPI), supported by funding from the ACE Foundation and Ferring Pharmaceuticals. M.F. and C.H. were supported by the Swiss National Science Foundation (PP00P2_138955 and PP00P2_166197), and M.F. was further funded by the European Union's Horizon 2020 research and innovation program under the Marie Sklodowska-Curie grant agreement no. 894264 (BULLE-project) and by Grant ERC no. 101044637 (HOPE -project). In addition, publications fees for this article were covered by the Mediterranean Institute of Oceanography.&amp; nbsp;</t>
  </si>
  <si>
    <t>eadf9696</t>
  </si>
  <si>
    <t>10.1126/sciadv.adf9696</t>
  </si>
  <si>
    <t>M3PM3</t>
  </si>
  <si>
    <t>WOS:001029333400017</t>
  </si>
  <si>
    <t>Adlhoch, C; Fusaro, A; Gonzales, JL; Kuiken, T; Mirinaviciute, G; Niqueux, ÉE; Stahl, K; Staubach, C; Terregino, C; Broglia, A; Kohnle, L; Baldinelli, F</t>
  </si>
  <si>
    <t>Adlhoch, Cornelia; Fusaro, Alice; Gonzales, Jose L.; Kuiken, Thijs; Mirinaviciute, Grazina; Niqueux, Eric; Stahl, Karl; Staubach, Christoph; Terregino, Calogero; Broglia, Alessandro; Kohnle, Lisa; Baldinelli, Francesca</t>
  </si>
  <si>
    <t>European Food Safety Authority; European Ctr Dis Prevention; European Union Reference Lab Avian</t>
  </si>
  <si>
    <t>Avian influenza overview March - April 2023</t>
  </si>
  <si>
    <t>EFSA JOURNAL</t>
  </si>
  <si>
    <t>avian influenza; captive birds; HPAI; humans; monitoring; poultry; wild birds</t>
  </si>
  <si>
    <t>2.3.4.4B HA GENE; HUMAN INFECTIONS; VIRUS; SPECIFICITY; BEARING</t>
  </si>
  <si>
    <t>Between 2 March and 28 April 2023, highly pathogenic avian influenza (HPAI) A(H5Nx) virus, clade 2.3.4.4b, outbreaks were reported in domestic (106) and wild (610) birds across 24 countries in Europe. Poultry outbreaks occurred less frequently compared to the previous reporting period and compared to spring 2022. Most of these outbreaks were classified as primary outbreaks without secondary spread and some of them associated with atypical disease presentation, in particular low mortality. In wild birds, black-headed gulls continued to be heavily affected, while also other threatened wild bird species, such as the peregrine falcon, showed increased mortality. The ongoing epidemic in black-headed gulls, many of which breed inland, may increase the risk for poultry, especially in July-August, when first-year birds disperse from the breeding colonies. HPAI A(H5N1) virus also continued to expand in the Americas, including in mammalian species, and is expected to reach the Antarctic in the near future. HPAI virus infections were detected in six mammal species, particularly in marine mammals and mustelids, for the first time, while the viruses currently circulating in Europe retain a preferential binding for avian-like receptors. Since 13 March 2022 and as of 10 May 2023, two A(H5N1) clade 2.3.4.4b virus detections in humans were reported from China (1), and Chile (1), as well as three A(H9N2) and one A(H3N8) human infections in China. The risk of infection with currently circulating avian H5 influenza viruses of clade 2.3.4.4b in Europe remains low for the general population in the EU/EEA, and low to moderate for occupationally or otherwise exposed people.</t>
  </si>
  <si>
    <t>biohaw@efsa.europa.eu</t>
  </si>
  <si>
    <t>Adlhoch, Cornelia/AAH-5888-2021; Fusaro, Alice/J-4538-2019</t>
  </si>
  <si>
    <t>Adlhoch, Cornelia/0000-0002-8842-0469; Fusaro, Alice/0000-0002-8213-5472; Niqueux, Eric/0009-0008-1551-1934; Terregino, Calogero/0000-0002-7727-3336</t>
  </si>
  <si>
    <t>1831-4732</t>
  </si>
  <si>
    <t>EFSA J</t>
  </si>
  <si>
    <t>EFSA J.</t>
  </si>
  <si>
    <t>e08039</t>
  </si>
  <si>
    <t>10.2903/j.efsa.2023.8039</t>
  </si>
  <si>
    <t>Food Science &amp; Technology</t>
  </si>
  <si>
    <t>I4RA1</t>
  </si>
  <si>
    <t>Y</t>
  </si>
  <si>
    <t>N</t>
  </si>
  <si>
    <t>WOS:001002655900001</t>
  </si>
  <si>
    <t>García-Cárdenas, FJ; Herrera, CM; López-González, PJ</t>
  </si>
  <si>
    <t>Garcia-Cardenas, Francisco J.; Herrera, Carlos M.; Lopez-Gonzalez, Pablo J.</t>
  </si>
  <si>
    <t>Subindividual variability in sea pens (Octocorallia: Pennatulacea)</t>
  </si>
  <si>
    <t>SCIENTIA MARINA</t>
  </si>
  <si>
    <t>intracolonial variability; Pennatulacea; Pennatula; Ptilella; coefficient of variation; variance; within-plant variation</t>
  </si>
  <si>
    <t>WITHIN-PLANT VARIATION; INTRACOLONIAL VARIATION; ZOOID SIZE; WEST-COAST; REPRODUCTION; CORALS; ANTHOZOA; COLONY; INTEGRATION; PATTERNS</t>
  </si>
  <si>
    <t>Comparisons between plants and sessile modular colonial invertebrates offer interesting parallelisms between plant and animal body plans after millions of years of divergent evolution. Among these parallelisms might be the existence and distribution of intraindividual heterogeneity in organ traits, also named subindividual variability. Subindividual variability is quantitatively important and has many consequences for plant individuals, populations and communities, and for animal consumers as well. However, could a similar process of subindividual variability occur in sea pens, which have a modular architecture similar to that of plants? In the literature of marine invertebrates very little is known about the presence and magnitude of subindividual variability in modular organisms. This study provides for the first time a quantitative assessment of subindividual variability in sea pens, analysing certain biometric features of reiterated structures that presumably have some ecological function, and offers an initial comparison of quantitative levels of subindividual variation between plants and sea pens.</t>
  </si>
  <si>
    <t>[Garcia-Cardenas, Francisco J.; Lopez-Gonzalez, Pablo J.] Univ Seville, Fac Biol, Biodivers &amp; Ecol Acuat, Dept Zool, Reina Mercedes 6, Seville 41012, Spain; [Herrera, Carlos M.] CSIC, Estn Biol Donana, Americo Vespucio 26, Seville 41092, Spain</t>
  </si>
  <si>
    <t>University of Sevilla; Consejo Superior de Investigaciones Cientificas (CSIC); CSIC - Estacion Biologica de Donana (EBD)</t>
  </si>
  <si>
    <t>García-Cárdenas, FJ (corresponding author), Univ Seville, Fac Biol, Biodivers &amp; Ecol Acuat, Dept Zool, Reina Mercedes 6, Seville 41012, Spain.</t>
  </si>
  <si>
    <t>frangarca@us.es; herrera@ebd.csic.es; pjlopez@us.es</t>
  </si>
  <si>
    <t>Herrera, Carlos Manuel/A-4088-2008</t>
  </si>
  <si>
    <t>Herrera, Carlos Manuel/0000-0003-2452-3888; Garcia Cardenas, Francisco Jose/0000-0002-1503-9552</t>
  </si>
  <si>
    <t>Spanish Ministry of Economy, Industry and Competitiveness [CTM2017-83920-P (DIVER- SICORAL)]</t>
  </si>
  <si>
    <t>Spanish Ministry of Economy, Industry and Competitiveness(Spanish Government)</t>
  </si>
  <si>
    <t>We would like to thank numerous colleagues and cruise leaders who have worked on the campaigns dur-ing which the material examined here was obtained: The BENGUELA VIII, ANT XVII/3, BIOROSS, IN-DEMARES Chica and Scottia cruises, and the Ba-hia'90 expedition. On these cruises, our special thanks are addressed to Wolf Arntz, Josep-Maria Gili, Jim Drewery, Stefano Schiaparelli and Annenina Lortz. The study of the Antarctic specimens was possible thanks to the Spanish project ANT99-1608-E, which allowed the participation in the Polarstern ANT XVII/3 cruise. The final conception of this paper was carried out under the project CTM2017-83920-P (DIVER- SICORAL), funded by the Spanish Ministry of Economy, Industry and Competitiveness. Mr. Tony Krupa is thanked for reviewing the English version.</t>
  </si>
  <si>
    <t>CONSEJO SUPERIOR INVESTIGACIONES CIENTIFICAS-CSIC</t>
  </si>
  <si>
    <t>MADRID</t>
  </si>
  <si>
    <t>Editorial CSIC, C/VITRUVIO 8, 28006 MADRID, SPAIN</t>
  </si>
  <si>
    <t>0214-8358</t>
  </si>
  <si>
    <t>1886-8134</t>
  </si>
  <si>
    <t>SCI MAR</t>
  </si>
  <si>
    <t>Sci. Mar.</t>
  </si>
  <si>
    <t>e063</t>
  </si>
  <si>
    <t>10.3989/scimar.05260.063</t>
  </si>
  <si>
    <t>L9BV9</t>
  </si>
  <si>
    <t>WOS:001026154100005</t>
  </si>
  <si>
    <t>van der Ent, F; Skagseth, S; Lund, BA; Socan, J; Griese, JJ; Brandsdal, BO; Åqvist, J</t>
  </si>
  <si>
    <t>van der Ent, Florian; Skagseth, Susann; Lund, Bjarte A.; Socan, Jaka; Griese, Julia J.; Brandsdal, Bjorn O.; Aqvist, Johan</t>
  </si>
  <si>
    <t>Computational design of the temperature optimum of an enzyme reaction</t>
  </si>
  <si>
    <t>PANCREATIC ALPHA-AMYLASE; EMPIRICAL VALENCE-BOND; STRUCTURAL-ANALYSIS; STABILITY; DEPENDENCE; MECHANISM; PROTEINS; FAMILY; LIPASE</t>
  </si>
  <si>
    <t>Cold-adapted enzymes are characterized both by a higher catalytic activity at low temperatures and by having their temperature optimum down-shifted, compared to mesophilic orthologs. In several cases, the optimum does not coincide with the onset of protein melting but reflects some other type of inactivation. In the psychrophilic a-amylase from an Antarctic bacterium, the inactivation is thought to originate from a specific enzyme-substrate interaction that breaks around room temperature. Here, we report a computational redesign of this enzyme aimed at shifting its temperature optimum upward. A set of mutations designed to stabilize the enzyme-substrate interaction were predicted by computer simulations of the catalytic reaction at different temperatures. The predictions were verified by kinetic experiments and crystal structures of the redesigned a-amylase, showing that the temperature optimum is indeed markedly shifted upward and that the critical surface loop controlling the temperature dependence approaches the target conformation observed in a mesophilic ortholog.</t>
  </si>
  <si>
    <t>[van der Ent, Florian; Lund, Bjarte A.; Griese, Julia J.; Aqvist, Johan] Uppsala Univ, Biomed Ctr, Dept Cell &amp; Mol Biol, Box 596, SE-75124 Uppsala, Sweden; [Skagseth, Susann; Lund, Bjarte A.; Brandsdal, Bjorn O.; Aqvist, Johan] Univ Tromso, Arctic Univ Norway, Hylleraas Ctr Quantum Mol Sci, Dept Chem, N-9037 Tromso, Norway; [Socan, Jaka] Natl Inst Chem, SI-1001 Ljubljana, Slovenia</t>
  </si>
  <si>
    <t>Uppsala University; UiT The Arctic University of Tromso; National Institute of Chemistry - Slovenia</t>
  </si>
  <si>
    <t>Åqvist, J (corresponding author), Uppsala Univ, Biomed Ctr, Dept Cell &amp; Mol Biol, Box 596, SE-75124 Uppsala, Sweden.;Åqvist, J (corresponding author), Univ Tromso, Arctic Univ Norway, Hylleraas Ctr Quantum Mol Sci, Dept Chem, N-9037 Tromso, Norway.</t>
  </si>
  <si>
    <t>aqvist@xray.bmc.uu.se</t>
  </si>
  <si>
    <t>Brandsdal, Bjørn O/J-7099-2015; Lund, Bjarte Aarmo/AAN-3390-2020</t>
  </si>
  <si>
    <t>van der Ent, Florian/0000-0002-0933-4547; Aqvist, Johan/0000-0003-2091-0610; Lund, Bjarte Aarmo/0000-0001-9141-0555; Socan, Jaka/0000-0001-7757-7172</t>
  </si>
  <si>
    <t>Swedish Research Council [2022-03441, 2018-04170]; Research Council of Norway through a Centre of Excellence and project grant [262695, 274858]; Swedish Research Council [2018-04170, 2022-03441] Funding Source: Swedish Research Council</t>
  </si>
  <si>
    <t>Swedish Research Council(Swedish Research Council); Research Council of Norway through a Centre of Excellence and project grant(Research Council of Norway); Swedish Research Council(Swedish Research Council)</t>
  </si>
  <si>
    <t>The work was supported by the Swedish Research Council &amp; nbsp;(grant nos. 2018-04170 and 2022-03441) and the Research Council of Norway through a Centre of Excellence and project grant (grant nos. 262695 and 274858). Computational resources were provided by the Swedish National Infrastructure for Computing (SNIC).</t>
  </si>
  <si>
    <t>eadi0963</t>
  </si>
  <si>
    <t>10.1126/sciadv.adi0963</t>
  </si>
  <si>
    <t>M3OU2</t>
  </si>
  <si>
    <t>WOS:001029314100001</t>
  </si>
  <si>
    <t>Salvatore, MR; Barrett, JE; Fackrell, LE; Sokol, ER; Levy, JS; Kuentz, LC; Gooseff, MN; Adams, BJ; Power, SN; Knightly, JP; Matul, HM; Szutu, B; Doran, PT</t>
  </si>
  <si>
    <t>Salvatore, Mark R.; Barrett, John E.; Fackrell, Laura E.; Sokol, Eric R.; Levy, Joseph S.; Kuentz, Lily C.; Gooseff, Michael N.; Adams, Byron J.; Power, Sarah N.; Knightly, J. Paul; Matul, Haley M.; Szutu, Brian; Doran, Peter T.</t>
  </si>
  <si>
    <t>The Distribution of Surface Soil Moisture over Space and Time in Eastern Taylor Valley, Antarctica</t>
  </si>
  <si>
    <t>hydrology; soil moisture; remote sensing; dry valleys; ecology</t>
  </si>
  <si>
    <t>MCMURDO DRY VALLEYS; ACTIVE LAYER SOILS; WATER TRACKS; LAKE HOARE; ICE-SHEET; ROSS SEA; BIODIVERSITY; ECOSYSTEM; DELIQUESCENCE; REFLECTANCE</t>
  </si>
  <si>
    <t>Available soil moisture is thought to be the limiting factor for most ecosystem processes in the cold polar desert of the McMurdo Dry Valleys (MDVs) of Antarctica. Previous studies have shown that microfauna throughout the MDVs are capable of biological activity when sufficient soil moisture is available (similar to 2-10% gravimetric water content), but few studies have attempted to quantify the distribution, abundance, and frequency of soil moisture on scales beyond that of traditional field work or local field investigations. In this study, we present our work to quantify the soil moisture content of soils throughout the Fryxell basin using multispectral satellite remote sensing techniques. Our efforts demonstrate that ecologically relevant abundances of liquid water are common across the landscape throughout the austral summer. On average, the Fryxell basin of Taylor Valley is modeled as containing 1.5 +/- 0.5% gravimetric water content (GWC) across its non-fluvial landscape with similar to 23% of the landscape experiencing an average GWC &gt; 2% throughout the study period, which is the observed limit of soil nematode activity. These results indicate that liquid water in the soils of the MDVs may be more abundant than previously thought, and that the distribution and availability of liquid water is dependent on both soil properties and the distribution of water sources. These results can also help to identify ecological hotspots in the harsh polar Antarctic environment and serve as a baseline for detecting future changes in the soil hydrological regime.</t>
  </si>
  <si>
    <t>[Salvatore, Mark R.; Fackrell, Laura E.; Knightly, J. Paul; Matul, Haley M.; Szutu, Brian] No Arizona Univ, Dept Astron &amp; Planetary Sci, Flagstaff, AZ 86011 USA; [Barrett, John E.; Power, Sarah N.] Virginia Polytech Inst &amp; State Univ, Dept Biol Sci, Blacksburg, VA 24060 USA; [Fackrell, Laura E.] CALTECH, NASA Jet Prop Lab, Biotechnol &amp; Planetary Protect Grp, Pasadena, CA 91109 USA; [Sokol, Eric R.] Natl Ecol Observ Network, Boulder, CO 80301 USA; [Levy, Joseph S.; Kuentz, Lily C.] Colgate Univ, Dept Earth &amp; Environm Geosci, Hamilton, NY 13346 USA; [Kuentz, Lily C.] Univ Oregon, Dept Geog, Eugene, OR 97403 USA; [Gooseff, Michael N.] Univ Colorado Boulder, Inst Arctic &amp; Alpine Res, Boulder, CO 80309 USA; [Adams, Byron J.] Brigham Young Univ, Dept Biol, Provo, UT 84602 USA; [Doran, Peter T.] Louisiana State Univ, Dept Geol &amp; Geophys, Baton Rouge, LA 70803 USA</t>
  </si>
  <si>
    <t>Northern Arizona University; Virginia Polytechnic Institute &amp; State University; California Institute of Technology; National Aeronautics &amp; Space Administration (NASA); NASA Jet Propulsion Laboratory (JPL); Colgate University; University of Oregon; University of Colorado System; University of Colorado Boulder; Brigham Young University; Louisiana State University System; Louisiana State University</t>
  </si>
  <si>
    <t>Salvatore, MR (corresponding author), No Arizona Univ, Dept Astron &amp; Planetary Sci, Flagstaff, AZ 86011 USA.</t>
  </si>
  <si>
    <t>mark.salvatore@nau.edu</t>
  </si>
  <si>
    <t>Gooseff, Michael N/N-6087-2015; Sokol, Eric R./HZL-4014-2023; Adams, Byron/C-3808-2009; Barrett, John/D-5851-2016</t>
  </si>
  <si>
    <t>Gooseff, Michael N/0000-0003-4322-8315; Sokol, Eric R./0000-0001-5923-0917; Levy, Joseph/0000-0002-6222-139X; Adams, Byron/0000-0002-7815-3352; Fackrell, Laura/0000-0001-9860-4280; Knightly, John Paul/0000-0003-1240-3416; Power, Sarah/0000-0002-4863-290X; Barrett, John/0000-0002-7610-0505</t>
  </si>
  <si>
    <t>US National Science Foundation (NSF) Office of Polar Programs [2046260, 2045880]</t>
  </si>
  <si>
    <t>US National Science Foundation (NSF) Office of Polar Programs(National Science Foundation (NSF))</t>
  </si>
  <si>
    <t>This research was funded by the US National Science Foundation (NSF) Office of Polar Programs, Award No. 2046260 to M.R.S. and Award No. 2045880 to E.R.S.</t>
  </si>
  <si>
    <t>10.3390/rs15123170</t>
  </si>
  <si>
    <t>K7OY7</t>
  </si>
  <si>
    <t>WOS:001018308300001</t>
  </si>
  <si>
    <t>Maistrenko, OM; Serga, SV; Kovalenko, PA; Kozeretska, IA</t>
  </si>
  <si>
    <t>Maistrenko, O. M.; Serga, S. V.; Kovalenko, P. A.; Kozeretska, I. A.</t>
  </si>
  <si>
    <t>Bacteria Associated with the Antarctic Endemic Insect Belgica antarctica Jacobs (Diptera Chironomidae)</t>
  </si>
  <si>
    <t>CYTOLOGY AND GENETICS</t>
  </si>
  <si>
    <t>microbiome; endosymbionts; Wolbachia; Spiroplasma</t>
  </si>
  <si>
    <t>ERETMOPTERA-MURPHYI; SP NOV.; MICROBIOME; SOUTH</t>
  </si>
  <si>
    <t>Insects are one of the most successful groups of multicellular organisms with more than a million species. Among them, there is Belgica antarctica Jacobs (Diptera Chironomidae) representing an endemic species of Antarctica that exists under extremely cold conditions. A significant number of microorganisms colonize most species of insects resulting in symbiotic interaction, which may improve the adaptability of a host organism to cold conditions. Using PCR and metagenomic analysis, it has been demonstrated that endosymbiotic bacteria Spiroplasma and Wolbachia seem to be absent in Belgica antarctica. Nevertheless, 14 species of bacteria have been revealed that can be potentially associated with Belgica antarctica and/or with the substrate where this species lives by screening the whole-genome sequences available in open databases. To ascertain the constant association of identified microorganisms with Belgica antarctica and their possible preference to this species, it is necessary to perform further analysis.</t>
  </si>
  <si>
    <t>[Maistrenko, O. M.] European Mol Biol Lab, Struct &amp; Computat Biol Dept, D-69117 Heidelberg, Germany; [Maistrenko, O. M.] Royal Netherlands Inst Sea Res, Dept Marine Microbiol &amp; Biogeochem, NL-1797 SZ Horntje, Texel, Netherlands; [Serga, S. V.] Univ Montpellier, Inst Agro, CBGP, INRAE,CIRAD,IRD, F-34980 Montpellier, France; [Serga, S. V.] Taras Shevchenko Natl Univ Kyiv, UA-01601 Kiev, Ukraine; [Serga, S. V.; Kozeretska, I. A.] Natl Antarctic Sci Ctr Ukraine, UA-01601 Kiev, Ukraine; [Kovalenko, P. A.] Natl Acad Sci Ukraine, Inst Evolutionary Ecol, UA-03143 Kiev, Ukraine</t>
  </si>
  <si>
    <t>European Molecular Biology Laboratory (EMBL); Utrecht University; Royal Netherlands Institute for Sea Research (NIOZ); Institut de Recherche pour le Developpement (IRD); CIRAD; INRAE; Universite de Montpellier; Institut Agro; Ministry of Education &amp; Science of Ukraine; Taras Shevchenko National University of Kyiv; Ministry of Education &amp; Science of Ukraine; State Institution National Antarctic Scientific Center; National Academy of Sciences Ukraine</t>
  </si>
  <si>
    <t>Maistrenko, OM (corresponding author), European Mol Biol Lab, Struct &amp; Computat Biol Dept, D-69117 Heidelberg, Germany.;Maistrenko, OM (corresponding author), Royal Netherlands Inst Sea Res, Dept Marine Microbiol &amp; Biogeochem, NL-1797 SZ Horntje, Texel, Netherlands.</t>
  </si>
  <si>
    <t>o.m.maistrenko@gmail.com</t>
  </si>
  <si>
    <t>Kovalenko, Pavlo Andriiovych/0000-0002-9533-3080; Maistrenko, Oleksandr/0000-0003-1961-7548</t>
  </si>
  <si>
    <t>State Targeted Scientific and Technical Program of Studies in the Antarctic; PAUSE Program (PAUSE-Solidarity with Ukraine); PAUSE ANR Ghandi-Ukraine; National Academy of Sciences of Ukraine for Young Scientists</t>
  </si>
  <si>
    <t>State Targeted Scientific and Technical Program of Studies in the Antarctic; PAUSE Program (PAUSE-Solidarity with Ukraine); PAUSE ANR Ghandi-Ukraine(Agence Nationale de la Recherche (ANR)); National Academy of Sciences of Ukraine for Young Scientists</t>
  </si>
  <si>
    <t>This study was financially supported by the State Targeted Scientific and Technical Program of Studies in the Antarctic for the Period of 2011-2023 (resolution no. 1002of the Cabinet of Ministers of Ukraine from November 3,2010; https://zakon.rada.gov.ua/laws/show/1002-2010-%D0%BF#n12)). Svitlana Serga was supported by the PAUSE Program (PAUSE-Solidarity with Ukraine; PAUSE ANR Ghandi-Ukraine). Pavlo Kovalenko was supported by a scholarship from the National Academy of Sciences of Ukraine for Young Scientists (decree no. 509 of the Presidium of the National Academy of Sciences of Ukraine from October 31, 2022).</t>
  </si>
  <si>
    <t>0095-4527</t>
  </si>
  <si>
    <t>1934-9440</t>
  </si>
  <si>
    <t>CYTOL GENET+</t>
  </si>
  <si>
    <t>Cytol. Genet.</t>
  </si>
  <si>
    <t>10.3103/S0095452723030064</t>
  </si>
  <si>
    <t>K0IX0</t>
  </si>
  <si>
    <t>WOS:001013381800001</t>
  </si>
  <si>
    <t>Minkovskaya, RY</t>
  </si>
  <si>
    <t>Minkovskaya, R. Ya.</t>
  </si>
  <si>
    <t>Features of Formation of the Lena Polynya on the Estuarine Nearshore of the Bykovsky Arm in Summer</t>
  </si>
  <si>
    <t>Lena polynya; Bykovsky Arm nearshore; date of flood; polynya average growth rate</t>
  </si>
  <si>
    <t>Based on the results of global oceanic reanalysis (GLORYS12.v.1), materials of hydrometeorological observations by the Roshydromet network in the Laptev Sea and mouth of the Lena River and reviews of ice processes in the Arctic Ocean by the Arctic and Antarctic Research Institute, this paper considers the features of the evolution of the Lena Polynya on the estuarine nearshore of the Bykovsky Arm in the warm period 1993-2019. A relationship has been revealed between the timing of formation of the polynya in the nearshore of this arm with the dates of flood onset at the head of the Lena River Delta. The assumption is confirmed that the average growth rate of the Lena polynya in summer is determined by the timing of its formation: the earlier the flood begins, the earlier the polynya forms in the nearshore of the Bykovsky Arm and the smaller the its average growth rate. It has been established that warming in the mouth area of the Lena in 2008-2019 stabilized, since there are no significant trends in the water and ice regime characteristics. These patterns may be invariant for other river mouths of the Laptev Sea Basin, and the obtained dependences can be used to improve the forecast of dates of clearing of the water area from ice in the Lena's estuarine nearshore nearshore and the planning of icebreaking navigation along the Tiksi port-Lena River route.</t>
  </si>
  <si>
    <t>[Minkovskaya, R. Ya.] Russian Acad Sci, Marine Hydrophys Inst, Sevastopol, Russia</t>
  </si>
  <si>
    <t>Russian Academy of Sciences; Marine Hydrophysical Institute of RAS</t>
  </si>
  <si>
    <t>Minkovskaya, RY (corresponding author), Russian Acad Sci, Marine Hydrophys Inst, Sevastopol, Russia.</t>
  </si>
  <si>
    <t>rosmink@yandex.ru</t>
  </si>
  <si>
    <t>10.1134/S000143702302008X</t>
  </si>
  <si>
    <t>L8HE4</t>
  </si>
  <si>
    <t>WOS:001025608400001</t>
  </si>
  <si>
    <t>Dubinin, EP; Chupakhina, AI; Grokholsky, AL</t>
  </si>
  <si>
    <t>Dubinin, E. P.; Chupakhina, A. I.; Grokholsky, A. L.</t>
  </si>
  <si>
    <t>Physical Modeling of the Formation of the Meteor and Islas Orcadas Rises (South Atlantic)</t>
  </si>
  <si>
    <t>Mid-Atlantic ridge; paleospreading; South Atlantic; submarine rises; physical modeling</t>
  </si>
  <si>
    <t>ANTARCTICA; DISSECTION; EVOLUTION; AFRICA; SHONA</t>
  </si>
  <si>
    <t>The kinematic reorganization of plate boundaries in the southeastern Antarctic part of the South Atlantic, expressed in the jump of the spreading axis of the Agulhas Ridge, led to a restructuring of the region's structural plan. This resulted in the formation of the southern segment of the Mid-Atlantic Ridge (MAR), extinction of the previously active Agulhas spreading ridge, and formation of the Meteor and Islas Orcadas rises, marking the location of the MAR and located symmetrically about its axis. Based on the research results, the conditions for the jump in the spreading axis were identified and an experimental model was constructed for the formation of accompanying structures, in which an important role was played by the accretion of oceanic crust on the Agulhas Ridge and westward migration of the Falkland Plateau. This resulted in southward movement of the southern segment of the MAR, formation of the Malvinas microplate, and a jump in the axis of the Agulhas spreading ridge, which led to cessation of spreading on this ridge. An important role in this kinematic restructuring was played by activity of the Shona hotspot.</t>
  </si>
  <si>
    <t>[Dubinin, E. P.; Chupakhina, A. I.; Grokholsky, A. L.] Moscow MV Lomonosov State Univ, Earth Sci Museum, Moscow, Russia</t>
  </si>
  <si>
    <t>Lomonosov Moscow State University</t>
  </si>
  <si>
    <t>Dubinin, EP (corresponding author), Moscow MV Lomonosov State Univ, Earth Sci Museum, Moscow, Russia.</t>
  </si>
  <si>
    <t>edubinin08@rambler.ru; chupakhina5anastasiia@gmail.com</t>
  </si>
  <si>
    <t>Russian Science Foundation [22-27-00110]</t>
  </si>
  <si>
    <t>The study was supported by the Russian Science Foundation (project no. 22-27-00110).</t>
  </si>
  <si>
    <t>10.1134/S0001437023030049</t>
  </si>
  <si>
    <t>WOS:001025608400013</t>
  </si>
  <si>
    <t>Hayakawa, M; Galuk, YP; Nickolaenko, AP</t>
  </si>
  <si>
    <t>Hayakawa, Masashi; Galuk, Yuriy P.; Nickolaenko, Alexander P.</t>
  </si>
  <si>
    <t>Integrated Schumann Resonance Intensity as an Indicator of the Global Thunderstorm Activity</t>
  </si>
  <si>
    <t>Schumann resonance (SR) intensity; global thunderstorm activity; diurnal variations; seasonal variations</t>
  </si>
  <si>
    <t>This paper addresses the accuracy of estimates for the contemporary level of global thunderstorm activity found from the synchronous records of integrated Schumann resonance (SR) intensity at two high-latitude observatories in the Northern and Southern hemispheres. The results are based on numerical simulations of electromagnetic fields in the frequency band of the global (Schumann) resonance in the Earth-ionosphere cavity characterized by a realistic conductivity profile in the middle atmosphere. The credible distribution is used for global thunderstorm activity in space and time. The paired observatory locations are considered either at the geographic poles or at Svalbard and the Antarctic Peninsula. The seasonal variations in the spatial distribution of global thunderstorms are adopted from the OTD satellite observations. The diurnal variations imply the spatial and temporal distribution of lightning strokes measured by the WWLLN network for an arbitrarily chosen date of 18 January 2022. The results obtained suggest that simultaneous records of the integrated SR intensity at Svalbard and in Antarctica provide errors below 3% in the diurnal variations of global thunderstorm activity with a temporal resolution of 10 min. The seasonal changes in global thunderstorm intensity are estimated with an error of similar to 10%. Since the level of global thunderstorm activity varies by a factor of two on the both time scales, the estimates confirm the appropriate accuracy of the estimate of thunderstorm activity from the concurrent measurements at the high-latitude SR observatories in the Arctic and Antarctic.</t>
  </si>
  <si>
    <t>[Hayakawa, Masashi] Hayakawa Inst Seismo Electromagnet Co Ltd Hi SEM, UEC Alliance Ctr 521, 1-1-1 Kojima cho,Chofu ku, Tokyo 1820026, Japan; [Hayakawa, Masashi] Univ Electrocommun UEC, Adv Wireless &amp; Commun Res Ctr AWCC, 1-5-1 Chofugaoka,Chofu, Tokyo 1828585, Japan; [Galuk, Yuriy P.] St Petersburg State Univ, Dept Appl Math &amp; Control Proc, 35, Univ Ave, St Petersburg 198504, Russia; [Nickolaenko, Alexander P.] Natl Acad Sci Ukraine, OYa Usikov Inst Radiophys &amp; Elect, 12 Acad Proskura St, UA-61085 Kharkov, Ukraine</t>
  </si>
  <si>
    <t>University of Electro-Communications - Japan; Saint Petersburg State University; National Academy of Sciences Ukraine; O. Ya. Usikov Institute for Radio Physics &amp; Electronics, National Academy of Sciences of Ukraine</t>
  </si>
  <si>
    <t>Hayakawa, M (corresponding author), Hayakawa Inst Seismo Electromagnet Co Ltd Hi SEM, UEC Alliance Ctr 521, 1-1-1 Kojima cho,Chofu ku, Tokyo 1820026, Japan.;Hayakawa, M (corresponding author), Univ Electrocommun UEC, Adv Wireless &amp; Commun Res Ctr AWCC, 1-5-1 Chofugaoka,Chofu, Tokyo 1828585, Japan.</t>
  </si>
  <si>
    <t>hayakawa@hi-seismo-em.jp; j.galuk@spbu.ru; sashanickolaenko@gmail.com</t>
  </si>
  <si>
    <t>10.3390/geosciences13060177</t>
  </si>
  <si>
    <t>K2TU4</t>
  </si>
  <si>
    <t>WOS:001015023500001</t>
  </si>
  <si>
    <t>Noer, NK; Nielsen, KL; Sverrisdóttir, E; Kristensen, TN; Bahrndorff, S</t>
  </si>
  <si>
    <t>Noer, Natasja Krog; Nielsen, Kare Lehmann; Sverrisdottir, Elsa; Kristensen, Torsten Nygaard; Bahrndorff, Simon</t>
  </si>
  <si>
    <t>Temporal regulation of temperature tolerances and gene expression in an arctic insect</t>
  </si>
  <si>
    <t>Arctic arthropods; Phenotypic plasticity; Thermal tolerance; Climate change; RNA sequencing; Heat shock proteins</t>
  </si>
  <si>
    <t>FLUCTUATING THERMAL REGIMES; SEXUAL SIZE DIMORPHISM; HEAT-SHOCK PROTEINS; COLD TOLERANCE; DROSOPHILA-MELANOGASTER; HSP70 EXPRESSION; SIGNY ISLAND; ANTARCTIC SPRINGTAIL; STRESS RESISTANCE; THERMOTOLERANCE</t>
  </si>
  <si>
    <t>Terrestrial arthropods in the Arctic are exposed to highly variable temperatures that frequently reach cold and warm extremes. Yet, ecophysiological studies on arctic insects typically focus on the ability of species to tolerate low temperatures, whereas studies investigating physiological adaptations of species to periodically warm and variable temperatures are few. In this study, we investigated temporal changes in thermal tolerances and the transcriptome the Greenlandic seed bug Nysius groenlandicus, collected in the field across different times and temperatures in Southern Greenland. We found that plastic changes in heat and cold tolerances occurred rapidly (within hours) and at a daily scale in the field, and that these changes are correlated with diurnal temperature variation. Using RNA sequencing, we provide molecular underpinnings of the rapid adjustments in thermal tolerance across ambient field temperatures and in the laboratory. We show that transcriptional responses are sensitive to daily temperature changes, and days characterized by high temperature variation induced markedly different expression patterns than thermally stable days. Further, genes associated with laboratory-induced heat responses, including expression of heat shock proteins and vitellogenins, were shared across laboratory and field experiments, but induced at time points associated with lower temperatures in the field. Cold stress responses were not manifested at the transcriptomic level.</t>
  </si>
  <si>
    <t>[Noer, Natasja Krog; Nielsen, Kare Lehmann; Sverrisdottir, Elsa; Kristensen, Torsten Nygaard; Bahrndorff, Simon] Aalborg Univ, Dept Chem &amp; Biosci, DK-9220 Aalborg, Denmark</t>
  </si>
  <si>
    <t>Aalborg University</t>
  </si>
  <si>
    <t>Noer, NK (corresponding author), Aalborg Univ, Dept Chem &amp; Biosci, DK-9220 Aalborg, Denmark.</t>
  </si>
  <si>
    <t>nkn@bio.aau.dk</t>
  </si>
  <si>
    <t>Nielsen, Kåre Lehmann L/A-1181-2013; Kristensen, Torsten Nygaard/C-5031-2015</t>
  </si>
  <si>
    <t>Bahrndorff, Simon/0000-0002-0838-4008; Noer, Natasja Krog/0000-0002-4430-0342; Sverrisdottir, Elsa/0000-0001-9732-7912; Kristensen, Torsten Nygaard/0000-0001-6204-8753</t>
  </si>
  <si>
    <t>Danish Council for Independent Research [DFF8021-00014B]; BiodivClim-191 ASICS, Greenland Integrated Observing System (GIOS) [0156-00024B]; Danish National Fund for Research Infrastructure (NUFI) and Carlsbergfondet [CF17-0415]; North2North and Selskab for Arktisk Forskning og Teknologi (SAFT)</t>
  </si>
  <si>
    <t>Danish Council for Independent Research(Det Frie Forskningsrad (DFF)); BiodivClim-191 ASICS, Greenland Integrated Observing System (GIOS); Danish National Fund for Research Infrastructure (NUFI) and Carlsbergfondet; North2North and Selskab for Arktisk Forskning og Teknologi (SAFT)</t>
  </si>
  <si>
    <t>&amp; nbsp;This work was supported by a grant from the Danish Council for Independent Research (DFF8021-00014B) , the European co-funded Partnership BiodivClim-191 ASICS (0156-00024B) , Greenland Integrated Observing System (GIOS) , the Danish National Fund for Research Infrastructure (NUFI) and Carlsbergfondet (CF17-0415) . Travel grants were provided by North2North and Selskab for Arktisk Forskning og Teknologi (SAFT) .</t>
  </si>
  <si>
    <t>jeb245097</t>
  </si>
  <si>
    <t>10.1242/jeb.245097</t>
  </si>
  <si>
    <t>K7NX5</t>
  </si>
  <si>
    <t>WOS:001018280800007</t>
  </si>
  <si>
    <t>Sheng, Q; Liu, A; Yang, PL; Chen, ZW; Wang, P; Sun, HN; Li, CY; McMinn, A; Chen, Y; Zhang, YZ; Su, HA; Chen, XL; Zhang, YQ</t>
  </si>
  <si>
    <t>Sheng, Qi; Liu, Ang; Yang, Peiling; Chen, Zhuowei; Wang, Peng; Sun, Haining; Li, Chunyang; McMinn, Andrew; Chen, Yin; Zhang, Yuzhong; Su, Hainan; Chen, Xiulan; Zhang, Yuqiang</t>
  </si>
  <si>
    <t>The FilZ Protein Contains a Single PilZ Domain and Facilitates the Swarming Motility of Pseudoalteromonas sp. SM9913</t>
  </si>
  <si>
    <t>marine sedimentary bacteria; single-PilZ-domain protein FilZ; c-di-GMP; bacterial flagella; FilZ-mediated swarming motility</t>
  </si>
  <si>
    <t>FLAGELLAR MOTOR; SIGNAL-TRANSDUCTION; STRUCTURAL BASIS; SYSTEM; DIFFERENTIATION; IDENTIFICATION; ATTACHMENT; COMPONENTS; CHEMOTAXIS; MECHANISM</t>
  </si>
  <si>
    <t>Swarming regulation is complicated in flagellated bacteria, especially those possessing dual flagellar systems. It remains unclear whether and how the movement of the constitutive polar flagellum is regulated during swarming motility of these bacteria. Here, we report the downregulation of polar flagellar motility by the c-di-GMP effector FilZ in the marine sedimentary bacterium Pseudoalteromonas sp. SM9913. Strain SM9913 possesses two flagellar systems, and filZ is located in the lateral flagellar gene cluster. The function of FilZ is negatively controlled by intracellular c-di-GMP. Swarming in strain SM9913 consists of three periods. Deletion and overexpression of filZ revealed that, during the period when strain SM9913 expands quickly, FilZ facilitates swarming. In vitro pull-down and bacterial two-hybrid assays suggested that, in the absence of c-di-GMP, FilZ interacts with the CheW homolog A2230, which may be involved in the chemotactic signal transduction pathway to the polar flagellar motor protein FliM(p), to interfere with polar flagellar motility. When bound to c-di-GMP, FilZ loses its ability to interact with A2230. Bioinformatic investigation indicated that filZ-like genes are present in many bacteria with dual flagellar systems. Our findings demonstrate a novel mode of regulation of bacterial swarming motility.</t>
  </si>
  <si>
    <t>[Sheng, Qi; Liu, Ang; Yang, Peiling; Chen, Zhuowei; Sun, Haining; Zhang, Yuzhong; Su, Hainan; Chen, Xiulan; Zhang, Yuqiang] Shandong Univ, State Key Lab Microbial Technol, Qingdao 266237, Peoples R China; [Wang, Peng; Li, Chunyang; McMinn, Andrew; Chen, Yin; Zhang, Yuzhong] Ocean Univ China, Coll Marine Life Sci, Frontiers Sci Ctr Deep Ocean Multispheres &amp; Earth, Qingdao 266100, Peoples R China; [Wang, Peng; Li, Chunyang; Zhang, Yuzhong; Chen, Xiulan] Pilot Natl Lab Marine Sci &amp; Technol, Lab Marine Biol &amp; Biotechnol, Qingdao 266237, Peoples R China; [McMinn, Andrew] Univ Tasmania, Inst Marine &amp; Antarctic Studies, Hobart, Tas 7005, Australia; [Chen, Yin] Univ Warwick, Sch Life Sci, Coventry CV4 7AL, England</t>
  </si>
  <si>
    <t>Shandong University; Ocean University of China; Laoshan Laboratory; University of Tasmania; University of Warwick</t>
  </si>
  <si>
    <t>Su, HA; Zhang, YQ (corresponding author), Shandong Univ, State Key Lab Microbial Technol, Qingdao 266237, Peoples R China.</t>
  </si>
  <si>
    <t>suhn@sdu.edu.cn; yqzh1989@sdu.edu.cn</t>
  </si>
  <si>
    <t>Zhao, Xuan/JMR-2135-2023; Li, Chun-Yang/JBS-2194-2023; qin, cheng/KHC-3344-2024; yan, yan/JVN-1800-2024; Zhang, Yuqiang Alan/C-5027-2015; Wang, Xingyi/KHT-7171-2024; sheng, qi/KHT-2652-2024; Yan, Miaochen/JLL-5061-2023; Zhang, Kai/KBD-3312-2024; Zhang, Yulin/KEI-1610-2024</t>
  </si>
  <si>
    <t>Li, Chun-Yang/0000-0002-1151-4897; Zhang, Yuqiang Alan/0000-0002-9161-7086; Zhang, Yu-Zhong/0000-0002-2017-1005</t>
  </si>
  <si>
    <t>10.3390/microorganisms11061566</t>
  </si>
  <si>
    <t>K2GO8</t>
  </si>
  <si>
    <t>WOS:001014678700001</t>
  </si>
  <si>
    <t>Johnson, GC; King, BA</t>
  </si>
  <si>
    <t>Johnson, Gregory C.; King, Brian A.</t>
  </si>
  <si>
    <t>Zapiola Gyre, Velocities and Mixing, New Argo Insights</t>
  </si>
  <si>
    <t>Zapiola Gyre; Deep Argo; Argentine Basin</t>
  </si>
  <si>
    <t>BOUNDARY CURRENT; OCEAN; CIRCULATION</t>
  </si>
  <si>
    <t>The Zapiola Gyre is a large, full-depth, bottom-intensified, anticyclonic recirculation in the Argentine Basin. It rotates around the Zapiola Drift, a sedimentary rise standing a few hundred meters above the abyssal plain, tall enough to create closed contours of planetary potential vorticity. Hence the gyre has been posited to be an eddy-driven free mode that is damped primarily by the bottom Ekman layer. It describes approximately a zonally elongated ellipse with a zonal semi-major axis of similar to 440 km and a meridional semi-minor axis of similar to 125 km. Its volume transport is estimated here at similar to 110 (+/- 25) x 10(6) m(3) s(-1). It has peak depth-averaged meridional velocities of similar to 0.06 and similar to 0.08 m s(-1), and peak depth-averaged zonal velocities of similar to 0.11 and similar to 0.12 m s(-1). Peak surface velocities are similar to 57% of peak bottom velocities, consistent with the dynamics of a bottom-intensified Taylor column in a stratified flow. Deep and Core Argo float trajectories follow the gyre, with a couple of Core Argo floats with 1000-dbar parking depths executing more than three anticyclonic rotations around it, and Core Argo floats that approach within similar to 75 km of the gyre center executing on average similar to 1.7 circumnavigations. Deep Argo temperature-salinity profiles combined with historical shipboard CTD profile data afford maps newly illuminating the advective swirling of water-mass signatures around the gyre at the density of the North Atlantic Deep Water salinity maximum. Their patterns are consistent with a Peclet number of similar to 30 estimated here using previously published lateral eddy diffusivities in the region. Plain Language Summary Deep Argo floats profile from the sea surface to its floor every 10 days, spending most of their time parked at mid-depth, swept along by ocean currents. Eleven of these floats were deployed in the Argentine Basin, starting in January 2021. Some of them sampled within the Zapiola Gyre, a large counter-clockwise swirling ocean current with volume transport (similar to 110 million cubic meters per second) comparable to the largest ocean currents, like the Gulf Stream and Antarctic Circumpolar Current. This gyre is hypothesized to owe its large size to flowing freely around a large rise in the ocean seafloor, energized by eddies and damped only by bottom friction. Some of the floats drifted completely around the gyre over the span of about a year, and the full-depth temperature and salinity profiles they collected, together with historical profiles collected from ships, allowed construction of a map of the swirl of relatively warm salty waters from the north and cold fresh waters from the south around the gyre. Analyses of data from these new floats and other sources allow insights into structure and roles of velocity and mixing in transporting heat and salt around this prominent and unusual feature of the ocean circulation.</t>
  </si>
  <si>
    <t>[Johnson, Gregory C.] NOAA, Pacific Marine Environm Lab, Seattle, WA 98195 USA; [King, Brian A.] Natl Oceanog Ctr, Southampton, England</t>
  </si>
  <si>
    <t>National Oceanic Atmospheric Admin (NOAA) - USA; NERC National Oceanography Centre</t>
  </si>
  <si>
    <t>Johnson, GC (corresponding author), NOAA, Pacific Marine Environm Lab, Seattle, WA 98195 USA.</t>
  </si>
  <si>
    <t>gregory.c.johnson@noaa.gov</t>
  </si>
  <si>
    <t>Johnson, Gregory C/I-6559-2012</t>
  </si>
  <si>
    <t>Johnson, Gregory C/0000-0002-8023-4020; KING, Brian/0000-0003-1338-3234</t>
  </si>
  <si>
    <t>NOAA Global Ocean Monitoring and Observation Program; NOAA Research; UK Natural Environment Research Council</t>
  </si>
  <si>
    <t>NOAA Global Ocean Monitoring and Observation Program(National Oceanic Atmospheric Admin (NOAA) - USA); NOAA Research(National Oceanic Atmospheric Admin (NOAA) - USA); UK Natural Environment Research Council(UK Research &amp; Innovation (UKRI)Natural Environment Research Council (NERC))</t>
  </si>
  <si>
    <t>Thanks to the crews and science parties of the RRS James Cook, the R/V Sarmiento de Gamboa, and the RRS Sir David Attenborough for Deep Argo float deployment assistance in the Argentine Basin. Thanks to all those who helped to collect, process, and calibrate the historical shipboard CTD data from the WOD18 data analyzed here, and to all those involved in the Argo program for their remarkable efforts. Thanks to Wilbert Weijer and at least one anonymous reviewer for comments on earlier versions of this manuscript. GCJ work was supported by NOAA Global Ocean Monitoring and Observation Program and NOAA Research. BAK was supported by the UK Natural Environment Research Council.&amp; nbsp;PMEL Contribution Number 5463.</t>
  </si>
  <si>
    <t>e2023JC019893</t>
  </si>
  <si>
    <t>10.1029/2023JC019893</t>
  </si>
  <si>
    <t>J8FJ8</t>
  </si>
  <si>
    <t>Green Submitted, Green Published</t>
  </si>
  <si>
    <t>WOS:001011923600001</t>
  </si>
  <si>
    <t>Schmidt, C; Morrison, AK; England, MH</t>
  </si>
  <si>
    <t>Schmidt, Christina; Morrison, Adele K.; England, Matthew H.</t>
  </si>
  <si>
    <t>Wind- and Sea-Ice-Driven Interannual Variability of Antarctic Bottom Water Formation</t>
  </si>
  <si>
    <t>Antarctic Bottom Water; ocean modeling; variability; dense water; Antarctica</t>
  </si>
  <si>
    <t>SOUTHERN-OCEAN; OVERTURNING CIRCULATION; DEEP; MODEL; SLOWDOWN; CLIMATE; EXPORT; RATES</t>
  </si>
  <si>
    <t>Antarctic Bottom Water (AABW) is a major component of the global overturning circulation, originating around the Antarctic continental margin. In recent decades AABW has both warmed and freshened, but there is also evidence of large interannual variability. The causes of this underlying variability are not yet fully understood, in part due to a lack of ocean and air-sea-ice flux measurements in the region. Here, we simulate the formation and export of AABW from 1958 to 2018 using a global, eddying ocean-sea-ice model in which the four AABW formation regions and transports agree reasonably well with observations. The simulated formation and export of AABW exhibits strong interannual variability which is not correlated between the different formation regions. Reservoirs of very dense waters at depth in the Weddell and Ross Seas following 1-2 years of strong surface water mass transformation can lead to higher AABW export for up to a decade. In Prydz Bay and at the Adelie Coast in contrast, dense water reservoirs do not persist beyond 1 year which we attribute to the narrower shelf extent in the East Antarctic AABW formation regions. The main factor controlling years of high AABW formation are weaker easterly winds, which reduce sea ice import into the AABW formation region, leaving increased areas of open water primed for air-sea buoyancy loss and convective overturning. Our study highlights the variability of simulated AABW formation in all four formation regions, with potential implications for interpreting trends in observational data using only limited duration and coverage.</t>
  </si>
  <si>
    <t>[Schmidt, Christina] Univ New South Wales, Climate Change Res Ctr, Australian Ctr Excellence Antarctic Sci, Sydney, NSW, Australia; [Schmidt, Christina] Univ New South Wales, ARC Ctr Excellence Climate Extremes, Sydney, NSW, Australia; [Morrison, Adele K.] Australian Natl Univ, Australian Ctr Excellence Antarctic Sci, Res Sch Earth Sci, Canberra, ACT, Australia; [England, Matthew H.] Univ New South Wales, Ctr Marine Sci &amp; Innovat CMSI, Australian Ctr Excellence Antarctic Sci, Sydney, NSW, Australia</t>
  </si>
  <si>
    <t>University of New South Wales Sydney; University of New South Wales Sydney; Australian National University; University of New South Wales Sydney</t>
  </si>
  <si>
    <t>Schmidt, C (corresponding author), Univ New South Wales, Climate Change Res Ctr, Australian Ctr Excellence Antarctic Sci, Sydney, NSW, Australia.</t>
  </si>
  <si>
    <t>christina.schmidt@unsw.edu.au</t>
  </si>
  <si>
    <t>England, Matthew/A-7539-2011; Schmidt, Christina/JXW-8171-2024; Morrison, Adele/C-1774-2012</t>
  </si>
  <si>
    <t>England, Matthew/0000-0001-9696-2930; Schmidt, Christina/0000-0002-7672-5054; Morrison, Adele/0000-0002-9904-4980</t>
  </si>
  <si>
    <t>Australian Government; Australian Research Council (ARC) DECRA Fellowship; ARC Special Research Initiative; Australian Centre for Excellence in Antarctic Science [LP200100406]; ARC Discovery Project [DE170100184]; Consortium for Ocean-Sea Ice Modelling in Australia (COSIMA); [SR200100008]; [DP190100494]; Australian Research Council [LP200100406] Funding Source: Australian Research Council</t>
  </si>
  <si>
    <t>Australian Government(Australian Government); Australian Research Council (ARC) DECRA Fellowship(Australian Research Council); ARC Special Research Initiative(Australian Research Council); Australian Centre for Excellence in Antarctic Science; ARC Discovery Project(Australian Research Council); Consortium for Ocean-Sea Ice Modelling in Australia (COSIMA); ; ; Australian Research Council(Australian Research Council)</t>
  </si>
  <si>
    <t>This research was undertaken on the National Computational Infrastructure (NCI) in Canberra, Australia, which is supported by the Australian Government. The authors thank the Consortium for Ocean-Sea Ice Modelling in Australia (COSIMA; ; Project number LP200100406) for making the ACCESS-OM2 suite of models available. AKM was supported by the Australian Research Council (ARC) DECRA Fellowship DE170100184. This research was also supported by the ARC Special Research Initiative, Australian Centre for Excellence in Antarctic Science (Project Number SR200100008) and the ARC Discovery Project DP190100494. We thank two anonymous reviewers for their helpful feedback. Open access publishing facilitated by University of New South Wales, as part of the Wiley - University of New South Wales agreement via the Council of Australian University Librarians.</t>
  </si>
  <si>
    <t>e2023JC019774</t>
  </si>
  <si>
    <t>10.1029/2023JC019774</t>
  </si>
  <si>
    <t>L4CJ1</t>
  </si>
  <si>
    <t>WOS:001022750800001</t>
  </si>
  <si>
    <t>Ghobadi-Far, K; Werth, S; Shirzaei, M; Loomis, BD; Döhne, T; Willen, MO; Horwath, M</t>
  </si>
  <si>
    <t>Ghobadi-Far, Khosro; Werth, Susanna; Shirzaei, Manoochehr; Loomis, Bryant D.; Doehne, Thorben; Willen, Matthias O.; Horwath, Martin</t>
  </si>
  <si>
    <t>The Impact of New Accelerometer Transplant Data (ACH) on GRACE Follow-On Along-Orbit Inter-Satellite Laser Ranging Observations and Monthly Time-Variable Gravity and Mascon Solutions</t>
  </si>
  <si>
    <t>GRACE Follow-On; non-gravitational accelerations; accelerometer transplant; time-variable gravity; mass change; laser ranging interferometer</t>
  </si>
  <si>
    <t>MASS VARIABILITY; MODEL; ELEVATION; BALANCE; FIELD</t>
  </si>
  <si>
    <t>GRACE-D accelerometer data show significant bias jumps since one month after the launch of the GRACE Follow-On (GRACE-FO) satellites in May 2018, making them inapplicable for correcting GRACE-FO products for non-gravitational accelerations. The GRACE-FO Science Data System (SDS) compensated this issue by transplanting the GRACE-C accelerometer data toward that of GRACE-D. Recently, GRACE-FO SDS implemented an updated transplant method, used in the latest release of GRACE-FO data. Here, we examine the impact of updated accelerometer transplant data (ACH) on GRACE-FO measurements at all levels: (a) Level-1B inter-satellite laser ranging residuals measured along satellite orbit, (b) Level-2 time-variable gravity solutions from all SDS centers (JPL, CSR, and GFZ), and (c) Level-3 mascon solutions. We show that inter-satellite laser ranging residuals are modified at low frequencies below 1 mHz, affecting the along-orbit analysis of large-scale time-variable gravity signals. When mapped into monthly Level-2 spherical harmonic coefficients of geopotential, the low-frequency change in inter-satellite ranging residuals leads to substantial improvement of coefficients associated with resonant orders (i.e., 15, 30, 45, etc.) and C-30. We also present an improved SLR-derived C-30 which significantly improves the agreement with updated GRACE-FO C-30 at seasonal and interannual timescales. Moreover, we demonstrate the noise reduction in mass change estimates from new GRACE-FO Level-2 data over oceans, Greenland, and Antarctica for all SDS solutions. GRACE-FO mascon solutions show a moderate change in the updated release. Our comprehensive analyses demonstrate high-quality estimates of non-gravitational accelerations by the updated transplant method, resulting in more accurate GRACE-FO time-variable gravity and mass change observations.</t>
  </si>
  <si>
    <t>[Ghobadi-Far, Khosro; Werth, Susanna; Shirzaei, Manoochehr] Virginia Tech, Dept Geosci, Blacksburg, VA 24061 USA; [Loomis, Bryant D.] NASA Goddard Space Flight Ctr, Geodesy &amp; Geophys Lab, Greenbelt, MD USA; [Doehne, Thorben; Willen, Matthias O.; Horwath, Martin] Tech Univ Dresden, Inst Planetare Geodasie, Dresden, Germany</t>
  </si>
  <si>
    <t>Virginia Polytechnic Institute &amp; State University; National Aeronautics &amp; Space Administration (NASA); NASA Goddard Space Flight Center; Technische Universitat Dresden</t>
  </si>
  <si>
    <t>Ghobadi-Far, K (corresponding author), Virginia Tech, Dept Geosci, Blacksburg, VA 24061 USA.</t>
  </si>
  <si>
    <t>khosro@vt.edu</t>
  </si>
  <si>
    <t>Ghobadi-Far, Khosro/0000-0001-8146-252X; Dohne, Thorben/0000-0002-1917-2027; Willen, Matthias/0000-0001-5226-7231; Shirzaei, Manoochehr/0000-0003-0086-3722</t>
  </si>
  <si>
    <t>National Aeronautics and Space Administration (NASA) [80NSSC21K0061]; German Research Foundation (DFG) [HO 4232/4-2, 1889]; European Space Agency [4000126523/19/I-NB, SCHE 1426/28-1]; [4000126813/19/I-NB]</t>
  </si>
  <si>
    <t>National Aeronautics and Space Administration (NASA)(National Aeronautics &amp; Space Administration (NASA)); German Research Foundation (DFG)(German Research Foundation (DFG)); European Space Agency(European Space Agency);</t>
  </si>
  <si>
    <t>We thank Christoph Dahle (GFZ) and Chris McCullough (JPL) for their thoughtful and constructive comments. This work was funded by the National Aeronautics and Space Administration (NASA) Grant 80NSSC21K0061. We thank Veit Helm (Helmholtz Centre for Polar and Marine Research, Alfred Wegener Institute, Bremerhaven, Germany) for providing surface elevation changes derived from CryoSat-2 and ICESat-2. The work of MW and TD was supported by funds of the German Research Foundation (DFG) through Grant HO 4232/4-2 as part of the Special Priority Program 1889 Regional Sea Level Change and Society (SeaLevel) and through Grant SCHE 1426/28-1, respectively, as well as by funds of the European Space Agency through the Climate Change Initiative (CCI) projects Antarctic Ice Sheet CCI+ (contract number 4000126813/19/I-NB) and Greenland Ice Sheet CCI+ (contract number 4000126523/19/I-NB).</t>
  </si>
  <si>
    <t>e2023JB026740</t>
  </si>
  <si>
    <t>10.1029/2023JB026740</t>
  </si>
  <si>
    <t>L4CQ8</t>
  </si>
  <si>
    <t>WOS:001022758700001</t>
  </si>
  <si>
    <t>Liu, H; Ren, XD; Zhang, XH; Mei, DK; Yang, PX</t>
  </si>
  <si>
    <t>Liu, Hang; Ren, Xiaodong; Zhang, Xiaohong; Mei, Dengkui; Yang, Pengxin</t>
  </si>
  <si>
    <t>Investigating the Effects of Ionospheric Scintillation on Multi-Frequency BDS-2/BDS-3 Signals at Low Latitudes</t>
  </si>
  <si>
    <t>ionospheric scintillation; BeiDou navigation satellite system (BDS); global navigation satellite systems (GNSS); equatorial plasma bubble (EPB); multi-frequency measurements</t>
  </si>
  <si>
    <t>AMPLITUDE; PHASE; MODEL; TEC</t>
  </si>
  <si>
    <t>Ionospheric scintillation could seriously disrupt the signal tracking of the global navigation satellite systems (GNSS), further causing positioning accuracy degradation or unavailability. BeiDou navigation satellite system (BDS), a newly developed GNSS by China, has begun to provide global positioning, navigation, and timing service. The objective of the present study is to investigate the effects of ionospheric scintillation on BDS-2 and BDS-3 multi-frequency signals. Ionospheric scintillation monitor receiver data from four monitors in Brazil were collected from October 2021 to May 2022. The results illustrate that S-4(B2) and S-4(B3) linearly increase with S-4(B1) for S-4(B1) = 0.6, which is consistent with weak scattering theories, and average experimental ratios of S-4(B2)/S-4(B1), S-4(B3)/S-4(B1), and S-4(B2)/S-4(B3) are less than corresponding theoretical ones by 6.1%, 4.4%, and 1.9%, respectively. Meanwhile, as S-4 values increase, lower-frequency scintillation saturates earlier than higher ones, and the probability of ionospheric scintillation events on B2 and B3 signals is approximately twice (S-4=0.7) as B1 signals in the equatorial ionization anomaly (EIA) regions. To alleviate the undesirable effects of missing data on GNSS positioning, we first investigate the inter-frequency relationship and distribution probability of two significant spectral parameters, that is, T (the spectral strength of the phase noise at 1 Hz) and p (the spectral slope of the phase power spectral density) in the tracking jitter model among three BDS frequencies. Results show that the performances among B1, B2, and B3 frequencies have a higher correlation respectively, and their values for B2 and B3 signals are more susceptible to be impacted by ionospheric scintillation.</t>
  </si>
  <si>
    <t>[Liu, Hang; Ren, Xiaodong; Zhang, Xiaohong; Mei, Dengkui; Yang, Pengxin] Wuhan Univ, Sch Geodesy &amp; Geomatics, Wuhan, Peoples R China; [Ren, Xiaodong; Zhang, Xiaohong] Hubei Luojia Lab, Wuhan, Peoples R China; [Zhang, Xiaohong] Wuhan Univ, Chinese Antarctic Ctr Surveying &amp; Mapping, Wuhan, Peoples R China</t>
  </si>
  <si>
    <t>Wuhan University; Wuhan University</t>
  </si>
  <si>
    <t>Ren, XD (corresponding author), Wuhan Univ, Sch Geodesy &amp; Geomatics, Wuhan, Peoples R China.;Ren, XD (corresponding author), Hubei Luojia Lab, Wuhan, Peoples R China.</t>
  </si>
  <si>
    <t>xdren@whu.edu.cn</t>
  </si>
  <si>
    <t>Zhang, Xiaohong/A-3060-2015; REN, XIAODONG/HJP-2991-2023</t>
  </si>
  <si>
    <t>REN, XIAODONG/0000-0002-3213-0067; liu, hang/0000-0002-3408-3807; yang, pengxin/0000-0002-6772-9758</t>
  </si>
  <si>
    <t>National Natural Science Foundation of China [42174031, 42230104]; Special Fund of Hubei Luojia Laboratory [2201000038]; CNPq [465648/2014-2]; FAPESP [2017/50115-0]; CAPES [88887.137186/2017-00]</t>
  </si>
  <si>
    <t>National Natural Science Foundation of China(National Natural Science Foundation of China (NSFC)); Special Fund of Hubei Luojia Laboratory; CNPq(Conselho Nacional de Desenvolvimento Cientifico e Tecnologico (CNPQ)); FAPESP(Fundacao de Amparo a Pesquisa do Estado de Sao Paulo (FAPESP)); CAPES(Coordenacao de Aperfeicoamento de Pessoal de Nivel Superior (CAPES))</t>
  </si>
  <si>
    <t>This work was funded by the National Natural Science Foundation of China (Grants 42174031 and 42230104) and the Special Fund of Hubei Luojia Laboratory (Grant 2201000038). We would like to cordially thank Dr. Zhiyu Zhang at Wuhan University for his fruitful advice. The numerical calculations have been done on the supercomputing system in the Supercomputing Center of Wuhan University, Wuhan, China. We also gratefully acknowledged the use of Generic Mapping Tool and MATrix LABoratory (MATLAB) software. Currently, ionospheric scintillation data access is provided by INCT GNSS-NavAer, funded by CNPq (465648/2014-2), FAPESP (2017/50115-0), and CAPES (88887.137186/2017-00). We would like to thank the anonymous reviewers for their helpful suggestions.</t>
  </si>
  <si>
    <t>e2022SW003362</t>
  </si>
  <si>
    <t>10.1029/2022SW003362</t>
  </si>
  <si>
    <t>L4DB3</t>
  </si>
  <si>
    <t>WOS:001022769300001</t>
  </si>
  <si>
    <t>Zhang, XY; Wang, YT; Hou, SG; Heil, P</t>
  </si>
  <si>
    <t>Zhang, Xueying; Wang, Yetang; Hou, Shugui; Heil, Petra</t>
  </si>
  <si>
    <t>Significant West Antarctic Cooling in the Past Two Decades Driven by Tropical Pacific Forcing</t>
  </si>
  <si>
    <t>Antarctica; Atmospheric circulation; Ice sheets; Teleconnections</t>
  </si>
  <si>
    <t>AMUNDSEN SEA EMBAYMENT; ATMOSPHERIC VARIABILITY; SURFACE; ICE; CIRCULATION; TRENDS</t>
  </si>
  <si>
    <t>During the second half of the twentieth century, the West Antarctic Ice Sheet (WAIS) has undergone significant warming at more than twice the global mean and thus is regarded as one of the most rapidly warming regions on Earth. However, a reversal of this trend was observed in the 1990s, resulting in regional cooling. In particular, during 1999-2018, the observed annual average surface air temperature had decreased at a statistically significant rate, with the strongest cooling in austral spring. The spring cooling correlates significantly with the second leading modes (EOF2) derived from empirical orthogonal function (EOF) analysis on the sea level pressure over Antarctica during 1999-2018, associated with the negative phase of the interdecadal Pacific oscil-lation with an average of cooling of central and eastern tropical Pacific surface sea temperature (SST) anomalies. The EOF2 results in the enhanced cold southerly winds on the continental WAIS through the cyclonic conditions over the Amundsen Sea region and a blocking high in the Drake Passage and northern Antarctic Peninsula, causing the WAIS cooling trend.</t>
  </si>
  <si>
    <t>[Zhang, Xueying; Wang, Yetang] Shandong Normal Univ, Coll Geog &amp; Environm, Jinan, Peoples R China; [Hou, Shugui] Shanghai Jiao Tong Univ, Sch Oceanog, Shanghai, Peoples R China; [Heil, Petra] Australian Antarctic Div, Kingston, Australia; [Heil, Petra] Univ Tasmania, Australian Antarctic Program Partnership, Hobart, Tas, Australia</t>
  </si>
  <si>
    <t>Shandong Normal University; Shanghai Jiao Tong University; Australian Antarctic Division; University of Tasmania</t>
  </si>
  <si>
    <t>Wang, YT (corresponding author), Shandong Normal Univ, Coll Geog &amp; Environm, Jinan, Peoples R China.</t>
  </si>
  <si>
    <t>yetangwang@sdnu.edu.cn</t>
  </si>
  <si>
    <t>Zhang, Wenbin/JXX-8070-2024; Jing, Jing/JSK-6237-2023; LI, HAO/KBD-0866-2024; Chen, Liang/JXX-7887-2024; Li, siqi/KDN-4520-2024; lu, yuan/JZD-0832-2024; liu, sha/JXL-6600-2024; wang, wei/JYP-7819-2024; chen, yue/JXW-9556-2024; zhao, wei/JZD-4475-2024; Yu, Yue/JWP-9103-2024; zhang, jiayue/JUF-0129-2023; LI, SHA/JNR-9956-2023; zhang, xueying/JMB-7808-2023; zhang, xu/JXX-7692-2024</t>
  </si>
  <si>
    <t>Heil, Petra/0000-0003-2078-0342</t>
  </si>
  <si>
    <t>National Key Research and Development Program of China [2020YFA0608202]; National Natural Science Foundation of China [41971081, 41830644]; Strategic Priority Research Program of the Chinese Academy of Sciences [XDA19070103]; Project for Outstanding Youth Innovation Team in the Universities of Shandong Province [2019KJH011]; Australian Antarctic Program [AAS187, 4007, 5032, 4506]; Shanghai Frontiers Science Center of Polar Science; Australian government as part of the Antarctic Science Collaboration Initiative program [ASCI000002]; Australian Antarctic Program Partnership; International Space Science Institute (Switzerland) Project [405]</t>
  </si>
  <si>
    <t>National Key Research and Development Program of China; National Natural Science Foundation of China(National Natural Science Foundation of China (NSFC)); Strategic Priority Research Program of the Chinese Academy of Sciences(Chinese Academy of Sciences); Project for Outstanding Youth Innovation Team in the Universities of Shandong Province; Australian Antarctic Program; Shanghai Frontiers Science Center of Polar Science; Australian government as part of the Antarctic Science Collaboration Initiative program(Australian Government); Australian Antarctic Program Partnership; International Space Science Institute (Switzerland) Project</t>
  </si>
  <si>
    <t>&amp; nbsp;This work was supported by the National Key Research and Development Program of China (2020YFA0608202) , the National Natural Science Foundation of China (41971081 and 41830644) , the Strategic Priority Research Program of the Chinese Academy of Sciences (XDA19070103) , the Project for Outstanding Youth Innovation Team in the Universities of Shandong Province (2019KJH011) , the Australian Antarctic Program under projects AAS187, 4007, 5032 and 4506, and the Shanghai Frontiers Science Center of Polar Science (SCOPS) . PH was supported by grant funding from the Australian government as part of the Antarctic Science Collaboration Initiative program (ASCI000002; Australian Antarctic Program Partnership) and the International Space Science Institute (Switzerland) Project 405. We thank the providers of publicly available data used in this study, including ECMWF, NOAA, NSIDC, and BAS (see below) .</t>
  </si>
  <si>
    <t>E1154</t>
  </si>
  <si>
    <t>E1165</t>
  </si>
  <si>
    <t>10.1175/BAMS-D-22-0153.1</t>
  </si>
  <si>
    <t>L3ZS0</t>
  </si>
  <si>
    <t>WOS:001022680800001</t>
  </si>
  <si>
    <t>Lobkovsky, LI; Baranov, AA; Ramazanov, MM; Vladimirova, IS; Gabsatarov, YV; Alekseev, DA</t>
  </si>
  <si>
    <t>Lobkovsky, L. I.; Baranov, A. A.; Ramazanov, M. M.; Vladimirova, I. S.; Gabsatarov, Yu. V.; Alekseev, D. A.</t>
  </si>
  <si>
    <t>Possible Seismogenic-Trigger Mechanism of Methane Emission, Glacier Destruction and Climate Warming in the Arctic and Antarctic</t>
  </si>
  <si>
    <t>IZVESTIYA-PHYSICS OF THE SOLID EARTH</t>
  </si>
  <si>
    <t>West Antarctica; glacier destruction; methane emission; climate warming; strong earthquakes; subduction zones of the southern part of the Pacific lithosphere; tectonic waves; trigger mechanism; metastable gas hydrates</t>
  </si>
  <si>
    <t>STRESS PROPAGATION; ICE; HYDRATE; PLATE; WAVES; SHELF; LITHOSPHERE; PERMAFROST; SIMULATION; FILTRATION</t>
  </si>
  <si>
    <t>A seismogenic-trigger mechanism is proposed for the activation of methane emission on the Arctic shelf in the late 1970s, which caused the onset of abrupt climate warming in the Arctic and a rapid disintegration of West Antarctica's ice sheet and ice shelves in the late 20th and early 21st centuries. This process is accompanied by the release of methane from the underlying hydrate-bearing sedimentary rocks and accelerated climate warming in Antarctica. The proposed mechanism is associated with the action of deformation tectonic waves in the lithosphere-asthenosphere system, caused by strong earthquakes occurring in the subduction zones closest to the polar regions: the Aleutian, located in the northern part of the Pacific Ocean, the Chilean and Kermadec-Macquarie, located in the southeastern and southwestern parts of the Pacific lithosphere. Disturbances of the lithosphere are transmitted at an average velocity of about 100 km/yr over distances as long as 2000-4000 km, and the associated additional stresses that come to the Arctic and Antarctica several decades after earthquakes lead to the destruction of metastable gas hydrates located in the frozen rocks of the Arctic shelf or in the subglacial sedimentary rocks of Antarctica, causing the greenhouse effect and climate warming. Moreover, transmission of additional stresses causes a decrease in the adhesion of the ice sheet to the underlying rocks, its accelerated sliding and the destruction of the ice shelves in Antarctica. The considered hypothesis leads to the conclusion that in the coming decades, the processes of glacier destruction and climate warming in Antarctica will increase due to an unprecedented increase in the number of strong earthquakes in the subduction zones of the South Pacific Ocean in the late 20th and early 21st centuries.</t>
  </si>
  <si>
    <t>[Lobkovsky, L. I.; Vladimirova, I. S.; Gabsatarov, Yu. V.; Alekseev, D. A.] Russian Acad Sci, Shirshov Inst Oceanol, Moscow 117997, Russia; [Lobkovsky, L. I.; Vladimirova, I. S.; Gabsatarov, Yu. V.; Alekseev, D. A.] Natl Res Univ, Moscow Inst Phys &amp; Technol, Dolgoprudnyi 141701, Russia; [Baranov, A. A.] Russian Acad Sci, Schmidt Inst Phys Earth, Moscow, Russia; [Ramazanov, M. M.] Russian Acad Sci, Inst Geothermal Res &amp; Renewable Energy, Branch Joint Inst High Temp, Makhachkala 367030, Russia</t>
  </si>
  <si>
    <t>Russian Academy of Sciences; Shirshov Institute of Oceanology; Moscow Institute of Physics &amp; Technology; Russian Academy of Sciences; Schmidt Institute of Physics of the Earth of the Russian Academy of Sciences; Russian Academy of Sciences; Joint Institute for High Temperatures of the Russian Academy of Sciences</t>
  </si>
  <si>
    <t>Lobkovsky, LI (corresponding author), Russian Acad Sci, Shirshov Inst Oceanol, Moscow 117997, Russia.;Lobkovsky, LI (corresponding author), Natl Res Univ, Moscow Inst Phys &amp; Technol, Dolgoprudnyi 141701, Russia.</t>
  </si>
  <si>
    <t>llobkovsky@ocean.ru; yuryg@gsras.ru</t>
  </si>
  <si>
    <t>Vladimirova, Irina S./Q-6474-2017</t>
  </si>
  <si>
    <t>Ramazanov, Mukamai/0000-0002-2468-1272</t>
  </si>
  <si>
    <t>Shirshov Institute of Oceanology of the Russian Academy of Sciences [FMWE-2021-0004]</t>
  </si>
  <si>
    <t>Shirshov Institute of Oceanology of the Russian Academy of Sciences(Russian Academy of Sciences)</t>
  </si>
  <si>
    <t>The research was carried out partly within state assignment No. FMWE-2021-0004 of the Shirshov Institute of Oceanology of the Russian Academy of Sciences and partly within the state assignment of the Schmidt Institute of Physics of the Earth of the Russian Academy of Sciences.</t>
  </si>
  <si>
    <t>1069-3513</t>
  </si>
  <si>
    <t>1555-6506</t>
  </si>
  <si>
    <t>IZV-PHYS SOLID EART+</t>
  </si>
  <si>
    <t>Izv.-Phys. Solid Earth</t>
  </si>
  <si>
    <t>10.1134/S1069351323030084</t>
  </si>
  <si>
    <t>J4OZ9</t>
  </si>
  <si>
    <t>WOS:001009436000002</t>
  </si>
  <si>
    <t>Cramwinckel, MJ; Burls, NJ; Fahad, AA; Knapp, S; West, CK; Reichgelt, T; Greenwood, DR; Chan, WL; Donnadieu, Y; Hutchinson, DK; de Boer, AM; Ladant, JB; Morozova, PA; Niezgodzki, I; Knorr, G; Steinig, S; Zhang, ZS; Zhu, J; Feng, R; Lunt, DJ; Abe-Ouchi, A; Inglis, GN</t>
  </si>
  <si>
    <t>Cramwinckel, Margot J.; Burls, Natalie J.; Fahad, Abdullah A.; Knapp, Scott; West, Christopher K.; Reichgelt, Tammo; Greenwood, David R.; Chan, Wing-Le; Donnadieu, Yannick; Hutchinson, David K.; de Boer, Agatha M.; Ladant, Jean-Baptiste; Morozova, Polina A.; Niezgodzki, Igor; Knorr, Gregor; Steinig, Sebastian; Zhang, Zhongshi; Zhu, Jiang; Feng, Ran; Lunt, Daniel J.; Abe-Ouchi, Ayako; Inglis, Gordon N.</t>
  </si>
  <si>
    <t>Global and Zonal-Mean Hydrological Response to Early Eocene Warmth</t>
  </si>
  <si>
    <t>DeepMIP; Eocene; Paleocene; hydrology; precipitation; evaporation</t>
  </si>
  <si>
    <t>CLIMATIC OPTIMUM EECO; THERMAL MAXIMUM PETM; DEEPMIP CONTRIBUTION; EXPERIMENTAL-DESIGN; CERREJON FORMATION; ASIAN MONSOON; BIGHORN BASIN; PALEOCENE; MODEL; MIDDLE</t>
  </si>
  <si>
    <t>Earth's hydrological cycle is expected to intensify in response to global warming, with a wet-gets-wetter, dry-gets-drier response anticipated over the ocean. Subtropical regions (similar to 15 degrees-30 degrees N/S) are predicted to become drier, yet proxy evidence from past warm climates suggests these regions may be characterized by wetter conditions. Here we use an integrated data-modeling approach to reconstruct global and zonal-mean rainfall patterns during the early Eocene (similar to 56-48 million years ago). The Deep-Time Model Intercomparison Project (DeepMIP) model ensemble indicates that the mid-(30 degrees-60 degrees N/S) and high-latitudes (&gt;60 degrees N/S) are characterized by a thermodynamically dominated hydrological response to warming and overall wetter conditions. The tropical band (0 degrees-15 degrees N/S) is also characterized by wetter conditions, with several DeepMIP models simulating narrowing of the Inter-Tropical Convergence Zone. However, the latter is not evident from the proxy data. The subtropics are characterized by negative precipitation-evaporation anomalies (i.e., drier conditions) in the DeepMIP models, but there is surprisingly large inter-model variability in mean annual precipitation (MAP). Intriguingly, we find that models with weaker meridional temperature gradients (e.g., CESM, GFDL) are characterized by a reduction in subtropical moisture divergence, leading to an increase in MAP. These model simulations agree more closely with our new proxy-derived precipitation reconstructions and other key climate metrics and imply that the early Eocene was characterized by reduced subtropical moisture divergence. If the meridional temperature gradient was even weaker than suggested by those DeepMIP models, circulation-induced changes may have outcompeted thermodynamic changes, leading to wetter subtropics. This highlights the importance of accurately reconstructing zonal temperature gradients when reconstructing past rainfall patterns. As the world warms, the atmosphere is able to hold more moisture however, this moisture will not fall evenly across the globe. Some regions are expected to become wetter, whereas other regions will become drier. This is the basis of the familiar paradigm wet-gets-wetter, dry-gets-drier and is largely supported by future model projections. However, evidence from the geological record contradicts this hypothesis and suggests that a warmer world could be characterized by wetter (rather than drier) subtropics. Here, we use an integrated data-modeling approach to investigate the hydrological response to warming during an ancient warm interval (the early Eocene, 56-48 million years ago). We show that models with weaker latitudinal temperature gradients are characterized by a reduction in subtropical moisture divergence. However, this was not sufficient to induce subtropical wetting. If the meridional temperature gradient was weaker than suggested by the models, circulation-induced changes may have lead to wetter subtropics. This work shows that the latitudinal temperature gradient is a key factor that influences hydroclimate in the subtropics, especially in past warm climates.</t>
  </si>
  <si>
    <t>[Cramwinckel, Margot J.; Inglis, Gordon N.] Univ Southampton, Sch Ocean &amp; Earth Sci, Southampton, England; [Cramwinckel, Margot J.] Univ Utrecht, Dept Earth Sci, Utrecht, Netherlands; [Burls, Natalie J.; Fahad, Abdullah A.; Knapp, Scott] George Mason Univ, Ctr Ocean Land Atmosphere Studies, Dept Atmospher Ocean &amp; Earth Sci, Fairfax, VA USA; [Fahad, Abdullah A.] NASA Goddard Space Flight Ctr, GMAO, Greenbelt, MD USA; [West, Christopher K.] Univ Alberta, Dept Earth &amp; Atmospher Sci, Edmonton, AB, Canada; [West, Christopher K.] Royal Tyrrell Museum Palaeontol, Drumheller, AB, Canada; [Reichgelt, Tammo] Univ Connecticut, Dept Earth Sci, Storrs, CT USA; [Greenwood, David R.] Brandon Univ, Dept Biol, Brandon, MB, Canada; [Chan, Wing-Le; Abe-Ouchi, Ayako] Univ Tokyo, Atmosphere &amp; Ocean Res Inst, Kashiwa, Japan; [Donnadieu, Yannick] Aix Marseille Univ, Coll France, CNRS, IRD,INRA,CEREGE, Aix En Provence, France; [Hutchinson, David K.] Univ New South Wales Sydney, Climate Change Res Ctr, Sydney, Australia; [de Boer, Agatha M.] Stockholm Univ, Dept Geol Sci, Stockholm, Sweden; [Ladant, Jean-Baptiste] Univ Paris Saclay, Lab Sci Climat &amp; Environm, LSCE, IPSL,CEA,CNRS,UVSQ, Gif Sur Yvette, France; [Morozova, Polina A.] Russian Acad Sci, Inst Geog, Moscow, Russia; [Niezgodzki, Igor] Polish Acad Sci, Inst Geol Sci, Krakow, Poland; [Knorr, Gregor] Alfred Wegener Inst Polar &amp; Marine Res, Bremerhaven, Germany; [Steinig, Sebastian; Lunt, Daniel J.] Univ Bristol, Sch Geog Sci, Bristol, England; [Zhang, Zhongshi] Univ Bergen, Bjerknes Ctr Climate Res, Bergen, Norway; [Zhu, Jiang] Natl Ctr Atmospher Res, Boulder, CO USA</t>
  </si>
  <si>
    <t>University of Southampton; NERC National Oceanography Centre; Utrecht University; George Mason University; Center for Ocean Land Atmosphere Studies; National Aeronautics &amp; Space Administration (NASA); NASA Goddard Space Flight Center; University of Alberta; University of Connecticut; Brandon University; University of Tokyo; Universite PSL; College de France; Aix-Marseille Universite; INRAE; Institut de Recherche pour le Developpement (IRD); Centre National de la Recherche Scientifique (CNRS); University of New South Wales Sydney; Stockholm University; Universite Paris Cite; Universite Paris Saclay; CEA; Centre National de la Recherche Scientifique (CNRS); Institute of Geography, Russian Academy of Sciences; Russian Academy of Sciences; Polish Academy of Sciences; Institute of Geological Sciences of the Polish Academy of Sciences; Helmholtz Association; Alfred Wegener Institute, Helmholtz Centre for Polar &amp; Marine Research; University of Bristol; University of Bergen; Bjerknes Centre for Climate Research; National Center Atmospheric Research (NCAR) - USA</t>
  </si>
  <si>
    <t>Inglis, GN (corresponding author), Univ Southampton, Sch Ocean &amp; Earth Sci, Southampton, England.</t>
  </si>
  <si>
    <t>gordon.inglis@soton.ac.uk</t>
  </si>
  <si>
    <t>Hutchinson, David/F-4564-2016; Abe-Ouchi, Ayako A/M-6359-2013; Chan, Wing-Le/X-3976-2019; Zhang, Zhongshi/ADE-5510-2022; Greenwood, David R./C-2758-2008; Feng, Ran/HPE-3363-2023; De Boer, Agatha M/H-4202-2012; Zhu, Jiang/H-6040-2011; Lunt, Daniel/G-9451-2011</t>
  </si>
  <si>
    <t>Hutchinson, David/0000-0001-9385-4782; Abe-Ouchi, Ayako A/0000-0003-1745-5952; Chan, Wing-Le/0000-0002-5646-6104; Zhang, Zhongshi/0000-0002-2354-1622; Greenwood, David R./0000-0002-8569-9695; Niezgodzki, Igor/0000-0002-6746-8332; Burls, Natalie/0000-0002-6950-3808; West, Christopher K./0000-0003-1193-0986; Steinig, Sebastian/0000-0003-3700-1106; Cramwinckel, Marlow J./0000-0002-6063-836X; Inglis, Gordon/0000-0002-0032-4668; Reichgelt, Tammo/0000-0001-8652-5489; Knapp, Scott/0000-0002-9539-2937; Zhu, Jiang/0000-0002-0908-5130; Lunt, Daniel/0000-0003-3585-6928</t>
  </si>
  <si>
    <t>Royal Society Dorothy Hodgkin Fellowship [DHF\R1\191178]; Royal Society [DHF\ERE\210068]; National Science Foundation [AGS-1844380]; Natural Sciences and Engineering Research Council of Canada (NSERC) [DG 311934, 2016-04337]; Northern Climates Postdoctoral Fellowship at the University of Alberta; Australian Research Council [DE22010079]; Australian Centre for Excellence in Antarctic Science [SR200100008, NSF-2114204]; Swedish Research Council [2018-05973]; JSPS KAKENHI [17H06104]; MEXT KAKENHI [17H06323]; National Science Foundation (NSF); National Center for Atmospheric Research; NSF [1852977]</t>
  </si>
  <si>
    <t>Royal Society Dorothy Hodgkin Fellowship(Royal Society); Royal Society(Royal Society); National Science Foundation(National Science Foundation (NSF)); Natural Sciences and Engineering Research Council of Canada (NSERC)(Natural Sciences and Engineering Research Council of Canada (NSERC)); Northern Climates Postdoctoral Fellowship at the University of Alberta; Australian Research Council(Australian Research Council); Australian Centre for Excellence in Antarctic Science; Swedish Research Council(Swedish Research Council); 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 National Science Foundation (NSF)(National Science Foundation (NSF)); National Center for Atmospheric Research; NSF(National Science Foundation (NSF))</t>
  </si>
  <si>
    <t>G.N.I was supported by a Royal Society Dorothy Hodgkin Fellowship (DHF\R1\191178). G.N.I. was also supported by additional funds from the Royal Society (DHF\ERE\210068). N.J.B. was supported by the National Science Foundation, via award AGS-1844380. D. G was supported by the Natural Sciences and Engineering Research Council of Canada (NSERC) through Discovery Grants (DG 311934 and 2016-04337). C.K.W acknowledges funding from a private donor to the Northern Climates Postdoctoral Fellowship at the University of Alberta. D.K.H acknowledges support from Australian Research Council grant DE22010079 and the Australian Centre for Excellence in Antarctic Science, project number SR200100008. R.F is supported by NSF-2114204. A.dB was supported by Swedish Research Council project 2020-04791. The GFDL simulations were performed by resources provided by the Swedish National Infrastructure for Computing (SNIC) at the National Supercomputer Centre (NSC), partially funded by the Swedish Research Council through Grant agreement 2018-05973. W.L.C and A.A.O acknowledge funding from JSPS KAKENHI (Grant 17H06104) and MEXT KAKENHI (Grant 17H06323). The CESM project is supported primarily by the National Science Foundation (NSF); this material is based upon work supported by the National Center for Atmospheric Research, which is a major facility sponsored by the NSF under Cooperative Agreement 1852977.</t>
  </si>
  <si>
    <t>e2022PA004542</t>
  </si>
  <si>
    <t>10.1029/2022PA004542</t>
  </si>
  <si>
    <t>J4UV4</t>
  </si>
  <si>
    <t>WOS:001009589100001</t>
  </si>
  <si>
    <t>Fraser, AD; Wongpan, P; Langhorne, PJ; Klekociuk, AR; Kusahara, K; Lannuzel, D; Massom, RA; Meiners, KM; Swadling, KM; Atwater, DP; Brett, GM; Corkill, M; Dalman, LA; Fiddes, S; Granata, A; Guglielmo, L; Heil, P; Leonard, GH; Mahoney, AR; McMinn, A; van der Merwe, P; Weldrick, CK; Wienecke, B</t>
  </si>
  <si>
    <t>Fraser, A. D.; Wongpan, P.; Langhorne, P. J.; Klekociuk, A. R.; Kusahara, K.; Lannuzel, D.; Massom, R. A.; Meiners, K. M.; Swadling, K. M.; Atwater, D. P.; Brett, G. M.; Corkill, M.; Dalman, L. A.; Fiddes, S.; Granata, A.; Guglielmo, L.; Heil, P.; Leonard, G. H.; Mahoney, A. R.; McMinn, A.; van der Merwe, P.; Weldrick, C. K.; Wienecke, B.</t>
  </si>
  <si>
    <t>Antarctic Landfast Sea Ice: A Review of Its Physics, Biogeochemistry and Ecology</t>
  </si>
  <si>
    <t>landfast sea ice; Antarctic sea ice; cryosphere; fast ice</t>
  </si>
  <si>
    <t>TERRA-NOVA BAY; LUTZOW-HOLM BAY; OCEAN-CRYOSPHERE INTERACTIONS; DISSOLVED ORGANIC-MATTER; LIFE-CYCLE STRATEGY; SHELF WATER PLUME; WESTERN ROSS SEA; MCMURDO SOUND; EAST ANTARCTICA; WEDDELL SEA</t>
  </si>
  <si>
    <t>Antarctic landfast sea ice (fast ice) is stationary sea ice that is attached to the coast, grounded icebergs, ice shelves, or other protrusions on the continental shelf. Fast ice forms in narrow (generally up to 200 km wide) bands, and ranges in thickness from centimeters to tens of meters. In most regions, it forms in autumn, persists through the winter and melts in spring/summer, but can remain throughout the summer in particular locations, becoming multi-year ice. Despite its relatively limited extent (comprising between about 4% and 13% of overall sea ice), its presence, variability and seasonality are drivers of a wide range of physical, biological and biogeochemical processes, with both local and far-ranging ramifications for the Earth system. Antarctic fast ice has, until quite recently, been overlooked in studies, likely due to insufficient knowledge of its distribution, leading to its reputation as a missing piece of the Antarctic puzzle. This review presents a synthesis of current knowledge of the physical, biogeochemical and biological aspects of fast ice, based on the sub-domains of: fast ice growth, properties and seasonality; remote-sensing and distribution; interactions with the atmosphere and the ocean; biogeochemical interactions; its role in primary production; and fast ice as a habitat for grazers. Finally, we consider the potential state of Antarctic fast ice at the end of the 21st Century, underpinned by Coupled Model Intercomparison Project model projections. This review also gives recommendations for targeted future work to increase our understanding of this critically-important element of the global cryosphere.</t>
  </si>
  <si>
    <t>[Fraser, A. D.; Wongpan, P.; Klekociuk, A. R.; Massom, R. A.; Meiners, K. M.; Swadling, K. M.; Atwater, D. P.; Dalman, L. A.; Fiddes, S.; Heil, P.; Weldrick, C. K.] Univ Tasmania, Inst Marine &amp; Antarctic Studies, Australian Antarctic Program Partnership, Hobart, TAS, Australia; [Langhorne, P. J.] Univ Otago, Dept Phys, Dunedin, New Zealand; [Klekociuk, A. R.; Massom, R. A.; Meiners, K. M.; Heil, P.; Wienecke, B.] Australian Antarctic Div, Dept Climate Change, Energy Environm &amp; Water, Kingston, TAS, Australia; [Kusahara, K.] Japan Agcy Marine Earth Sci &amp; Technol, Yokohama, Japan; [Lannuzel, D.; Swadling, K. M.; Atwater, D. P.; Corkill, M.; Dalman, L. A.; McMinn, A.; van der Merwe, P.] Univ Tasmania, Inst Marine &amp; Antarctic Studies, Hobart, TAS, Australia; [Lannuzel, D.; Massom, R. A.; Meiners, K. M.] Univ Tasmania, ARC Australian Ctr Excellence Antarctic Sci, Hobart, TAS, Australia; [Brett, G. M.] Univ Canterbury, Gateway Antarctica, Christchurch, New Zealand; [Granata, A.] Univ Messina, Dept Chem Biol Pharmaceut &amp; Environm Sci, Messina, Italy; [Guglielmo, L.] Stn Zool Anton Dohrn, Naples, Italy; [Leonard, G. H.] Univ Otago, Natl Sch Surveying, Dunedin, New Zealand; [Mahoney, A. R.] Univ Alaska Fairbanks, Geophys Inst, Fairbanks, AK USA</t>
  </si>
  <si>
    <t>University of Tasmania; University of Otago; Australian Antarctic Division; Japan Agency for Marine-Earth Science &amp; Technology (JAMSTEC); University of Tasmania; University of Tasmania; University of Canterbury; University of Messina; Stazione Zoologica Anton Dohrn di Napoli; University of Otago; University of Alaska System; University of Alaska Fairbanks</t>
  </si>
  <si>
    <t>Fraser, AD (corresponding author), Univ Tasmania, Inst Marine &amp; Antarctic Studies, Australian Antarctic Program Partnership, Hobart, TAS, Australia.</t>
  </si>
  <si>
    <t>adfraser@utas.edu.au</t>
  </si>
  <si>
    <t>Fiddes, Sonya L./HKM-5559-2023; Wongpan, Pat/AAX-6946-2020; Lannuzel, Delphine/J-7937-2014; Leonard, Greg/F-7157-2010; Langhorne, Pat/C-3539-2018; Klekociuk, Andrew/A-4498-2015</t>
  </si>
  <si>
    <t>Fiddes, Sonya L./0000-0002-2752-0845; Wongpan, Pat/0000-0002-7113-8221; Swadling, Kerrie/0000-0002-7620-841X; Heil, Petra/0000-0003-2078-0342; Dalman, Laura/0000-0002-3931-6753; Leonard, Greg/0000-0001-7679-9486; Langhorne, Pat/0000-0003-0239-7657; Klekociuk, Andrew/0000-0003-3335-0034; GRANATA, Antonia/0000-0001-7016-6418; Fraser, Alexander/0000-0003-1924-0015; Kusahara, Kazuya/0000-0003-4067-7959</t>
  </si>
  <si>
    <t>Australian Government, Antarctic Science Collaboration Initiative program; Australian Research Council Special Research Initiative [ASCI000002]; Australian Centre for Excellence in Antarctic Science; Australian Antarctic Science Project [SR200100008]; Australian Research Council Future Fellowship [4496, 4506, 4546, 4564, 4593, 4625]; International Space Science Institute [FT190100688]; Australian Government [501]; use of the Nectar Research Cloud; Tasmanian Partnership for Advanced Computing; NCRIS-funded Australian Research Data Commons (ARDC); CMIP6; Australian Research Council [FT190100688] Funding Source: Australian Research Council</t>
  </si>
  <si>
    <t>Australian Government, Antarctic Science Collaboration Initiative program(Australian Government); Australian Research Council Special Research Initiative(Australian Research Council); Australian Centre for Excellence in Antarctic Science; Australian Antarctic Science Project; Australian Research Council Future Fellowship(Australian Research Council); International Space Science Institute; Australian Government(Australian Government); use of the Nectar Research Cloud; Tasmanian Partnership for Advanced Computing; NCRIS-funded Australian Research Data Commons (ARDC); CMIP6; Australian Research Council(Australian Research Council)</t>
  </si>
  <si>
    <t>This project received grant funding from the Australian Government as part of the Antarctic Science Collaboration Initiative program (project ID ASCI000002), and for DL, RAM, and KMM was supported by the Australian Research Council Special Research Initiative, Australian Centre for Excellence in Antarctic Science (Project Number SR200100008). This work contributes to Australian Antarctic Science Projects 4496, 4506, 4546, 4564, 4593, and 4625. DL is funded by an Australian Research Council Future Fellowship FT190100688. PH acknowledges support through the International Space Science Institute Grant 501.This research was undertaken with the assistance of resources and services from the National Computational Infrastructure (Project jk72), which is supported by the Australian Government. This research was supported by use of the Nectar Research Cloud and by the Tasmanian Partnership for Advanced Computing. The Nectar Research Cloud is a collaborative Australian research platform supported by the NCRIS-funded Australian Research Data Commons (ARDC). SF would like to thank the ARC Centre of Excellence for Climate Extremes for their maintenance of virtual environments and software including the Climate Finder search ESGF data at NCI. SF would also like to acknowledge the World Climate Research Programme, which, through its Working Group on Coupled Modeling, coordinated and promoted CMIP6. We thank the climate modeling groups for producing and making available their model output, the ESGF for archiving the data and providing access, and the multiple funding agencies who support CMIP6 and ESGF. The authors would like to thank Dr. Christian Haas, one anonymous reviewer and the editor Prof. Gesine Mollenhauer for providing constructive comments which helped to improve this manuscript. We also thank Prof. Steve Warren for providing comments on the preprint during the review. The authors would also like to thank Dr. Christian Haas from Alfred Wegener Institute for Polar Research for providing aerial photographs, Dr. Stacey McCormack at Visual Knowledge for producing Figures 2and 10-12, Mr. Dave Connell from the Australian Antarctic Data Centre for his assistance with data set hosting, and Dr. Damien Guihen, Dr. Indi Hodgson-John-ston and A/Prof. Jeffery McGee for their valuable discussion around ship tracking. We acknowledge the use of imagery from the NASA Worldview application (https://worldview.earthdata.nasa.gov/), part of the NASA Earth Observing System Data and Information System (EOSDIS).Open access publishing facilitated by University of Tasmania, as part of the Wiley - University of Tasmania &amp; nbsp;agreement via the Council of Australian University Librarians.</t>
  </si>
  <si>
    <t>e2022RG000770</t>
  </si>
  <si>
    <t>10.1029/2022RG000770</t>
  </si>
  <si>
    <t>L4DA6</t>
  </si>
  <si>
    <t>WOS:001022768600001</t>
  </si>
  <si>
    <t>Cheng, CHC; Rivera-Colón, AG; Minhas, BF; Wilson, L; Rayamajhi, N; Vargas-Chacoff, L; Catchen, JM</t>
  </si>
  <si>
    <t>Cheng, Chi-Hing Christina; Rivera-Colon, Angel G.; Minhas, Bushra Fazal; Wilson, Loralee; Rayamajhi, Niraj; Vargas-Chacoff, Luis; Catchen, Julian M.</t>
  </si>
  <si>
    <t>Chromosome-Level Genome Assembly and Circadian Gene Repertoire of the Patagonia Blennie Eleginops maclovinus-The Closest Ancestral Proxy of Antarctic Cryonotothenioids</t>
  </si>
  <si>
    <t>S; American robalo; Eleginopidae; basal notothenioid; monotypic; ancestral notothenioid proxy; genome structure; circadian rhythm</t>
  </si>
  <si>
    <t>MULTIPLE SEQUENCE ALIGNMENT; KARYOTYPE EVOLUTION; NOTOTHENIOID FISH; ANTIFREEZE; EXPRESSION; COLD; ICE; HEMOGLOBIN; ANNOTATION; SYSTEM</t>
  </si>
  <si>
    <t>The basal South American notothenioid Eleginops maclovinus (Patagonia blennie or robalo) occupies a uniquely important phylogenetic position in Notothenioidei as the singular closest sister species to the Antarctic cryonotothenioid fishes. Its genome and the traits encoded therein would be the nearest representatives of the temperate ancestor from which the Antarctic clade arose, providing an ancestral reference for deducing polar derived changes. In this study, we generated a gene- and chromosome-complete assembly of the E. maclovinus genome using long read sequencing and HiC scaffolding. We compared its genome architecture with the more basally divergent Cottoperca gobio and the derived genomes of nine cryonotothenioids representing all five Antarctic families. We also reconstructed a notothenioid phylogeny using 2918 proteins of single-copy orthologous genes from these genomes that reaffirmed E. maclovinus' phylogenetic position. We additionally curated E. maclovinus' repertoire of circadian rhythm genes, ascertained their functionality by transcriptome sequencing, and compared its pattern of gene retention with C. gobio and the derived cryonotothenioids. Through reconstructing circadian gene trees, we also assessed the potential role of the retained genes in cryonotothenioids by referencing to the functions of the human orthologs. Our results found E. maclovinus to share greater conservation with the Antarctic clade, solidifying its evolutionary status as the direct sister and best suited ancestral proxy of cryonotothenioids. The high-quality genome of E. maclovinus will facilitate inquiries into cold derived traits in temperate to polar evolution, and conversely on the paths of readaptation to non-freezing habitats in various secondarily temperate cryonotothenioids through comparative genomic analyses.</t>
  </si>
  <si>
    <t>[Cheng, Chi-Hing Christina; Rivera-Colon, Angel G.; Wilson, Loralee; Rayamajhi, Niraj; Catchen, Julian M.] Univ Illinois, Dept Evolut Ecol &amp; Behav, Champaign, IL 61801 USA; [Minhas, Bushra Fazal] Univ Illinois, Informat Program, Champaign, IL 61801 USA; [Vargas-Chacoff, Luis] Univ Austral Chile, Inst Ciencias Marinas &amp; Limnol, Lab Fisiol Peces, Valdivia 5090000, Chile; [Vargas-Chacoff, Luis] Univ Austral Chile, Ctr Fondap Invest Altas Latitudes IDEAL, Valdivia 5090000, Chile; [Vargas-Chacoff, Luis] Univ Austral Chile, Millennium Inst Biodivers Antarctic &amp; Subantarct E, Valdivia 5090000, Chile</t>
  </si>
  <si>
    <t>University of Illinois System; University of Illinois Urbana-Champaign; University of Illinois System; University of Illinois Urbana-Champaign; Universidad Austral de Chile; Universidad Austral de Chile; Universidad Austral de Chile</t>
  </si>
  <si>
    <t>Cheng, CHC (corresponding author), Univ Illinois, Dept Evolut Ecol &amp; Behav, Champaign, IL 61801 USA.</t>
  </si>
  <si>
    <t>c-cheng@illinois.edu; angelgr2@illinois.edu; bfazal2@illinois.edu; ljwilso2@illinois.edu; nirajr2@illinois.edu; luis.vargas@uach.cl; jcatchen@illinois.edu</t>
  </si>
  <si>
    <t>Rivera-Colon, Angel/ITV-3165-2023</t>
  </si>
  <si>
    <t>Rivera-Colon, Angel/0000-0001-9097-3241; Vargas-Chacoff, Luis/0000-0002-0497-2582; Catchen, Julian/0000-0002-4798-660X</t>
  </si>
  <si>
    <t>10.3390/genes14061196</t>
  </si>
  <si>
    <t>K2OW8</t>
  </si>
  <si>
    <t>WOS:001014894800001</t>
  </si>
  <si>
    <t>McDougall, DR; Deas, R; Howard, DL; Fitzgibbon, QP; Smith, GG; Jeffs, AG; McGillivray, DJ</t>
  </si>
  <si>
    <t>McDougall, Daniel R.; Deas, Robert; Howard, Daryl L.; Fitzgibbon, Quinn P.; Smith, Gregory G.; Jeffs, Andrew G.; McGillivray, Duncan J.</t>
  </si>
  <si>
    <t>Examining the inorganic elemental composition of lobster phyllosoma (Panulirus ornatus) with X-ray fluorescence microscopy</t>
  </si>
  <si>
    <t>METALLOMICS</t>
  </si>
  <si>
    <t>heavy metals; aquaculture; marine biology; phyllosoma; lobster; bromine; XFM</t>
  </si>
  <si>
    <t>SPINY LOBSTER; TOXICITY; NEREIS; GROWTH; LARVAL</t>
  </si>
  <si>
    <t>The ornate spiny rock lobster, Panulirus ornatus, is an attractive candidate for aquaculture. The larval stages of spiny lobsters, known as phyllosoma, are complex with many developmental stages. Very little is known about the inorganic element composition of phyllosoma. In this study, a novel method using synchrotron X-ray fluorescence microscopy (XFM) was applied to investigate the distributions of metals potassium (K), calcium (Ca), copper (Cu), zinc (Zn), the metalloid arsenic (As), and nonmetal bromine (Br) within individual phyllosoma at stages 3, 4, and 8 of their development. For the first time, 1 &amp; mu;m resolution synchrotron XFM images of whole phyllosoma as well as closer examinations of their eyes, mouths, setae, and tails were obtained. Elements accumulated in certain locations within phyllosoma, providing insight into their likely biological role for these organisms. This information may be useful for the application of dietary supplementation in the future to closed larval cycle lobster aquaculture operations.</t>
  </si>
  <si>
    <t>[McDougall, Daniel R.; Deas, Robert; McGillivray, Duncan J.] Univ Auckland, Sch Chem Sci, Private Bag 92019, Auckland, New Zealand; [Howard, Daryl L.] Australian Synchrotron, 800 Blackburn Rd, Clayton, Vic 3168, Australia; [Fitzgibbon, Quinn P.; Smith, Gregory G.] Univ Tasmania, Inst Marine &amp; Antarctic Studies IMAS, Private Bay 49, Hobart, Tas, Australia; [Jeffs, Andrew G.] Univ Auckland, Inst Marine Sci, Private Bay 92019, Auckland, New Zealand</t>
  </si>
  <si>
    <t>McDougall, DR (corresponding author), Univ Auckland, Sch Chem Sci, Private Bag 92019, Auckland, New Zealand.</t>
  </si>
  <si>
    <t>danny.mcdougall@auckland.ac.nz</t>
  </si>
  <si>
    <t>Fitzgibbon, Quinn/0000-0002-1104-3052; Deas, Robert/0000-0001-6111-0498</t>
  </si>
  <si>
    <t>This research was supported by the Australian Research Council Industrial Transformation Hub for Sustainable Onshore Lobster Aquaculture (project number IH190100014).</t>
  </si>
  <si>
    <t>1756-5901</t>
  </si>
  <si>
    <t>1756-591X</t>
  </si>
  <si>
    <t>Metallomics</t>
  </si>
  <si>
    <t>mfad038</t>
  </si>
  <si>
    <t>10.1093/mtomcs/mfad038</t>
  </si>
  <si>
    <t>K8RJ4</t>
  </si>
  <si>
    <t>WOS:001019051100002</t>
  </si>
  <si>
    <t>Abakumov, E; Tembotov, R; Polyakov, V; Ivanov, M; Mavlyudov, B; Kushnov, I; Nizamutdinov, T; Yaneva, R; Zhiyanski, M</t>
  </si>
  <si>
    <t>Abakumov, Evgeny; Tembotov, Rustam; Polyakov, Vyacheslav; Ivanov, Mikhail; Mavlyudov, Bulat; Kushnov, Ivan; Nizamutdinov, Timur; Yaneva, Rositsa; Zhiyanski, Miglena</t>
  </si>
  <si>
    <t>Concentration of Trace Elements in Cryoconites of Mountain and Polar Regions of the World</t>
  </si>
  <si>
    <t>cryoconite; glaciers; heavy metals; Caucasus; Arctic; Antarctic</t>
  </si>
  <si>
    <t>KING GEORGE ISLAND; HEAVY-METALS; FILDES PENINSULA; ARDLEY ISLAND; CONTAMINATION; ACCUMULATION; GLACIERS; PROGRESS; IMPACT; SOILS</t>
  </si>
  <si>
    <t>The surface of mountain glaciers is a place of accumulation of various biogenic organomineral and mineral compounds. As a result of intensive mass deglaciation of glaciers due to climate change and anthropogenic activity, this material can significantly affect the transformation of the landscape in the periglacial zone. Thus, this work considers the contamination of the surface of the Arctic, Antarctic, and Caucasian glaciers by priority pollutants. Atomic absorption spectroscopy was used to analyze trace elements (Cu, Zn, Ni, Cd, Pb) from cryoconite deposits. It was revealed that the cryoconite dust on the Ray-Iz glacier (Polar Urals) has a high level of nickel contamination, which comes to the glacier from local rock materials as a result of their weathering. The lowest concentrations of trace elements are found in one of the Arctic plots located at Mushketov and Aldegonda glaciers, the Caucasus, and the Antarctic, which is due to their relatively low content in the composition of rocks and the relatively low contribution of long-range transport of matter to the polar regions. Contamination of moraine sediments in the periglacial zone can make a significant contribution to the formation of the soil cover of these territories, the pollution of water bodies near the glacier, as well as affect the quality of life of the people living in the immediate vicinity of the mountain areas.</t>
  </si>
  <si>
    <t>[Abakumov, Evgeny; Polyakov, Vyacheslav; Kushnov, Ivan; Nizamutdinov, Timur] St Petersburg State Univ, Fac Biol, Dept Appl Ecol, 16th Liniya VO 29, St Petersburg 199178, Russia; [Tembotov, Rustam] Russian Acad Sci, Tembotov Inst Ecol Mt Terr, I Armand St 37A, Nalchik 360051, Russia; [Ivanov, Mikhail] Lomonosov Moscow State Univ, Dept Cryolithol &amp; Glaciol, GSP-1, Moscow 119991, Russia; [Mavlyudov, Bulat] Russian Acad Sci, Inst Geog, Staromonetnyy Pereulok 29, Moscow 119017, Russia; [Yaneva, Rositsa; Zhiyanski, Miglena] Bulgarian Acad Sci, Forest Res Inst, 132 St Kliment Ohridski Blvd, Sofia 1756, Bulgaria</t>
  </si>
  <si>
    <t>Saint Petersburg State University; Tembotov Institute of Ecology of Mountain Territories of Russian Academy of Sciences; Russian Academy of Sciences; Lomonosov Moscow State University; Russian Academy of Sciences; Institute of Geography, Russian Academy of Sciences; Bulgarian Academy of Sciences; Forest Research Institute, Bulgaria</t>
  </si>
  <si>
    <t>Polyakov, V (corresponding author), St Petersburg State Univ, Fac Biol, Dept Appl Ecol, 16th Liniya VO 29, St Petersburg 199178, Russia.</t>
  </si>
  <si>
    <t>e.abakumov@spbu.ru; tembotov.rustam@mail.ru; v.polyakov@spbu.ru; misha_scout@mail.ru; bulatrm@bk.ru; kushnovi33@yandex.com; timur_nizam@mail.ru; rsyaneva@polar.uni-sofia.bg; miglena.zhiyanski@bas.bg</t>
  </si>
  <si>
    <t>Abakumov, Evgeny/AAO-8580-2020; Abakumov, e_abakumov@mail.ru/ADJ-1297-2022; Kushnov, Ivan/AAA-9680-2021; Polyakov, Vyacheslav/H-5483-2016</t>
  </si>
  <si>
    <t>Abakumov, Evgeny/0000-0002-5248-9018; Abakumov, e_abakumov@mail.ru/0000-0002-5248-9018; Abakumov, Evgeniy/0000-0003-3703-9147; Nizamutdinov, Timur/0000-0003-2600-5494; Zhiyanski, Miglena/0000-0003-4843-6770; Polyakov, Vyacheslav/0000-0001-6171-3221</t>
  </si>
  <si>
    <t>Ministry of Science and Higher Education of the Russian Federation [075-15-2022-322]; Federal budget of Russian Federation; World-class Scientific Center Agrotechnologies for the Future</t>
  </si>
  <si>
    <t>Ministry of Science and Higher Education of the Russian Federation; Federal budget of Russian Federation; World-class Scientific Center Agrotechnologies for the Future</t>
  </si>
  <si>
    <t>This work was supported by the Ministry of Science and Higher Education of the Russian Federation in accordance with agreement No. 075-15-2022-322 date 22 April 2022 on providing a grant in the form of subsidies from the Federal budget of Russian Federation. The grant was provided for state support for the creation and development of a World-class Scientific Center Agrotechnologies for the Future.</t>
  </si>
  <si>
    <t>10.3390/geosciences13060188</t>
  </si>
  <si>
    <t>K6IJ0</t>
  </si>
  <si>
    <t>WOS:001017453400001</t>
  </si>
  <si>
    <t>Baloza, M; Henkel, S; Kasten, S; Holtappels, M; Molari, M</t>
  </si>
  <si>
    <t>Baloza, Marwa; Henkel, Susann; Kasten, Sabine; Holtappels, Moritz; Molari, Massimiliano</t>
  </si>
  <si>
    <t>The Impact of Sea Ice Cover on Microbial Communities in Antarctic Shelf Sediments</t>
  </si>
  <si>
    <t>benthic microbial communities; iron reducers; dissolved iron; pore-water profiles; redox zones; Sva1033</t>
  </si>
  <si>
    <t>DEEP-SEA; ORGANIC-MATTER; ARCTIC FJORD; SP-NOV.; ISOTOPIC COMPOSITION; METABOLIC-ACTIVITY; COASTAL SEDIMENTS; SOUTHERN-OCEAN; POTENTIAL ROLE; DRAKE PASSAGE</t>
  </si>
  <si>
    <t>The area around the Antarctic Peninsula (AP) is facing rapid climatic and environmental changes, with so far unknown impacts on the benthic microbial communities of the continental shelves. In this study, we investigated the impact of contrasting sea ice cover on microbial community compositions in surface sediments from five stations along the eastern shelf of the AP using 16S ribosomal RNA (rRNA) gene sequencing. Redox conditions in sediments with long ice-free periods are characterized by a prevailing ferruginous zone, whereas a comparatively broad upper oxic zone is present at the heavily ice-covered station. Low ice cover stations were highly dominated by microbial communities of Desulfobacterota (mostly Sva1033, Desulfobacteria, and Desulfobulbia), Myxococcota, and Sva0485, whereas Gammaproteobacteria, Alphaproteobacteria, Bacteroidota, and NB1-j prevail at the heavy ice cover station. In the ferruginous zone, Sva1033 was the dominant member of Desulfuromonadales for all stations and, along with eleven other taxa, showed significant positive correlations with dissolved Fe concentrations, suggesting a significant role in iron reduction or an ecological relationship with iron reducers. Our results indicate that sea ice cover and its effect on organic carbon fluxes are the major drivers for changes in benthic microbial communities, favoring potential iron reducers at stations with increased organic matter fluxes.</t>
  </si>
  <si>
    <t>[Baloza, Marwa; Henkel, Susann; Kasten, Sabine; Holtappels, Moritz] Helmholtz Ctr Polar &amp; Marine Res, Alfred Wegener Inst, Handelshafen 12, D-27570 Bremerhaven, Germany; [Baloza, Marwa] Univ Bremen, Fac Biol Chem 2, Leobener Str, D-28359 Bremen, Germany; [Kasten, Sabine] Univ Bremen, Fac Geosci, Klagenfurter Str, D-28359 Bremen, Germany; [Kasten, Sabine; Holtappels, Moritz] Univ Bremen, Ctr Marine Environm Sci, MARUM, D-28359 Bremen, Germany; [Molari, Massimiliano] Max Planck Inst Marine Microbiol, Joint Res Grp Deep Sea Ecol &amp; Technol, HGF, MPG, D-28359 Bremen, Germany</t>
  </si>
  <si>
    <t>Helmholtz Association; Alfred Wegener Institute, Helmholtz Centre for Polar &amp; Marine Research; University of Bremen; University of Bremen; University of Bremen; Max Planck Society</t>
  </si>
  <si>
    <t>Baloza, M; Holtappels, M (corresponding author), Helmholtz Ctr Polar &amp; Marine Res, Alfred Wegener Inst, Handelshafen 12, D-27570 Bremerhaven, Germany.;Baloza, M (corresponding author), Univ Bremen, Fac Biol Chem 2, Leobener Str, D-28359 Bremen, Germany.;Holtappels, M (corresponding author), Univ Bremen, Ctr Marine Environm Sci, MARUM, D-28359 Bremen, Germany.</t>
  </si>
  <si>
    <t>marwa.baloza@awi.de; susann.henkel@awi.de; sabine.kasten@awi.de; moritz.holtappels@awi.de; mamolari@mpi-bremen.de</t>
  </si>
  <si>
    <t>Henkel, Susann/S-4924-2016</t>
  </si>
  <si>
    <t>Henkel, Susann/0000-0001-7490-0237; Holtappels, Moritz/0000-0003-3682-1903; Baloza, Marwa/0000-0002-6885-8463</t>
  </si>
  <si>
    <t>10.3390/microorganisms11061572</t>
  </si>
  <si>
    <t>K3CW5</t>
  </si>
  <si>
    <t>WOS:001015260800001</t>
  </si>
  <si>
    <t>D'Agnese, E; McLaughlin, RJ; Lea, MA; Soto, E; Smith, WA; Bowman, JP</t>
  </si>
  <si>
    <t>D'Agnese, Erin; McLaughlin, Ryan J.; Lea, Mary-Anne; Soto, Esteban; Smith, Woutrina A.; Bowman, John P.</t>
  </si>
  <si>
    <t>Comparative Microbial Community Analysis of Fur Seals and Aquaculture Salmon Gut Microbiomes in Tasmania</t>
  </si>
  <si>
    <t>OCEANS-SWITZERLAND</t>
  </si>
  <si>
    <t>Australian fur seal; microbiome; aquaculture; Tasmania; One Health; microbial source tracking; Atlantic salmon</t>
  </si>
  <si>
    <t>SOURCE TRACKING; SALAR L.; SP-NOV; MANAGEMENT; DIVERSITY; BACTERIA; DIET</t>
  </si>
  <si>
    <t>In Tasmania, Australian fur seals (Arctocephalus pusillus doriferus) regularly interact with Atlantic salmon (Salmo salmar L.) aquaculture lease operations and opportunistically consume fish. The microbial communities of seals and aquaculture salmon were analyzed for potential indicators of microbial sharing and to determine the potential effects of interactions on wild seal microbiome composition. The high-throughput sequencing of the V1-V3 region of the 16S rRNA genes from the gut microbial communities of 221 fur seals was performed: 41 males caught at farms, 50 adult scats from haul-outs near farms, 24 necropsied seals, and controls from Bass Strait breeding colonies, encompassing 56 adult scats and 50 pup swabs. QIIME2 and R Studio were used for analysis. Foraging at or near salmon farms significantly shifted seal microbiome biodiversity. Taxonomic analysis showed a greater divergence in Bacteroidota representatives in male seals captured at farms compared to all other groups. Pathogens were identified that could be monitoring targets. Potential indicator amplicon sequence variants were found across a variety of taxa and could be used as minimally invasive indicators for interactions at this interface. The diversity and taxonomic shifts in the microbial communities of seals indicate a need to further study this interface for broader ecological implications.</t>
  </si>
  <si>
    <t>[D'Agnese, Erin; Soto, Esteban; Smith, Woutrina A.] Univ Calif Davis, Sch Vet Med, 1 Shields Ave, Davis, CA 95616 USA; [D'Agnese, Erin; Bowman, John P.] Univ Tasmania, Tasmania Inst Agr, Sandy Bay, Tas 7001, Australia; [McLaughlin, Ryan J.] Pract Informat, Pittsburgh, PA 15213 USA; [Lea, Mary-Anne] Univ Tasmania, Inst Marine &amp; Antarctic Studies, Battery Point, Tas 7005, Australia</t>
  </si>
  <si>
    <t>University of California System; University of California Davis; University of Tasmania; University of Tasmania</t>
  </si>
  <si>
    <t>D'Agnese, E (corresponding author), Univ Calif Davis, Sch Vet Med, 1 Shields Ave, Davis, CA 95616 USA.;D'Agnese, E (corresponding author), Univ Tasmania, Tasmania Inst Agr, Sandy Bay, Tas 7001, Australia.</t>
  </si>
  <si>
    <t>erin.dagnese@wildecohealth.com; mclaughlin@practical-informatics.com; maryanne.lea@utas.edu.au; sotomartinez@ucdavis.edu; john.bowman@utas.edu.au</t>
  </si>
  <si>
    <t>Lea, Mary-Anne/E-9054-2013</t>
  </si>
  <si>
    <t>Lea, Mary-Anne/0000-0001-8318-9299</t>
  </si>
  <si>
    <t>Tassal Operations Pty Ltd.; University of Tasmania; Tasmania Institute of Agriculture; University of California, Davis; Laboratory of Woutrina Smith; Australian Department of Education for Endeavour fellowship funding; University of Tasmania, College of Science and Engineering</t>
  </si>
  <si>
    <t>Tassal Operations Pty Ltd.; University of Tasmania; Tasmania Institute of Agriculture; University of California, Davis(University of California System); Laboratory of Woutrina Smith; Australian Department of Education for Endeavour fellowship funding; University of Tasmania, College of Science and Engineering</t>
  </si>
  <si>
    <t>Funding for this project was provided Tassal Operations Pty Ltd.; the University of Tasmania; Tasmania Institute of Agriculture; University of California, Davis; Laboratory of Woutrina Smith; the Australian Department of Education for Endeavour fellowship funding; and the University of Tasmania, College of Science and Engineering grant funding.</t>
  </si>
  <si>
    <t>2673-1924</t>
  </si>
  <si>
    <t>OCEANS-BASEL</t>
  </si>
  <si>
    <t>Oceans-Basel</t>
  </si>
  <si>
    <t>10.3390/oceans4020014</t>
  </si>
  <si>
    <t>K6FL0</t>
  </si>
  <si>
    <t>WOS:001017376100001</t>
  </si>
  <si>
    <t>Padovan, AC; Turnbull, AR; Nowland, SJ; Osborne, MWJ; Kaestli, M; Seymour, JR; Gibb, KS</t>
  </si>
  <si>
    <t>Padovan, Anna C.; Turnbull, Alison R.; Nowland, Samantha J.; Osborne, Matthew W. J.; Kaestli, Mirjam; Seymour, Justin R.; Gibb, Karen S.</t>
  </si>
  <si>
    <t>Growth of V. parahaemolyticus in Tropical Blacklip Rock Oysters</t>
  </si>
  <si>
    <t>PATHOGENS</t>
  </si>
  <si>
    <t>Blacklip Rock Oyster; Vibrio parahaemolyticus; growth rate; food safety; temperature; tropical</t>
  </si>
  <si>
    <t>VIBRIO-PARAHAEMOLYTICUS; CRASSOSTREA-GIGAS; SACCOSTREA-ECHINATA; PACIFIC OYSTER; TEMPERATURE; BACTERIA; IDENTIFICATION; VULNIFICUS; CHOLERAE; STORAGE</t>
  </si>
  <si>
    <t>The opportunistic pathogen Vibrio parahaemolyticus poses a significant food safety risk worldwide, and understanding its growth in commercially cultivated oysters, especially at temperatures likely to be encountered post-harvest, provides essential information to provide the safe supply of oysters. The Blacklip Rock Oyster (BRO) is an emerging commercial species in tropical northern Australia and as a warm water species, it is potentially exposed to Vibrio spp. In order to determine the growth characteristics of Vibrio parahaemolyticus in BRO post-harvest, four V. parahaemolyticus strains isolated from oysters were injected into BROs and the level of V. parahaemolyticus was measured at different time points in oysters stored at four temperatures. Estimated growth rates were -0.001, 0.003, 0.032, and 0.047 log(10) CFU/h at 4 &amp; DEG;C, 13 &amp; DEG;C, 18 &amp; DEG;C, and 25 &amp; DEG;C, respectively. The highest maximum population density of 5.31 log(10) CFU/g was achieved at 18 &amp; DEG;C after 116 h. There was no growth of V. parahaemolyticus at 4 &amp; DEG;C, slow growth at 13 &amp; DEG;C, but notably, growth occurred at 18 &amp; DEG;C and 25 &amp; DEG;C. Vibrio parahaemolyticus growth at 18 &amp; DEG;C and 25 &amp; DEG;C was not significantly different from each other but were significantly higher than at 13 &amp; DEG;C (polynomial GLM model, interaction terms between time and temperature groups p &lt; 0.05). Results support the safe storage of BROs at both 4 &amp; DEG;C and 13 &amp; DEG;C. This V. parahaemolyticus growth data will inform regulators and assist the Australian oyster industry to develop guidelines for BRO storage and transport to maximise product quality and safety.</t>
  </si>
  <si>
    <t>[Padovan, Anna C.; Nowland, Samantha J.; Kaestli, Mirjam; Gibb, Karen S.] Charles Darwin Univ, Res Inst Environm &amp; Livelihoods, Darwin, NT 0810, Australia; [Turnbull, Alison R.] Univ Tasmania, Inst Marine &amp; Antarctic Studies, Taroona, Tas 7053, Australia; [Nowland, Samantha J.; Osborne, Matthew W. J.] Northern Terr Govt, Dept Ind Tourism &amp; Trade, Aquaculture Unit, Darwin, NT 0801, Australia; [Seymour, Justin R.] Univ Technol Sydney, Climate Change Cluster, Ultimo, NSW 2007, Australia</t>
  </si>
  <si>
    <t>Charles Darwin University; University of Tasmania; Northern Territory Government; University of Technology Sydney</t>
  </si>
  <si>
    <t>Padovan, AC (corresponding author), Charles Darwin Univ, Res Inst Environm &amp; Livelihoods, Darwin, NT 0810, Australia.</t>
  </si>
  <si>
    <t>anna.padovan@cdu.edu.au</t>
  </si>
  <si>
    <t>Turnbull, Alison/0000-0001-5701-8728; Padovan, Anna/0000-0002-1128-1309</t>
  </si>
  <si>
    <t>Fisheries Research and Development Corporation [2020-043]</t>
  </si>
  <si>
    <t>Fisheries Research and Development Corporation</t>
  </si>
  <si>
    <t>This work was supported by the Fisheries Research and Development Corporation on behalf of the Australian Government [project number 2020-043].</t>
  </si>
  <si>
    <t>2076-0817</t>
  </si>
  <si>
    <t>Pathogens</t>
  </si>
  <si>
    <t>10.3390/pathogens12060834</t>
  </si>
  <si>
    <t>K6EM1</t>
  </si>
  <si>
    <t>WOS:001017351000001</t>
  </si>
  <si>
    <t>Jones, DD; McWatters, RS; Rowe, RK; Kalinovich, I; Rutter, A</t>
  </si>
  <si>
    <t>Jones, Daniel D.; McWatters, Rebecca S.; Rowe, R. Kerry; Kalinovich, Indra; Rutter, Allison</t>
  </si>
  <si>
    <t>PCB containment using geosynthetics in Canada's Arctic</t>
  </si>
  <si>
    <t>Diffusion; PCBs; Geomembrane; Permeable reactive barrier (PRB); Cold regions</t>
  </si>
  <si>
    <t>PERMEABLE REACTIVE BARRIER; CASEY STATION; REMEDIATION; SORPTION; DIFFUSION; MIGRATION; BENTONITE; EROSION; DESIGN; WATER</t>
  </si>
  <si>
    <t>Two funnel-and-gate permeable reactive barriers (PRBs) with settling ponds comprised of a composite liner (geomembrane and geosynthetic clay liners (GCL)) were installed at Resolution Island (BAF-5), Nunavut to contain residual polychlorinated biphenyls (PCBs) moving with the sediment and annual snowmelt. The longterm performance of the geosynthetics used in the PRB funnels is studied for physical integrity and diffusive barrier properties after nine years of operation. Exhumed geomembrane specimens are compared with virgin material by index testing: diffusive resistance to benzene, toluene, ethylbenzene, and xylenes (BTEX) compounds, as well as puncture, burst, and tensile strength. Exhumed GCLs are evaluated concerning hydraulic conductivity, the mass of bentonite per unit area, and swell index. The migration of PCBs through the composite liner system by diffusion is modelled and the diffusive and sorptive properties of the geomembrane (Dg = 1.7 x 10-14 m2/s, Sgf = 160,000) and GCL (De = 3.1 x 10-10 m2/s, bentonite plus fibers layer Kd = 15 mL/g, cover geotextile Kd = 12,000 mL/g, and carrier geotextile Kd = 16,000 mL/g) were calculated. Modelling results estimate that the composite liner was successfully containing PCBs. This was confirmed by downgradient monitoring. The challenges of the location and terrain, PRB design, construction, and maintenance are discussed along with recommendations for designing PRBs in other remote and cold region environments.</t>
  </si>
  <si>
    <t>[Jones, Daniel D.] BGC Engn, Toronto, ON M5H 2W9, Canada; [McWatters, Rebecca S.] Australian Antarctic Div, Environm Stewardship Program, Kingston, Tas 7050, Australia; [Rowe, R. Kerry] Queens Univ, Geotech &amp; Geoenvironm Engn, GeoEngn Ctr Queens, Kingston, ON K7L 3N6, Canada; [Kalinovich, Indra] Dillon Consulting Ltd, Winnipeg, MB R3T 0Y4, Canada; [Rutter, Allison] Queens Univ, Analyt Serv Unit, Kingston, ON K7L 3N6, Canada; [Rutter, Allison] Queens Univ, Sch Environm Sci, Kingston, ON K7L 3N6, Canada</t>
  </si>
  <si>
    <t>Australian Antarctic Division; Queens University - Canada; Queens University - Canada; Queens University - Canada</t>
  </si>
  <si>
    <t>Jones, DD (corresponding author), BGC Engn, Toronto, ON M5H 2W9, Canada.</t>
  </si>
  <si>
    <t>djones@bgcengineering.ca; rebecca.mcwatters@aad.gov.au; kerry.rowe@queensu.ca; ikalinovich@dillon.ca; ruttera@queensu.ca</t>
  </si>
  <si>
    <t>Crown-Indigenous Relations and Northern Development Canada</t>
  </si>
  <si>
    <t>The writers acknowledge extensive funding and site access from Aboriginal Affairs and Northern Development Canada (AANDC) now known as Crown-Indigenous Relations and Northern Development Canada, specifically N. Plato and S. Hooey. All PCB and BTEX samples were analyzed in the Analytical Services Unit, thanks to M. Thompson, S. Koster, P. Whitley, G. Cairns, and J. Poland. Cation exchange capacity and hydraulic conductivity testing were analyzed at Queen's University thanks to M. Hosney. Geosynthetic physical testing was performed by Sageos, with thanks to E. Blonde. We are grateful for the extensive field support provided by B. Zeeb (Royal Military College) , A. Gerber, S. Koster, E. Wolfenden, S. Peter, and J. Qumaniq.</t>
  </si>
  <si>
    <t>10.1016/j.polar.2023.100928</t>
  </si>
  <si>
    <t>K3JZ5</t>
  </si>
  <si>
    <t>WOS:001015447300001</t>
  </si>
  <si>
    <t>Montopoli, M; Bracci, A; Adirosi, E; Iarlori, M; Di Fabio, S; Lidori, R; Balotti, A; Baldini, L; Rizi, V</t>
  </si>
  <si>
    <t>Montopoli, Mario; Bracci, Alessandro; Adirosi, Elisa; Iarlori, Marco; Di Fabio, Saverio; Lidori, Raffaele; Balotti, Andrea; Baldini, Luca; Rizi, Vincenzo</t>
  </si>
  <si>
    <t>Cloud and Precipitation Profiling Radars: The First Combined W- and K-Band Radar Profiler Measurements in Italy</t>
  </si>
  <si>
    <t>cloud radar; cloud and precipitation physics; remote sensing; dual-frequency radar techniques</t>
  </si>
  <si>
    <t>MIXED-PHASE CLOUDS; DROP SIZE DISTRIBUTIONS; DOPPLER SPECTRA; ATMOSPHERIC RADIATION; LIQUID WATER; LIDAR MEASUREMENTS; NY-ALESUND; RETRIEVAL; ICE; ATTENUATION</t>
  </si>
  <si>
    <t>Clouds cover substantial parts of the Earth's surface and they are one of the most essential components of the global climate system impacting the Earth's radiation balance as well as the water cycle redistributing water around the globe as precipitation. Therefore, continuous observation of clouds is of primary interest in climate and hydrological studies. This work documents the first efforts in Italy in remote sensing clouds and precipitation using a combination of K- and W-band (24 and 94 GHz, respectively) radar profilers. Such a dual-frequency radar configuration has not been widely used yet, but it could catch on in the near future given its lower initial cost and ease of deployment for commercially available systems at 24 GHz, with respect to more established configurations. A field campaign running at the Casale Calore observatory at the University of L'Aquila, Italy, nestled in the Apennine mountain range is described. The campaign features are preceded by a review of the literature and the underpinning theoretical background that might help newcomers, especially in the Italian community, to approach cloud and precipitation remote sensing. This activity takes place in interesting time for radar sensing clouds and precipitation, stimulated both by the launch of the ESA/JAXA EarthCARE satellite missions scheduled in 2024, which will have on-board, among other instruments, a W-band Doppler cloud radar and the proposal of new missions using cloud radars currently undergoing their feasibility studies (e.g., WIVERN and AOS in Europe and Canada, and U.S., respectively).</t>
  </si>
  <si>
    <t>[Montopoli, Mario; Bracci, Alessandro; Adirosi, Elisa; Baldini, Luca] Natl Res Council Italy, Inst Atmospher Sci &amp; Climate CNR ISAC, I-00133 Rome, Italy; [Montopoli, Mario; Iarlori, Marco; Di Fabio, Saverio; Lidori, Raffaele; Balotti, Andrea; Rizi, Vincenzo] Ctr Excellence Telesensing Environm &amp; Model Predic, I-67100 Laquila, Italy; [Iarlori, Marco; Balotti, Andrea; Rizi, Vincenzo] Univ Aquila, Dept Phys &amp; Chem Sci DSFC, I-67100 Laquila, Italy</t>
  </si>
  <si>
    <t>Consiglio Nazionale delle Ricerche (CNR); Istituto di Scienze dell'Atmosfera e del Clima (ISAC-CNR); University of L'Aquila</t>
  </si>
  <si>
    <t>Baldini, L (corresponding author), Natl Res Council Italy, Inst Atmospher Sci &amp; Climate CNR ISAC, I-00133 Rome, Italy.</t>
  </si>
  <si>
    <t>m.montopoli@isac.cnr.it; a.bracci@isac.cnr.it; elisa.adirosi@artov.isac.cnr.it; marco.iarlori@aquila.infn.it; saverio.difabio@gmail.com; raffaele.lidori@guest.univaq.it; l.baldini@isac.cnr.it; vincenzo.rizi@univaq.it</t>
  </si>
  <si>
    <t>Montopoli, Mario/C-8464-2014</t>
  </si>
  <si>
    <t>Montopoli, Mario/0000-0003-0099-0393; adirosi, elisa/0000-0001-9500-5004; Bracci, Alessandro/0000-0001-7047-6213</t>
  </si>
  <si>
    <t>CIR-PER-ACTRIS-IT [MIUR-CIR01_00015]; MiTE-CONTRATTO DI APPALTO DI SERVIZI CIG [86347873A6, F59H21000010001]; Programma Nazionale di Ricerche in Antartide (PNRA) project APP (Antarctic Precipitation Properties) [2015/AZ3.02]; [PIR-PER-ACTRIS-IT-MIUR-PIR01_00015]</t>
  </si>
  <si>
    <t>CIR-PER-ACTRIS-IT; MiTE-CONTRATTO DI APPALTO DI SERVIZI CIG; Programma Nazionale di Ricerche in Antartide (PNRA) project APP (Antarctic Precipitation Properties);</t>
  </si>
  <si>
    <t>This research was possible thanks to several funding schemes. For CETEMPS/DSFC/UNIVAQ, this work was partially supported by the following projects: PIR-PER-ACTRIS-IT-MIUR-PIR01_00015; CIR-PER-ACTRIS-IT, MIUR-CIR01_00015; MiTE-CONTRATTO DI APPALTO DI SERVIZI CIG n. 86347873A6 CUP. N. F59H21000010001. For CNR-ISAC, funding are: Programma Nazionale di Ricerche in Antartide (PNRA) project APP (Antarctic Precipitation Properties, 2015/AZ3.02); PIR-PER-ACTRIS-IT-MIUR-PIR01_00015.</t>
  </si>
  <si>
    <t>10.3390/s23125524</t>
  </si>
  <si>
    <t>K7CK1</t>
  </si>
  <si>
    <t>WOS:001017980900001</t>
  </si>
  <si>
    <t>Lobkovsky, LI; Baranov, AA; Garagash, IA; Ramazanov, MM; Vladimirova, IS; Gabsatarov, YV; Alekseev, DA; Semiletov, IP</t>
  </si>
  <si>
    <t>Lobkovsky, Leopold I.; Baranov, Alexey A.; Garagash, Igor A.; Ramazanov, Mukamay M.; Vladimirova, Irina S.; Gabsatarov, Yurii V.; Alekseev, Dmitry A.; Semiletov, Igor P.</t>
  </si>
  <si>
    <t>Large Earthquakes in Subduction Zones around the Polar Regions as a Possible Reason for Rapid Climate Warming in the Arctic and Glacier Collapse in West Antarctica</t>
  </si>
  <si>
    <t>climate warming; Arctic; Antarctica; permafrost; metastable gas hydrates; methane emission; glacier collapse; Pine Island Glacier; Thwaites Glacier; large earthquakes; tectonic deformation waves; Aleutian subduction zone; Chilean subduction zone; trigger mechanisms</t>
  </si>
  <si>
    <t>ICE-SHEET; METHANE HYDRATE; STRAIN WAVES; PLATE; MODEL; DEFORMATION; SHELVES; DISSOCIATION; LITHOSPHERE; DESTRUCTION</t>
  </si>
  <si>
    <t>A correlation is observed between changes in the level of Earth's seismic activity and increments of the atmospheric methane concentration over the past 40 years. Trigger mechanisms are proposed for methane emissions and glacier collapse in polar regions. These mechanisms are due to deformation waves caused by large earthquakes in subduction zones located near the polar regions: the Aleutian and Kuril-Kamchatka subduction zones, closest to the Arctic, and the Antarctica-Chilean and Tonga-Kermadec-Macquarie subduction zones. Disturbances of the lithosphere are transmitted over the distances of 3000-4000 km and more at a speed of about 100 km/year. Additional associated stresses come to the Arctic and Antarctica several decades after the occurrence of large earthquakes. In the Arctic zone, additional stresses affect the low-permeability structure of gas bearing sedimentary strata, causing increased methane emission and climate warming. In West Antarctica, deformation waves could trigger the acceleration and intensive collapse of West Antarctic glaciers, which has been observed since the 1970s. These waves are also capable of activating dormant volcanoes located under the sheet glaciers of West Antarctica, leading to an increase in heat flux, to the melting of ice at the glaciers' base, and to their accelerated sliding towards the ocean, as is happening with the Thwaites Glacier.</t>
  </si>
  <si>
    <t>[Lobkovsky, Leopold I.; Vladimirova, Irina S.; Gabsatarov, Yurii V.] Russian Acad Sci, Shirshov Inst Oceanol, Moscow 117997, Russia; [Lobkovsky, Leopold I.; Alekseev, Dmitry A.; Semiletov, Igor P.] Tomsk State Univ, Sci Dept, Tomsk 634050, Russia; [Lobkovsky, Leopold I.; Alekseev, Dmitry A.] Moscow Inst Phys &amp; Technol MIPT, Phystech Sch Radio Engn &amp; Comp Technol, Dolgoprudnyi 141700, Russia; [Lobkovsky, Leopold I.; Alekseev, Dmitry A.; Semiletov, Igor P.] Russian Acad Sci, VI Ilichev Pacific Oceanol Inst, Far Eastern Branch, Vladivostok 690041, Russia; [Baranov, Alexey A.] Russian Acad Sci, Inst Earthquake Predict Theory &amp; Math Geophys, Moscow 117997, Russia; [Garagash, Igor A.; Alekseev, Dmitry A.] Russian Acad Sci, Schmidt Inst Phys Earth, Moscow 123242, Russia; [Garagash, Igor A.; Ramazanov, Mukamay M.] Russian Acad Sci, Sadovsky Inst Geosphere Dynam, Moscow 119334, Russia; [Ramazanov, Mukamay M.] Russian Acad Sci, Geothermal Res &amp; Renewable Energy, Geothermal Res &amp; Renewable Energy, Branch Joint Inst High Temp, Makhachkala 367032, Russia; [Vladimirova, Irina S.; Gabsatarov, Yurii V.] Russian Acad Sci, Geophys Survey, Obninsk 249035, Russia</t>
  </si>
  <si>
    <t>Russian Academy of Sciences; Shirshov Institute of Oceanology; Tomsk State University; Moscow Institute of Physics &amp; Technology; Ilichev Pacific Oceanological Institute; Russian Academy of Sciences; Russian Academy of Sciences; Institute of Earthquake Prediction Theory &amp; Mathematical Geophysics; Russian Academy of Sciences; Schmidt Institute of Physics of the Earth of the Russian Academy of Sciences; Russian Academy of Sciences; Sadovsky Institute of Geosphere Dynamics of the Russian Academy of Sciences; Russian Academy of Sciences; Joint Institute for High Temperatures of the Russian Academy of Sciences; Russian Academy of Sciences; Geophysical Survey of the Russian Academy of Sciences</t>
  </si>
  <si>
    <t>Lobkovsky, LI (corresponding author), Russian Acad Sci, Shirshov Inst Oceanol, Moscow 117997, Russia.;Lobkovsky, LI; Alekseev, DA (corresponding author), Tomsk State Univ, Sci Dept, Tomsk 634050, Russia.;Lobkovsky, LI; Alekseev, DA (corresponding author), Moscow Inst Phys &amp; Technol MIPT, Phystech Sch Radio Engn &amp; Comp Technol, Dolgoprudnyi 141700, Russia.;Lobkovsky, LI; Alekseev, DA (corresponding author), Russian Acad Sci, VI Ilichev Pacific Oceanol Inst, Far Eastern Branch, Vladivostok 690041, Russia.;Alekseev, DA (corresponding author), Russian Acad Sci, Schmidt Inst Phys Earth, Moscow 123242, Russia.</t>
  </si>
  <si>
    <t>llobkovsky@ocean.ru; aabaranov@gmail.com; yuryg@gsras.ru; alekseev.da@mipt.ru</t>
  </si>
  <si>
    <t>Baranov, Alexey/ABF-0062-2022; Gabsatarov, Yurii V./E-7230-2018; Vladimirova, Irina S./Q-6474-2017</t>
  </si>
  <si>
    <t>Baranov, Alexey/0000-0002-7793-5555; Ramazanov, Mukamai/0000-0002-2468-1272; Semiletov, Igor/0000-0003-1741-6734</t>
  </si>
  <si>
    <t>Shirshov Institute of Oceanology [FMWE-2021-0015]; Russian Ministry of Science and High Education; Institute of Earthquake Prediction Theory and Mathematical Geophysics of the Russian Academy of Sciences [AAAA-A19-119011490131-3]; Russian Scientific Foundation [21-77-30001]; Russian Science Foundation [22-67-00025]</t>
  </si>
  <si>
    <t>Shirshov Institute of Oceanology(Russian Academy of Sciences); Russian Ministry of Science and High Education; Institute of Earthquake Prediction Theory and Mathematical Geophysics of the Russian Academy of Sciences; Russian Scientific Foundation(Russian Science Foundation (RSF)); Russian Science Foundation(Russian Science Foundation (RSF))</t>
  </si>
  <si>
    <t>This work was partly carried out within the framework of the state order of the P.P. Shirshov Institute of Oceanology RAS No. FMWE-2021-0015. Authors gratitude the Russian Ministry of Science and High Education for support in the framework of the project Priority-2030 given to Tomsk State University. We also acknowledge partial support from the state assignment of the Institute of Earthquake Prediction Theory and Mathematical Geophysics of the Russian Academy of Sciences No. AAAA-A19-119011490131-3, and the Russian Scientific Foundation (grant No. 21-77-30001). Ice motion and deformation modelling was done under Project 22-67-00025 funded by Russian Science Foundation.</t>
  </si>
  <si>
    <t>10.3390/geosciences13060171</t>
  </si>
  <si>
    <t>K6JD6</t>
  </si>
  <si>
    <t>WOS:001017474100001</t>
  </si>
  <si>
    <t>Zeng, XP; Ulanowski, ZBIGNIEW; Heymsfield, AJ; Wang, YS; Li, XW</t>
  </si>
  <si>
    <t>Zeng, X. I. P. I. N. G.; Ulanowski, Z. B. I. G. N. I. E. W.; Heymsfield, Andrew J.; Wang, Y. A. N. S. E. N.; LI, X. I. A. O. W. E. N.</t>
  </si>
  <si>
    <t>Stability Analysis of Ice Crystal Orientation</t>
  </si>
  <si>
    <t>JOURNAL OF THE ATMOSPHERIC SCIENCES</t>
  </si>
  <si>
    <t>Cirrus clouds; Ice crystals; Numerical analysis; modeling</t>
  </si>
  <si>
    <t>POLARIZATION LIDAR; RADIATIVE-TRANSFER; CIRRUS; PARTICLES; MOTION; CLOUDS; SPHERE</t>
  </si>
  <si>
    <t>The stability of ice crystal orientation is studied by modeling the airflow around ice crystals at moderate Reynolds number, where an ice crystal is approximated by a cylinder with three parameters: diameter D, length L, and zenith angle of the axis O. In this paper, the torque acting on ice crystals is simulated at different O first, and then a special O with zero horizontal torque, denoted as Oe, is sought as an equilibrium of ice crystal orientation. The equilibrium is classi-fied into two kinds: stable and unstable. Ice crystals rotate to Oe of stable equilibriums while deviating from Oe of unstable ones once they are released into quiet air. Multiple equilibriums of ice crystal orientation are found via numerical simula-tions. A cylinder with D/L close to one has three equilibriums, two of which are stable (i.e., Oe = 0 &amp; DEG; and 90 &amp; DEG;). A cylinder with D/L away from one has only two equilibriums, one of which is stable (i.e., either Oe = 0 &amp; DEG; or 90 &amp; DEG;). In addition, an asym-metric cylinder has two, three, or five equilibriums, and their Oe is sensitive to the distance between its geometrical center and its center of gravity. The sensitivity of Oe to crystal asymmetry suggests large symmetric ice crystals tend to become asymmetric (or irregular) and subsequently oriented randomly.</t>
  </si>
  <si>
    <t>[Zeng, X. I. P. I. N. G.; Wang, Y. A. N. S. E. N.] Army Res Lab, Adelphi, MD 20783 USA; [Ulanowski, Z. B. I. G. N. I. E. W.] British Antarctic Survey, Cambridge, England; [Ulanowski, Z. B. I. G. N. I. E. W.] Univ Manchester, Manchester, England; [Heymsfield, Andrew J.] Natl Ctr Atmospher Res, Boulder, CO USA; [LI, X. I. A. O. W. E. N.] NASA, Goddard Space Flight Ctr, Greenbelt, MD USA; [LI, X. I. A. O. W. E. N.] Morgan State Univ, Baltimore, MD USA</t>
  </si>
  <si>
    <t>United States Department of Defense; United States Army; US Army Research, Development &amp; Engineering Command (RDECOM); US Army Research Laboratory (ARL); UK Research &amp; Innovation (UKRI); Natural Environment Research Council (NERC); NERC British Antarctic Survey; University of Manchester; National Center Atmospheric Research (NCAR) - USA; National Aeronautics &amp; Space Administration (NASA); NASA Goddard Space Flight Center; Morgan State University</t>
  </si>
  <si>
    <t>Zeng, XP (corresponding author), Army Res Lab, Adelphi, MD 20783 USA.</t>
  </si>
  <si>
    <t>xiping.zeng.civ@army.mil</t>
  </si>
  <si>
    <t>Ulanowski, Zbigniew/0000-0003-4761-6980; Heymsfield, Andrew/0000-0003-4107-7533</t>
  </si>
  <si>
    <t>DoD High Performance Computing (HPC)</t>
  </si>
  <si>
    <t>This research was supported by DoD High Performance Computing (HPC) for providing the computational resources used. The authors greatly appreciated two anonymous reviewers for their constructive comments.</t>
  </si>
  <si>
    <t>0022-4928</t>
  </si>
  <si>
    <t>1520-0469</t>
  </si>
  <si>
    <t>J ATMOS SCI</t>
  </si>
  <si>
    <t>J. Atmos. Sci.</t>
  </si>
  <si>
    <t>10.1175/JAS-D-22-0223.1</t>
  </si>
  <si>
    <t>K4PS6</t>
  </si>
  <si>
    <t>WOS:001016280300001</t>
  </si>
  <si>
    <t>Ogungbuyi, MG; Guerschman, JP; Fischer, AM; Crabbe, RA; Mohammed, C; Scarth, P; Tickle, P; Whitehead, J; Harrison, MT</t>
  </si>
  <si>
    <t>Ogungbuyi, Michael Gbenga; Guerschman, Juan P. P.; Fischer, Andrew M. M.; Crabbe, Richard Azu; Mohammed, Caroline; Scarth, Peter; Tickle, Phil; Whitehead, Jason; Harrison, Matthew Tom</t>
  </si>
  <si>
    <t>Enabling Regenerative Agriculture Using Remote Sensing and Machine Learning</t>
  </si>
  <si>
    <t>LAND</t>
  </si>
  <si>
    <t>machine learning; satellite imagery; regenerative grazing; grassland biomass; total standing dry matter; digital agriculture; grassland management; climate change; land degradation; long-term monitoring</t>
  </si>
  <si>
    <t>EXAMINE PHYSIOLOGICAL-CHANGES; GRAZING MANAGEMENT; MATHEMATICAL FRAMEWORK; ABOVEGROUND BIOMASS; WINTER-WHEAT; SOIL; PASTURES; PRODUCTIVITY; SENTINEL-2; VEGETATION</t>
  </si>
  <si>
    <t>The emergence of cloud computing, big data analytics, and machine learning has catalysed the use of remote sensing technologies to enable more timely management of sustainability indicators, given the uncertainty of future climate conditions. Here, we examine the potential of regenerative agriculture, as an adaptive grazing management strategy to minimise bare ground exposure while improving pasture productivity. High-intensity sheep grazing treatments were conducted in small fields (less than 1 ha) for short durations (typically less than 1 day). Paddocks were subsequently spelled to allow pasture biomass recovery (treatments comprising 3, 6, 9, 12, and 15 months), with each compared with controls characterised by lighter stocking rates for longer periods (2000 DSE/ha). Pastures were composed of wallaby grass (Austrodanthonia species), kangaroo grass (Themeda triandra), Phalaris (Phalaris aquatica), and cocksfoot (Dactylis glomerata), and were destructively sampled to estimate total standing dry matter (TSDM), standing green biomass, standing dry biomass and trampled biomass. We invoked a machine learning model forced with Sentinel-2 imagery to quantify TSDM, standing green and dry biomass. Faced with La Nina conditions, regenerative grazing did not significantly impact pasture productivity, with all treatments showing similar TSDM, green biomass and recovery. However, regenerative treatments significantly impacted litterfall and trampled material, with high-intensity grazing treatments trampling more biomass, increasing litter, enhancing surface organic matter and decomposition rates thereof. Pasture digestibility and sward uniformity were greatest for treatments with minimal spelling (3 months), whereas both standing senescent and trampled material were greater for the 15-month spelling treatment. TSDM prognostics from machine learning were lower than measured TSDM, although predictions from the machine learning approach closely matched observed spatiotemporal variability within and across treatments. The root mean square error between the measured and modelled TSDM was 903 kg DM/ha, which was less than the variability measured in the field. We conclude that regenerative grazing with short recovery periods (3-6 months) was more conducive to increasing pasture production under high rainfall conditions, and we speculate that - in this environment - high-intensity grazing with 3-month spelling is likely to improve soil organic carbon through increased litterfall and trampling. Our study paves the way for using machine learning with satellite imagery to quantify pasture biomass at small scales, enabling the management of pastures within small fields from afar.</t>
  </si>
  <si>
    <t>[Ogungbuyi, Michael Gbenga; Mohammed, Caroline; Harrison, Matthew Tom] Univ Tasmania, Tasmanian Inst Agr, Launceston, Tas 7248, Australia; [Guerschman, Juan P. P.; Scarth, Peter; Tickle, Phil] Cibo Labs Pty Ltd, 15 Andrew St, Point Arkwright, Qld 4573, Australia; [Fischer, Andrew M. M.] Univ Tasmania, Inst Marine &amp; Antarctic Studies, Launceston, Tas 7248, Australia; [Crabbe, Richard Azu] Charles Sturt Univ, Gulbali Inst, Albury, NSW 2640, Australia; [Whitehead, Jason] Cape Herbert Pty Ltd, Blackstone Hts, Tas 7250, Australia</t>
  </si>
  <si>
    <t>University of Tasmania; University of Tasmania; Charles Sturt University</t>
  </si>
  <si>
    <t>Harrison, MT (corresponding author), Univ Tasmania, Tasmanian Inst Agr, Launceston, Tas 7248, Australia.</t>
  </si>
  <si>
    <t>michael.ogungbuyi@utas.edu.au; matthew.harrison@utas.edu.au</t>
  </si>
  <si>
    <t>Crabbe, Richard/E-4813-2019; Ogungbuyi, Michael/IWM-5073-2023; Harrison, Matthew/F-3843-2010; Guerschman, Juan/C-1479-2009</t>
  </si>
  <si>
    <t>Crabbe, Richard/0000-0003-3301-7063; Ogungbuyi, Michael/0000-0003-1745-2700; Harrison, Matthew/0000-0001-7425-452X; Fischer, Andrew/0000-0001-5284-6428; Guerschman, Juan/0000-0001-7464-6304</t>
  </si>
  <si>
    <t>Australian Government's Future Drought Fund; University of Tasmania [4-G37I1PA]</t>
  </si>
  <si>
    <t>Australian Government's Future Drought Fund; University of Tasmania</t>
  </si>
  <si>
    <t>Funding for this work was provided from the Australian Government's Future Drought Fund and the University of Tasmania (Project Number 4-G37I1PA).</t>
  </si>
  <si>
    <t>2073-445X</t>
  </si>
  <si>
    <t>LAND-BASEL</t>
  </si>
  <si>
    <t>Land</t>
  </si>
  <si>
    <t>10.3390/land12061142</t>
  </si>
  <si>
    <t>K6BE1</t>
  </si>
  <si>
    <t>WOS:001017264800001</t>
  </si>
  <si>
    <t>Bartak, M; Hajek, J; Halici, MG; Bednarikova, M; Casanova-Katny, A; Vaczi, P; Puhovkin, A; Mishra, KB; Giordano, D</t>
  </si>
  <si>
    <t>Bartak, Milos; Hajek, Josef; Halici, Mehmet Goekhan; Bednarikova, Michaela; Casanova-Katny, Angelica; Vaczi, Peter; Puhovkin, Anton; Mishra, Kumud Bandhu; Giordano, Davide</t>
  </si>
  <si>
    <t>Resistance of Primary Photosynthesis to Photoinhibition in Antarctic Lichen Xanthoria elegans: Photoprotective Mechanisms Activated during a Short Period of High Light Stress</t>
  </si>
  <si>
    <t>non-photochemical quenching; photoinhibitory quenching; Antarctica; James Ross Island</t>
  </si>
  <si>
    <t>CHLOROPHYLL FLUORESCENCE; PHOTOSYSTEM-II; UMBILICARIA-ANTARCTICA; GLUTATHIONE; EFFICIENCY; CURVES; TEMPERATURE; ZEAXANTHIN; TOLERANCE; GRADIENT</t>
  </si>
  <si>
    <t>The Antarctic lichen, Xanthoria elegans, in its hydrated state has several physiological mechanisms to cope with high light effects on the photosynthetic processes of its photobionts. We aim to investigate the changes in primary photochemical processes of photosystem II in response to a short-term photoinhibitory treatment. Several chlorophyll a fluorescence techniques: (1) slow Kautsky kinetics supplemented with quenching mechanism analysis; (2) light response curves of photosynthetic electron transport (ETR); and (3) response curves of non-photochemical quenching (NPQ) were used in order to evaluate the phenomenon of photoinhibition of photosynthesis and its consequent recovery. Our findings suggest that X. elegans copes well with short-term high light (HL) stress due to effective photoprotective mechanisms that are activated during the photoinhibitory treatment. The investigations of quenching mechanisms revealed that photoinhibitory quenching (qIt) was a major non-photochemical quenching in HL-treated X. elegans; qIt relaxed rapidly and returned to pre-photoinhibition levels after a 120 min recovery. We conclude that the Antarctic lichen species X. elegans exhibits a high degree of photoinhibition resistance and effective non-photochemical quenching mechanisms. This photoprotective mechanism may help it survive even repeated periods of high light during the early austral summer season, when lichens are moist and physiologically active.</t>
  </si>
  <si>
    <t>[Bartak, Milos; Hajek, Josef; Bednarikova, Michaela; Vaczi, Peter; Puhovkin, Anton; Mishra, Kumud Bandhu; Giordano, Davide] Masaryk Univ, Fac Sci, Dept Expt Biol, Lab Photosynthet Proc, Kamenice 5, Brno 62500, Czech Republic; [Halici, Mehmet Goekhan] Erciyes Univ, Dept Biol, Fen Edebiyat Fak, Biyoloji Bolumu, TR-38039 Kayseri, Turkiye; [Casanova-Katny, Angelica] Catholic Univ Temuco, Fac Nat Resources, Environm Sci Dept, Lab Plant Ecophysiol &amp; Climate Change, Ave Rudecindo Ortega 02950, Campus San Juan Pablo, Temuco, Chile; [Puhovkin, Anton] Minist Educ &amp; Sci Ukraine, State Inst Natl Antarctic Sci Ctr, T Shevchenko blvrd 16, UA-01601 Kiev, Ukraine; [Puhovkin, Anton] Natl Acad Sci Ukraine, Inst Problems Cryobiol &amp; Cryomedicine, Dept Reprod Syst Cryobiol, Pereyaslavska Str 23, UA-61016 Kharkiv, Ukraine; [Mishra, Kumud Bandhu] Global Change Res Inst, Czech Acad Sci, Lab Ecol Plant Physiol, Belidla 4a, Brno 60300, Czech Republic</t>
  </si>
  <si>
    <t>Masaryk University Brno; Erciyes University; Universidad Catolica de Temuco; Ministry of Education &amp; Science of Ukraine; State Institution National Antarctic Scientific Center; National Academy of Sciences Ukraine; Czech Academy of Sciences; Global Change Research Centre of the Czech Academy of Sciences</t>
  </si>
  <si>
    <t>Bartak, M (corresponding author), Masaryk Univ, Fac Sci, Dept Expt Biol, Lab Photosynthet Proc, Kamenice 5, Brno 62500, Czech Republic.</t>
  </si>
  <si>
    <t>mbartak@sci.muni.cz; jhajek@sci.muni.cz; mghalici@gmail.com; bednarikova.mm@gmail.com; angecasanova@gmail.com; vaczi@sci.muni.cz; antonpuhovkin@gmail.com; mishra.k@czechglobe.cz; 503288@mail.muni.cz</t>
  </si>
  <si>
    <t>Mishra, Kumud Bandhu/C-1150-2013; Puhovkin, Anton/ABA-5895-2021; Hájek, Josef/F-4694-2019; Casanova-Katny, Angelica/M-3994-2014</t>
  </si>
  <si>
    <t>Mishra, Kumud Bandhu/0000-0002-1969-0828; Puhovkin, Anton/0000-0003-4765-8849; Hájek, Josef/0000-0002-2679-1707; Bartak, Milos/0000-0002-3898-3626; Casanova-Katny, Angelica/0000-0003-3860-1445</t>
  </si>
  <si>
    <t>project ECOPOLARIS -Czech Ministry of Education, Youth and Sports [CZ.02.1.01/0.0/0.0/16_013/0001708]; CzechPolar Projects -Czech Ministry of Education, Youth and Sports [LM2010009, LM2015078]</t>
  </si>
  <si>
    <t>project ECOPOLARIS -Czech Ministry of Education, Youth and Sports; CzechPolar Projects -Czech Ministry of Education, Youth and Sports</t>
  </si>
  <si>
    <t>Funding was provided by the project ECOPOLARIS (CZ.02.1.01/0.0/0.0/16_013/0001708)-Czech Ministry of Education, Youth and Sports, as well as the CzechPolar Projects (LM2010009 and LM2015078)-Czech Ministry of Education, Youth and Sports.</t>
  </si>
  <si>
    <t>10.3390/plants12122259</t>
  </si>
  <si>
    <t>K7BP9</t>
  </si>
  <si>
    <t>WOS:001017960700001</t>
  </si>
  <si>
    <t>Polyakov, V; Abakumov, E; Lodygin, E; Vasilevich, R</t>
  </si>
  <si>
    <t>Polyakov, Vyacheslav; Abakumov, Evgeny; Lodygin, Evgeny; Vasilevich, Roman</t>
  </si>
  <si>
    <t>Molecular Weight Distribution of Humic Acids Isolated from Buried Soils and Yedoma Sediments</t>
  </si>
  <si>
    <t>AGRONOMY-BASEL</t>
  </si>
  <si>
    <t>transformation of SOM; buried organic matter; permafrost thawing; cryosols; Fluvisols Lena Delta river</t>
  </si>
  <si>
    <t>PERMAFROST PEAT MOUNDS; LENA RIVER DELTA; CARBON; CLIMATE; DECOMPOSITION; SIBERIA; STOCKS</t>
  </si>
  <si>
    <t>The soils of cold regions store up to 60% of all organic carbon on the planet. As a result of climate change, this organic matter can be biodegraded by microorganisms and thereby make an additional contribution to carbon balance. Nowadays, there are fragmentary data on organic C stocks in high-latitude soils and single works on the analysis of the quality of buried organic matter. This paper presents the first data on the molecular weight distributions of humic acids (HAs) extracted from soils and sediments in Yedoma. Molecular weight distributions of HAs preparations were obtained on an AKTAbasic 10 UPS chromatographic system (Amersham Biosciences, Sweden) using a SuperdexTM 200 10/300 GL column (with cross-linked dextran gel, fractionation range for globular proteins 10-600 kDa). As a result of the study, it was found that the buried soil horizons are characterized by the highest content of low molecular weight fraction (with molecular mass (Mr) 1.4-1.9 kDa and molar fraction in the range of 54.3-67.1%). The high molecular weight fraction is concentrated mainly in the superficial horizons and decreases with depth (with Mr 299-346 kDa and molar fraction in the range of 3.4-9.8%). In the Yedoma sediments, the maximum content of the medium-molecular fraction is observed (with Mr 24.6 kDa and 39.6% of the molar fraction), which may indicate a low rate of organic matter transformation in the permafrost. The data obtained serve as a database of analysis in terms of modeling the global carbon cycle in the cold regions of the planet.</t>
  </si>
  <si>
    <t>[Polyakov, Vyacheslav; Abakumov, Evgeny] St Petersburg State Univ, Fac Biol, Dept Appl Ecol, 16th Liniya VO 29, St Petersburg 199178, Russia; [Polyakov, Vyacheslav] Arctic &amp; Antarctic Res Inst, Beringa 38, St Petersburg 199397, Russia; [Lodygin, Evgeny; Vasilevich, Roman] Russian Acad Sci, Komi Sci Ctr, Inst Biol, Ural Branch, 28 Kommunisticheskaya St, Syktyvkar 167982, Russia</t>
  </si>
  <si>
    <t>Saint Petersburg State University; Arctic &amp; Antarctic Research Institute; Russian Academy of Sciences; Komi Science Centre of the Ural Branch of the Russian Academy of Sciences; Institute of Biology, Komi Scientific Centre, Ural Branch RAS</t>
  </si>
  <si>
    <t>Polyakov, V (corresponding author), St Petersburg State Univ, Fac Biol, Dept Appl Ecol, 16th Liniya VO 29, St Petersburg 199178, Russia.;Polyakov, V (corresponding author), Arctic &amp; Antarctic Res Inst, Beringa 38, St Petersburg 199397, Russia.</t>
  </si>
  <si>
    <t>v.polyakov@spbu.ru; e.abakumov@spbu.ru; lodigin@ib.komisc.ru; vasilevich.r.s@ib.komisc.ru</t>
  </si>
  <si>
    <t>Abakumov, e_abakumov@mail.ru/ADJ-1297-2022; Abakumov, Evgeny/AAO-8580-2020; Lodygin, Evgeny/D-1858-2012; Vasilevich, Roman S/Q-1503-2015; Polyakov, Vyacheslav/H-5483-2016</t>
  </si>
  <si>
    <t>Abakumov, e_abakumov@mail.ru/0000-0002-5248-9018; Abakumov, Evgeny/0000-0002-5248-9018; Lodygin, Evgeny/0000-0002-0675-524X; Polyakov, Vyacheslav/0000-0001-6171-3221; Abakumov, Evgeniy/0000-0003-3703-9147; Vasilevich, Roman/0000-0001-6915-6351</t>
  </si>
  <si>
    <t>Ministry of Science and Higher Education of the Russian Federation [075-15-2022-322]</t>
  </si>
  <si>
    <t>Ministry of Science and Higher Education of the Russian Federation</t>
  </si>
  <si>
    <t>This work was also supported by the Ministry of Science and Higher Education of the Russian Federation in accordance with agreement No. 075-15-2022-322 date 22 April 2022 on providing a grant in the form of subsidies from the Federal budget of Russian Federation. The grant was provided for state support for the creation and development of a World-class Scientific Center Agrotechnologies for the Future.</t>
  </si>
  <si>
    <t>2073-4395</t>
  </si>
  <si>
    <t>Agronomy-Basel</t>
  </si>
  <si>
    <t>10.3390/agronomy13061483</t>
  </si>
  <si>
    <t>Agronomy; Plant Sciences</t>
  </si>
  <si>
    <t>Agriculture; Plant Sciences</t>
  </si>
  <si>
    <t>K5LI7</t>
  </si>
  <si>
    <t>WOS:001016848900001</t>
  </si>
  <si>
    <t>Greco, S; Voltarel, G; Gaetano, AS; Manfrin, C; Pallavicini, A; Giulianini, PG; Gerdol, M</t>
  </si>
  <si>
    <t>Greco, Samuele; Voltarel, Giacomo; Gaetano, Anastasia Serena; Manfrin, Chiara; Pallavicini, Alberto; Giulianini, Piero Giulio; Gerdol, Marco</t>
  </si>
  <si>
    <t>Comparative Transcriptomic Analysis Reveals Adaptive Traits in Antarctic Scallop Adamussium colbecki</t>
  </si>
  <si>
    <t>FISHES</t>
  </si>
  <si>
    <t>antarctica; adaptation; comparative transcriptomics; mRNA splicing; cytoskeleton; protein misfolding; ubiquitination</t>
  </si>
  <si>
    <t>DIFFERENTIAL EXPRESSION ANALYSIS; MESSENGER-RNA; PROTEIN-SYNTHESIS; LOW-TEMPERATURES; COLD ADAPTATION; MCMURDO SOUND; GENE; FISH; TUBULIN; COMPLEX</t>
  </si>
  <si>
    <t>Antarctica is the most extreme continent of Earth, with strong winds, freezing temperatures on land, and ocean temperatures constantly below 0 &amp; DEG;C. Nonetheless, the Antarctic Ocean is home to an astounding diversity of living organisms that adapted to the multiple challenges posed by this environment via a diverse set of evolutionary traits. Although the recent advancements in sequencing technologies clarified the molecular bases of such adaptations in Antarctic fishes, little information is available for Antarctic invertebrates. In this preliminary study, we address this knowledge gap with a comparative transcriptomic approach to obtain insights into some of the adaptations that allow the Antarctic scallop Adamussium colbecki to survive and thrive in the freezing waters of the Antarctic Ocean. Despite some limitations, our analyses highlighted significant over-expression of genes involved in regulation of mRNA transcription, maturation, and degradation, which might compensate for a reduced efficiency of these processes at low temperatures. Other alterations detected in the Antarctic scallop transcriptome include enhanced expression of genes that regulate degradation of misfolded protein products and allow maintenance of cytoskeletal structure and function at subzero temperatures. Altogether, these observations support the presence of multiple previously unreported molecular adaptive traits in A. colbecki, which have important implications for our understanding of adaptation of this important component of the Antarctic trophic chain to such an extreme, but stable environment.</t>
  </si>
  <si>
    <t>[Greco, Samuele; Voltarel, Giacomo; Manfrin, Chiara; Pallavicini, Alberto; Giulianini, Piero Giulio; Gerdol, Marco] Univ Trieste, Dept Life Sci, I-34127 Trieste, Italy; [Gaetano, Anastasia Serena] Univ Trieste, Dept Chem &amp; Pharmaceut Sci, I-34127 Trieste, Italy</t>
  </si>
  <si>
    <t>University of Trieste; University of Trieste</t>
  </si>
  <si>
    <t>Gerdol, M (corresponding author), Univ Trieste, Dept Life Sci, I-34127 Trieste, Italy.</t>
  </si>
  <si>
    <t>mgerdol@units.it</t>
  </si>
  <si>
    <t>Gerdol, Marco/D-2115-2013; Pallavicini, Alberto/H-9281-2019</t>
  </si>
  <si>
    <t>Gerdol, Marco/0000-0001-6411-0813; Pallavicini, Alberto/0000-0001-7174-4603; Gaetano, Anastasia Serena/0000-0003-0071-7696; Giulianini, Piero Giulio/0000-0001-5356-7754; Greco, Samuele/0000-0003-3435-2656; Voltarel, Giacomo/0009-0000-8187-2596</t>
  </si>
  <si>
    <t>National Research Program in Antarctica [PNRA16_00099, PNRA16_00234 PNRA18_00077]</t>
  </si>
  <si>
    <t>National Research Program in Antarctica</t>
  </si>
  <si>
    <t>This work was funded by the Italian Program of Antarctic Research (Grant Nos. PNRA16_00099, PNRA16_00234 and PNRA18_00077).</t>
  </si>
  <si>
    <t>2410-3888</t>
  </si>
  <si>
    <t>FISHES-BASEL</t>
  </si>
  <si>
    <t>Fishes</t>
  </si>
  <si>
    <t>10.3390/fishes8060276</t>
  </si>
  <si>
    <t>K3DX0</t>
  </si>
  <si>
    <t>WOS:001015287500001</t>
  </si>
  <si>
    <t>Edgington, H; Pavinato, VAC; Spacht, D; Gantz, JD; Convey, P; Lee, RE; Denlinger, DL; Michel, A</t>
  </si>
  <si>
    <t>Edgington, Hilary; Pavinato, Vitor A. C.; Spacht, Drew; Gantz, J. D.; Convey, Peter; Lee Jr, Richard E.; Denlinger, David L.; Michel, Andy</t>
  </si>
  <si>
    <t>Genetic history, structure and gene flow among populations of Belgica antarctica, the only free-living insect in the western Antarctic Peninsula</t>
  </si>
  <si>
    <t>Belgica antarctica; Population genetics; SNPs; Antarctic biodiversity</t>
  </si>
  <si>
    <t>CIRCUMPOLAR CURRENT; KELP GULL; MIDGE; VARIABILITY; PACKAGE; OCEAN; LIFE; INVERTEBRATES; DIVERSITY; SEAWATER</t>
  </si>
  <si>
    <t>Changes in climate and environment can impact the sustainability of populations and biodiversity. Under-standing population genetic diversity in the past and present can help us better predict species' responses to future environmental change. Antarctica has experienced drastic environmental change which threatens its biodiversity. In this study, we characterized the phylogeography and population genetic structure of Belgica antarctica, a wingless midge that is endemic to the western Antarctic Peninsula. This insect has adaptive features to withstand extremes in temperature, salinity, humidity, anoxia and pH. Belgica antarctica is widespread on widely dispersed islands of ice-free habitat, but questions remain regarding its genetic history, diversity and gene flow. We created nuclear-based, single nucleotide polymorphism (SNP) markers and genotyped 229 individuals from 11 populations to examine historical and current population genetic patterns. Our results support recent divergence among populations on different islands within the last 1 Mya. Furthermore, despite a lack of wings, B. antarctica exhibited frequent migration among islands, perhaps via ocean currents or phoresy with Antarctic vertebrates (e.g. seabirds). The close link between the evolutionary history of B. antarctica and the region's environment and ecology emphasize the importance of understanding its population dynamics to predict its persistence under environmental change.</t>
  </si>
  <si>
    <t>[Edgington, Hilary; Pavinato, Vitor A. C.; Denlinger, David L.; Michel, Andy] Ohio State Univ, Dept Entomol, Wooster, OH 44691 USA; [Edgington, Hilary] Coll Wooster, Dept Biol, Wooster, OH 44691 USA; [Spacht, Drew; Denlinger, David L.] Dept Evolut Ecol &amp; Organismal Biol, Columbus, OH 43210 USA; [Gantz, J. D.] Hendrix Coll, Biol &amp; Hlth Sci Dept, Conway, AK 72032 USA; [Convey, Peter] British Antarctic Survey, Cambridge CB3 0ET, England; [Convey, Peter] Univ Johannesburg, Dept Zool, ZA-2006 Auckland Pk, South Africa; [Lee Jr, Richard E.] Miami Univ, Dept Biol, Oxford, OH 45056 USA; [Michel, Andy] Wooster Sci Bldg,1600 Wilson Rd,CFAES Wooster Camp, Wooster, OH 44691 USA</t>
  </si>
  <si>
    <t>University System of Ohio; Ohio State University; University System of Ohio; College of Wooster; UK Research &amp; Innovation (UKRI); Natural Environment Research Council (NERC); NERC British Antarctic Survey; University of Johannesburg; University System of Ohio; Miami University</t>
  </si>
  <si>
    <t>Michel, A (corresponding author), Ohio State Univ, Dept Entomol, Wooster, OH 44691 USA.;Michel, A (corresponding author), Wooster Sci Bldg,1600 Wilson Rd,CFAES Wooster Camp, Wooster, OH 44691 USA.</t>
  </si>
  <si>
    <t>michel.70@osu.edu</t>
  </si>
  <si>
    <t>Correa Pavinato, Vitor Antonio/D-6576-2011</t>
  </si>
  <si>
    <t>Correa Pavinato, Vitor Antonio/0000-0003-2483-1207</t>
  </si>
  <si>
    <t>National Science Foundation [OPP-134139, OPP-1341385]; NERC</t>
  </si>
  <si>
    <t>National Science Foundation(National Science Foundation (NSF)); NERC(UK Research &amp; Innovation (UKRI)Natural Environment Research Council (NERC))</t>
  </si>
  <si>
    <t>This work was supported in part by the National Science Foundation grants OPP-134139 to D.L.D. and OPP-1341385 to R.E.L. P. Convey is supported by NERC core funding to the BAS Biodiversity, Evolution and Adaptation' Team. Collections in 2008 were made with the support of HMS Endurance, and we are grateful to the ship's officers and crew for their support. We are also grateful to the staff at Palmer Station, Antarctica for facilitating successful field seasons. N. Teets provided valuable comments to improve the manuscript.</t>
  </si>
  <si>
    <t>10.1016/j.polar.2023.100945</t>
  </si>
  <si>
    <t>K2XX4</t>
  </si>
  <si>
    <t>WOS:001015131400001</t>
  </si>
  <si>
    <t>Trigubovich, A; Mandryk-Litvinkovich, M; Valakhanovich, A; Gorodilova, E; Malygin, D; Kalamiyets, E; Sokornova, S</t>
  </si>
  <si>
    <t>Trigubovich, Andrey; Mandryk-Litvinkovich, Maryna; Valakhanovich, Anastasiya; Gorodilova, Elizaveta; Malygin, Daniil; Kalamiyets, Emiliya; Sokornova, Sofia</t>
  </si>
  <si>
    <t>Psychrotolerant Strains of Phoma herbarum with Herbicidal Activity</t>
  </si>
  <si>
    <t>Phoma herbarum; psychrotolerance; herbicidal activity; producer strains; biological mycoherbicides; biorational mycoherbicides</t>
  </si>
  <si>
    <t>FUNGUS; PIGMENTS</t>
  </si>
  <si>
    <t>The search for stress-tolerant producer strains is a key factor in the development of biological mycoherbicides. The aim of the study was to assess the herbicidal potential of phoma-like fungi. Morphological and physiological features of two Antarctic psychrotolerant strains 20-A7-1.M19 and 20-A7-1.M29 were studied. Multilocus sequence analysis was used to identify these strains. They happened to belong to Phoma herbarum Westend. The psychrotolerant properties of these strains were suggested not only by ecology, but also by their capability to grow in a wide temperature range from 5 &amp; DEG;C to 35 &amp; DEG;C, being resistant to high insolation, UV radiation, aridity, and other extreme conditions. It was shown that treatment with their cell-free cultural fugate, crude mycelium extract, and culture liquid significantly reduced the seed germination of troublesome weeds such as dandelion and goldenrod. Cell-free cultural fugate and culture liquid also led to the formation of chlorosis and necrotic spots on leaves. Thus, psychrotolerant strains P. herbarum 20-A7-1.M19 and 20-A7-1.M29 demonstrate high biotechnological potential. Our next step is to determine the structures of biologically active substances and to increase their biosynthesis, as well as the development of biological and biorational mycoherbicides. New mycoherbicides can reduce the chemical load on agroecosystems and increase the effectiveness of applied chemicals.</t>
  </si>
  <si>
    <t>[Trigubovich, Andrey; Valakhanovich, Anastasiya] Natl Acad Sci Belarus, Inst Microbiol, 2 Kuprevich Str, Minsk 220084, BELARUS; [Mandryk-Litvinkovich, Maryna; Kalamiyets, Emiliya] State Sci Prod Assoc Chem Synth &amp; Biotechnol, 2 Kuprevich Str, Minsk 220141, BELARUS; [Gorodilova, Elizaveta] St Petersburg State Univ, Res Resource Ctr Mol &amp; Cell Technol, 17 Botanicheskaya Str, St Petersburg 198504, Russia; [Malygin, Daniil; Sokornova, Sofia] All Russian Inst Plant Protect, 3 Podbelsokogo Rd, St Petersburg 196608, Russia; [Malygin, Daniil; Sokornova, Sofia] St Petersburg State Univ, Ctr Algorithm Biotechnol, 7-9 Universitetskaya Emb, St Petersburg 199034, Russia</t>
  </si>
  <si>
    <t>National Academy of Sciences of Belarus (NASB); Institute of Microbiology of the National Academy of Sciences of Belarus; Saint Petersburg State University; All-Russian Institute of Plant Protection; Saint Petersburg State University</t>
  </si>
  <si>
    <t>Sokornova, S (corresponding author), All Russian Inst Plant Protect, 3 Podbelsokogo Rd, St Petersburg 196608, Russia.;Sokornova, S (corresponding author), St Petersburg State Univ, Ctr Algorithm Biotechnol, 7-9 Universitetskaya Emb, St Petersburg 199034, Russia.</t>
  </si>
  <si>
    <t>svsokornova@vizr.spb.ru</t>
  </si>
  <si>
    <t>Sokornova, Sonie/C-6615-2013</t>
  </si>
  <si>
    <t>Sokornova, Sonie/0000-0001-6718-4818; Trigubovich, Andrei/0000-0003-4140-6501</t>
  </si>
  <si>
    <t>10.3390/agronomy13061619</t>
  </si>
  <si>
    <t>K1CB7</t>
  </si>
  <si>
    <t>WOS:001013882400001</t>
  </si>
  <si>
    <t>Yu, LJ; Zhong, SY; Sui, CJ; Sun, B</t>
  </si>
  <si>
    <t>Yu, Lejiang; Zhong, Shiyuan; Sui, Cuijuan; Sun, Bo</t>
  </si>
  <si>
    <t>A new global coupled atmosphere-ocean wavenumber-4 pattern in Southern mid-latitudes during austral summer and its climate linkage</t>
  </si>
  <si>
    <t>ENVIRONMENTAL RESEARCH COMMUNICATIONS</t>
  </si>
  <si>
    <t>global atmosphere-ocean wavenumber-4; the Indian Ocean subtropical dipole (IOSD); the South Atlantic subtropical dipole (SASD); the South Pacific subtropical dipole (SPSD)</t>
  </si>
  <si>
    <t>SEA-SURFACE TEMPERATURE; VARIABILITY</t>
  </si>
  <si>
    <t>A new pattern referred to as the coupled ocean-atmosphere wavenumber-4 (COAW4) pattern has been identified in the Southern mid-latitudes during austral summer. This pattern consists of a wavenumber-4 pattern in the anomalous 200-hPa meridional wind and a wavenumber-4 pattern of the anomalous sea surface temperature (SST). The SST component of the COAW4 pattern, which includes the Indian Ocean Subtropical Dipole (IOSD), the South Atlantic Subtropical Dipole (SASD) and the South Pacific Subtropical Dipole (SPSD), develops through air-sea interactions involving surface turbulent heat flux, surface wind, and ocean mixed-layer depth. The atmospheric component displays a barotropic structure. The sources for COAW4 pattern include not only the wavenumber-4 pattern of the anomalous SST over Southern oceans, but also the anomalous convective activities over Southern land areas. The COAW4 pattern is associated with increased precipitation over land in southern mid-latitudes, particularly in central Australia. Furthermore, the COAW4 pattern is linked to Antarctic sea ice cover in the Weddell, Amundsen, and northern Ross Seas. Plain language summary In the southern mid-latitudes, there exists a wavenumber 4 pattern in the anomalous 200-hPa meridional wind and a wavenumber-4 pattern of the anomalous sea surface temperature (SST). Previous studies have examined the two wavenumber-4 patterns separately, but their potential linkage remains largely unknown. Through statistical analyses of SST and atmospheric global data, we demonstrated that the two wavenumber 4 patterns could be integrated into a coupled ocean-atmosphere wavenumber-4 (COAW4) pattern in Southern mid-latitudes in austral summer. Additionally, we have investigated the sources of this pattern as well as its effect on precipitation over southern lands and on Antarctic sea ice.</t>
  </si>
  <si>
    <t>[Yu, Lejiang; Sun, Bo] Polar Res Inst China, MNR Key Lab Polar Sci, Shanghai, Peoples R China; [Zhong, Shiyuan] Michigan State Univ, Dept Geog Environm &amp; Spatial Sci, E Lansing, MI USA; [Sui, Cuijuan] Natl Marine Environm Forecasting Ctr, Beijing, Peoples R China</t>
  </si>
  <si>
    <t>Polar Research Institute of China; Michigan State University; National Marine Environmental Forecasting Center</t>
  </si>
  <si>
    <t>National Key Ramp;D Program of China [2022YFE0106300]; European Centre for Medium-Range Weather Forecasts (ECMWF); National Key Ramp;D Program of China [2022YFE0106300]; fundamental research funds for the Norges Forskningsrad [328886]; National Science Foundation of China [41941009]</t>
  </si>
  <si>
    <t>National Key Ramp;D Program of China; European Centre for Medium-Range Weather Forecasts (ECMWF); National Key Ramp;D Program of China; fundamental research funds for the Norges Forskningsrad(Research Council of Norway); National Science Foundation of China(National Natural Science Foundation of China (NSFC))</t>
  </si>
  <si>
    <t>We thank the European Centre for Medium-Range Weather Forecasts (ECMWF) for making the ERA-5 data and US NOAA for making the sea surface temperature and sea ice data accessible. This study is funded by the National Key R &amp; amp;D Program of China (No. 2022YFE0106300), the fundamental research funds for the Norges Forskningsrad. (No. 328886), and the National Science Foundation of China (41941009).</t>
  </si>
  <si>
    <t>2515-7620</t>
  </si>
  <si>
    <t>ENVIRON RES COMMUN</t>
  </si>
  <si>
    <t>Environ. Res. Commun.</t>
  </si>
  <si>
    <t>10.1088/2515-7620/acde4d</t>
  </si>
  <si>
    <t>J8UA6</t>
  </si>
  <si>
    <t>WOS:001012308900001</t>
  </si>
  <si>
    <t>Matsuta, T; Masumoto, Y</t>
  </si>
  <si>
    <t>Matsuta, Takuro; Masumoto, Yukio</t>
  </si>
  <si>
    <t>Energetics of the Antarctic Circumpolar Current. Part I: The Lorenz Energy Cycle and the Vertical Energy Redistribution</t>
  </si>
  <si>
    <t>Ocean; Southern Ocean; Jets; Energy budget; balance</t>
  </si>
  <si>
    <t>AVAILABLE POTENTIAL-ENERGY; EDDY KINETIC-ENERGY; SOUTHERN-OCEAN; TOPOGRAPHY INTERACTIONS; MESOSCALE EDDIES; WIND; CIRCULATION; MODEL; EQUILIBRATION; DEPENDENCE</t>
  </si>
  <si>
    <t>Recent studies suggest that the eddy kinetic energy is localized in the lee of significant topographic features in the Antarctic Circumpolar Current (ACC). Here we explore the importance of the local dynamics quantitatively using the outputs from the realistic ocean general circulation model hindcast with the aid of the modified Lorentz energy cycle. Results confirm the importance of energy transfer among reservoirs in the downstream region of standing meanders, show-ing that the major five standing meanders are responsible for more than 70% of the kinetic energy transfer to eddies and dissipation over the Antarctic Circumpolar Current region. The eddy kinetic energy is generated in the upper 3000-m depth downstream of the standing meanders and transported due to the vertical energy redistribution governed by the ver-tical pressure flux toward the deeper layer where the eddy energy is dissipated. Moreover, we also calculate the work done by the Ekman transport to confirm that the wind energy input works as the dominant energy source for the baroclinic en-ergy pathway. The advantage of this quantity against the vertical mean density flux is that it is independent of the reference states defined arbitrarily. It is shown that the westerlies can supply sufficient energy locally to initiate baroclinic instability in the Indian and Pacific sectors of the ACC, whereas the nonlocal process is important in the Atlantic sector. Our results suggest that the five narrow regions associated with significant topography play key roles in the energy balance of the ACC region.SIGNIFICANCE STATEMENT: The purpose of this study is to understand the eddy-mean flow interactions in the Antarctic Circumpolar Current from the energetic viewpoint. Our results show that the five narrow regions called hotspots in our study are responsible for the energy transfer from the mean flow to eddies. It is also found that the hotspots are important for the energy sink in the Southern Ocean. These findings suggest that the five hotspots are likely to play key roles in the responses of the Antarctic Circumpolar Current to the changes in westerlies in these decades.</t>
  </si>
  <si>
    <t>[Matsuta, Takuro] Hokkaido Univ, Inst Low Temp Sci, Pan Okhotsk Res Ctr, Sapporo, Japan; [Masumoto, Yukio] Univ Tokyo, Sch Sci, Dept Earth &amp; Planetary Sci, Tokyo, Japan; [Masumoto, Yukio] Japan Agcy Marine Earth Sci &amp; Technol, Applicat Lab, Yokohama, Japan</t>
  </si>
  <si>
    <t>Hokkaido University; University of Tokyo; Japan Agency for Marine-Earth Science &amp; Technology (JAMSTEC)</t>
  </si>
  <si>
    <t>Matsuta, T (corresponding author), Hokkaido Univ, Inst Low Temp Sci, Pan Okhotsk Res Ctr, Sapporo, Japan.</t>
  </si>
  <si>
    <t>matsuta@lowtem.hokudai.ac.jp</t>
  </si>
  <si>
    <t>Matsuta, Takuro/0000-0002-6155-6120</t>
  </si>
  <si>
    <t>JSPS [22J00651]; JSPS KAKENHI [JP17H01663, JP20H05731]; Grants-in-Aid for Scientific Research [22KJ0042] Funding Source: KAKEN</t>
  </si>
  <si>
    <t>JSPS(Ministry of Education, Culture, Sports, Science and Technology, Japan (MEXT)Japan Society for the Promotion of Science);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</si>
  <si>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Most materials were from a Ph.D. thesis from The University of Tokyo (Matsuta 2022) . T. Matsuta is a JSPS Research Fellow. T. Matsuta was supported by JSPS Grant in Aid for JSPS Fellows 22J00651. Y. Masumoto was supported by JSPS KAKENHI Grants JP17H01663 and JP20H05731.</t>
  </si>
  <si>
    <t>10.1175/JPO-D-22-0133.1</t>
  </si>
  <si>
    <t>J7KF5</t>
  </si>
  <si>
    <t>WOS:001011366000004</t>
  </si>
  <si>
    <t>Wöhle, S; Burkhardt, E; van Opzeeland, I; Schall, E</t>
  </si>
  <si>
    <t>Woehle, Svenja; Burkhardt, Elke; van Opzeeland, Ilse; Schall, Elena</t>
  </si>
  <si>
    <t>Exploring and verifying the acoustic presence of southern right whales (Eubalaena australis) off Elephant Island, Antarctica</t>
  </si>
  <si>
    <t>JOURNAL OF THE ACOUSTICAL SOCIETY OF AMERICA</t>
  </si>
  <si>
    <t>ATLANTIC RIGHT WHALES; CALLING BEHAVIOR; SOUND PRODUCTION; REPERTOIRE; NOISE; SEA; CLASSIFICATION; VOCALIZATIONS; GLACIALIS; DOLPHINS</t>
  </si>
  <si>
    <t>Passive acoustic monitoring (PAM) can be used to monitor acoustic presence and behaviour of cetaceans, providing continuous, long-term, and seasonally unbiased data. The efficiency of PAM methods, however, depends on the ability to detect and correctly interpret acoustic signals. The upcall is the most prevalent vocalization of the southern right whale (Eubalaena australis) and is commonly used as a basis for PAM studies on this species. However, previous studies report difficulties to distinguish between southern right whale upcalls and similar humpback whale (Megaptera novaeangliae) vocalizations with certainty. Recently, vocalizations comparable to southern right whale upcalls were detected off Elephant Island, Antarctica. In this study, these vocalizations were structurally analyzed, and call characteristics were compared to (a) confirmed southern right whale vocalizations recorded off Argentina and (b) confirmed humpback whale vocalizations recorded in the Atlantic Sector of the Southern Ocean. Based on call features, detected upcalls off Elephant Island could be successfully attributed to southern right whales. Measurements describing slope and bandwidth were identified as the main differences in call characteristics between species. With the newly gained knowledge from this study, additional data can be analyzed providing further insight into temporal occurrence and migratory behaviour of southern right whales in Antarctic waters.</t>
  </si>
  <si>
    <t>[Woehle, Svenja; Burkhardt, Elke; van Opzeeland, Ilse; Schall, Elena] Alfred Wegener Inst Polar &amp; Marine Res, Klussmannstr 3d, D-27570 Bremerhaven, Germany; [van Opzeeland, Ilse] Carl Von Ossietzky Univ Oldenburg, Helmholtz Inst Funct Marine Biodivers HIFMB, Ammerlander Heerstr 231, D-26129 Oldenburg, Germany</t>
  </si>
  <si>
    <t>Wöhle, S (corresponding author), Alfred Wegener Inst Polar &amp; Marine Res, Klussmannstr 3d, D-27570 Bremerhaven, Germany.</t>
  </si>
  <si>
    <t>svenja.woehle@awi.de</t>
  </si>
  <si>
    <t>Burkhardt, Elke/0000-0002-5128-4176; Wohle, Svenja/0000-0002-8803-4162; Schall, Elena/0000-0002-7740-5466</t>
  </si>
  <si>
    <t>Open Access Publication Funds of Alfred-Wegener-Institut Helmholtz-Zentrum fur Polar- und Meeresforschung [PS96]</t>
  </si>
  <si>
    <t>Open Access Publication Funds of Alfred-Wegener-Institut Helmholtz-Zentrum fur Polar- und Meeresforschung</t>
  </si>
  <si>
    <t>We thank the crew and officers of the RV Polarstern expedition ANT XXIX/2 together with Matthias Monsees, Rainer Graupner, Wolfgang Zahn, and Gerd Rohardt for the deployment of the mooring, as much as crew and officers of RV Polarstern expedition PS96 and Michael Schroeder and Andreas Wisotzki for the recovery of the mooring. Special thanks to Daniel Zitterbart and Alejandro Cammareri for the acoustic Data collection during the SAMBAY field work campaign. We acknowledge support by the Open Access Publication Funds of Alfred-Wegener-Institut Helmholtz-Zentrum fur Polar- und Meeresforschung.</t>
  </si>
  <si>
    <t>ACOUSTICAL SOC AMER AMER INST PHYSICS</t>
  </si>
  <si>
    <t>MELVILLE</t>
  </si>
  <si>
    <t>STE 1 NO 1, 2 HUNTINGTON QUADRANGLE, MELVILLE, NY 11747-4502 USA</t>
  </si>
  <si>
    <t>0001-4966</t>
  </si>
  <si>
    <t>1520-8524</t>
  </si>
  <si>
    <t>J ACOUST SOC AM</t>
  </si>
  <si>
    <t>J. Acoust. Soc. Am.</t>
  </si>
  <si>
    <t>10.1121/10.0019633</t>
  </si>
  <si>
    <t>Acoustics; Audiology &amp; Speech-Language Pathology</t>
  </si>
  <si>
    <t>J6XO7</t>
  </si>
  <si>
    <t>WOS:001011032100001</t>
  </si>
  <si>
    <t>Verhey, C; Minch, M; Payne, K</t>
  </si>
  <si>
    <t>Verhey, Chantelle; Minch, Melinda; Payne, Karen</t>
  </si>
  <si>
    <t>Polar federated search: New infrastructure to support the polar community</t>
  </si>
  <si>
    <t>Polar; Data; Federation; Semantics; Research infrastructure</t>
  </si>
  <si>
    <t>This paper reports how the World Data System International Technology Office (WDS-ITO) has contributed resources in the Polar Research Data Management community. The office has focused on federated search and data enhancement practices that bridge the gap between data holdings in the Arctic and Antarctic polar research communities and has built a shared catalog characterized by harmonized dialects of metadata standards. The portal, referred to as the Polar Federated Search (PFS) site, is part of a larger set of WDS-ITO polar support activities and allows researchers to find data that has been published in multiple repositories serving both Arctic and Antarctic data (World Data System - International Technology Office, 2022). The portal provides federated search capability through a single interface. The PFS indexes repository landing pages that have been enriched with the addition of semantic markup marrying the best practices from the web publishing world with domain specific metadata. This technique leads to broader discovery, notably by Google Dataset Search, and better reuse of data repository holdings. Increasingly, the base ontology that has been adopted for use in these markup ac-tivities is Schema.org (SDO) a simple ontology developed in the commercial sector. This article outlines the steps and progressions made throughout the first year of PFS development, its highlights, and describes how these infrastructures move far beyond metadata discovery to include data integration, analysis, visualization and advanced, reproducible workflows.</t>
  </si>
  <si>
    <t>[Verhey, Chantelle; Minch, Melinda; Payne, Karen] Univ Victoria, World Data Syst Int Technol Off, Ocean Networks Canada, 100 2474 Arbutus Rd, Victoria, BC V8N 1V8, Canada</t>
  </si>
  <si>
    <t>University of Victoria</t>
  </si>
  <si>
    <t>Verhey, C (corresponding author), Univ Victoria, World Data Syst Int Technol Off, Ocean Networks Canada, 100 2474 Arbutus Rd, Victoria, BC V8N 1V8, Canada.</t>
  </si>
  <si>
    <t>cverhey@oceannetworks.ca; ito-webdev1@oceannetworks.ca; ito-director@oceannetworks.ca</t>
  </si>
  <si>
    <t>Minch, Melinda/0000-0003-3878-7147; Payne, Karen/0000-0003-0608-5378</t>
  </si>
  <si>
    <t>10.1016/j.polar.2023.100947</t>
  </si>
  <si>
    <t>J6EJ5</t>
  </si>
  <si>
    <t>WOS:001010523600001</t>
  </si>
  <si>
    <t>Ade, PAR; Ahmed, Z; Amiri, M; Barkats, D; Thakur, RB; Bischoff, CA; Beck, D; Bock, JJ; Boenish, H; Bullock, E; Buza, V; Cheshire, JR; Connors, J; Cornelison, J; Crumrine, M; Cukierman, A; Denison, EV; Dierickx, M; Duband, L; Eiben, M; Fatigoni, S; Filippini, JP; Fliescher, S; Giannakopoulos, C; Goeckner-Wald, N; Goldfinger, DC; Grayson, J; Grimes, P; Hall, G; Halal, G; Halpern, M; Hand, E; Harrison, S; Henderson, S; Hildebrandt, SR; Hubmayr, J; Hui, H; Irwin, KD; Kang, J; Karkare, KS; Karpel, E; Kefeli, S; Kernasovskiy, SA; Kovac, JM; Kuo, CL; Lau, K; Leitch, EM; Lennox, A; Megerian, KG; Minutolo, L; Moncelsi, L; Nakato, Y; Namikawa, T; Nguyen, HT; O'Brient, R; Ogburn, RW; Palladino, S; Petroff, M; Prouve, T; Pryke, C; Racine, B; Reintsema, CD; Richter, S; Schillaci, A; Schwarz, R; Schmitt, BL; Sheehy, CD; Singari, B; Soliman, A; St Germaine, T; Steinbach, B; Sudiwala, RV; Teply, GP; Thompson, KL; Tolan, JE; Tucker, C; Turner, AD; Umilta, C; Vergès, C; Vieregg, AG; Wandui, A; Weber, AC; Wiebe, DV; Willmert, J; Wong, CL; Wu, WLK; Yang, H; Yoon, KW; Young, E; Yu, C; Zeng, L; Zhang, C; Zhang, S</t>
  </si>
  <si>
    <t>Ade, P. A. R.; Ahmed, Z.; Amiri, M.; Barkats, D.; Thakur, R. Basu; Bischoff, C. A.; Beck, D.; Bock, J. J.; Boenish, H.; Bullock, E.; Buza, V.; Cheshire, J. R.; Connors, J.; Cornelison, J.; Crumrine, M.; Cukierman, A.; Denison, E. V.; Dierickx, M.; Duband, L.; Eiben, M.; Fatigoni, S.; Filippini, J. P.; Fliescher, S.; Giannakopoulos, C.; Goeckner-Wald, N.; Goldfinger, D. C.; Grayson, J.; Grimes, P.; Hall, G.; Halal, G.; Halpern, M.; Hand, E.; Harrison, S.; Henderson, S.; Hildebrandt, S. R.; Hubmayr, J.; Hui, H.; Irwin, K. D.; Kang, J.; Karkare, K. S.; Karpel, E.; Kefeli, S.; Kernasovskiy, S. A.; Kovac, J. M.; Kuo, C. L.; Lau, K.; Leitch, E. M.; Lennox, A.; Megerian, K. G.; Minutolo, L.; Moncelsi, L.; Nakato, Y.; Namikawa, T.; Nguyen, H. T.; O'Brient, R.; Ogburn, R. W.; Palladino, S.; Petroff, M.; Prouve, T.; Pryke, C.; Racine, B.; Reintsema, C. D.; Richter, S.; Schillaci, A.; Schwarz, R.; Schmitt, B. L.; Sheehy, C. D.; Singari, B.; Soliman, A.; St Germaine, T.; Steinbach, B.; Sudiwala, R. V.; Teply, G. P.; Thompson, K. L.; Tolan, J. E.; Tucker, C.; Turner, A. D.; Umilta, C.; Verges, C.; Vieregg, A. G.; Wandui, A.; Weber, A. C.; Wiebe, D. V.; Willmert, J.; Wong, C. L.; Wu, W. L. K.; Yang, H.; Yoon, K. W.; Young, E.; Yu, C.; Zeng, L.; Zhang, C.; Zhang, S.</t>
  </si>
  <si>
    <t>BICEP Keck Collaboration; BICEP Keck Collaboration</t>
  </si>
  <si>
    <t>BICEP/Keck. XVII. Line-of-sight Distortion Analysis: Estimates of Gravitational Lensing, Anisotropic Cosmic Birefringence, Patchy Reionization, and Systematic Errors</t>
  </si>
  <si>
    <t>ASTROPHYSICAL JOURNAL</t>
  </si>
  <si>
    <t>MICROWAVE BACKGROUND ANISOTROPIES; POWER SPECTRUM; CONSTRAINTS; MODEL</t>
  </si>
  <si>
    <t>We present estimates of line-of-sight distortion fields derived from the 95 and 150 GHz data taken by BICEP2, BICEP3, and the Keck Array up to the 2018 observing season, leading to cosmological constraints and a study of instrumental and astrophysical systematics. Cosmological constraints are derived from three of the distortion fields concerning gravitational lensing from large-scale structure, polarization rotation from magnetic fields or an axion-like field, and the screening effect of patchy reionization. We measure an amplitude of the lensing power spectrum A(L)(phi phi) = 0.95 +/- 0.20. We constrain polarization rotation, expressed as the coupling constant of a Chern-Simons electromagnetic term g(a gamma) &lt;= 2. 6 x10(-2)/H-I, where H-I is the inflationary Hubble parameter, and an amplitude of primordial magnetic fields smoothed over 1Mpc B-1Mpc &lt;= 6.6 nG at 95 GHz. We constrain the rms of optical depth fluctuations in a simple crinkly surface model of patchy reionization, finding A(tau) &lt; 0.19 (2 sigma) for the coherence scale of L-c= 100. We show that all of the distortion fields of the 95 and 150 GHz polarization maps are consistent with simulations including lensed Lambda CDM, dust, and noise, with no evidence for instrumental systematics. In some cases, the EB and TB quadratic estimators presented here are more sensitive than our previous map-based null tests at identifying and rejecting spurious B-modes that might arise from instrumental effects. Finally, we verify that the standard deprojection filtering in the BICEP/Keck data processing is effective at removing temperature to polarization leakage.</t>
  </si>
  <si>
    <t>[Ade, P. A. R.; Sudiwala, R. V.; Tucker, C.] Cardiff Univ, Sch Phys &amp; Astron, Cardiff CF24 3AA, Wales; [Ahmed, Z.; Beck, D.; Cukierman, A.; Henderson, S.; Irwin, K. D.; Kuo, C. L.; Ogburn, R. W.; Thompson, K. L.; Wu, W. L. K.; Yoon, K. W.; Young, E.] SLAC Natl Accelerator Lab, Kavli Inst Particle Astrophys &amp; Cosmol, 2575 Sand Hill Rd, Menlo Pk, CA 94025 USA; [Amiri, M.; Fatigoni, S.; Halpern, M.; Wiebe, D. V.] Univ British Columbia, Dept Phys &amp; Astron, Vancouver, BC V6T 1Z1, Canada; [Barkats, D.; Boenish, H.; Connors, J.; Cornelison, J.; Dierickx, M.; Eiben, M.; Goldfinger, D. C.; Grimes, P.; Harrison, S.; Karkare, K. S.; Kovac, J. M.; Petroff, M.; Racine, B.; Richter, S.; Schmitt, B. L.; St Germaine, T.; Verges, C.; Wong, C. L.; Zeng, L.] Harvard &amp; Smithsonian, Ctr Astrophys, Cambridge, MA 02138 USA; [Thakur, R. Basu; Bock, J. J.; Cukierman, A.; Hildebrandt, S. R.; Hui, H.; Kang, J.; Kefeli, S.; Minutolo, L.; Moncelsi, L.; O'Brient, R.; Schillaci, A.; Soliman, A.; Steinbach, B.; Teply, G. P.; Wandui, A.; Zhang, C.; Zhang, S.] CALTECH, Dept Phys, Pasadena, CA 91125 USA; [Bischoff, C. A.; Giannakopoulos, C.; Hand, E.; Palladino, S.; Umilta, C.] Univ Cincinnati, Dept Phys, Cincinnati, OH 45221 USA; [Beck, D.; Cukierman, A.; Goeckner-Wald, N.; Grayson, J.; Halal, G.; Irwin, K. D.; Kang, J.; Karpel, E.; Kernasovskiy, S. A.; Kuo, C. L.; Nakato, Y.; Ogburn, R. W.; Thompson, K. L.; Tolan, J. E.; Yang, H.; Yoon, K. W.; Young, E.; Yu, C.] Stanford Univ, Dept Phys, Stanford, CA 94305 USA; [Bock, J. J.; Hildebrandt, S. R.; Megerian, K. G.; Nguyen, H. T.; O'Brient, R.; Turner, A. D.; Weber, A. C.] Jet Prop Lab, Pasadena, CA 91109 USA; [Bullock, E.; Cheshire, J. R.; Pryke, C.; Singari, B.] Univ Minnesota, Minnesota Inst Astrophys, Minneapolis, MN 55455 USA; [Buza, V.; Karkare, K. S.; Leitch, E. M.; Vieregg, A. G.] Univ Chicago, Kavli Inst Cosmol Phys, Chicago, IL 60637 USA; [Crumrine, M.; Fliescher, S.; Hall, G.; Lau, K.; Pryke, C.; Schwarz, R.; Willmert, J.] Univ Minnesota, Sch Phys &amp; Astron, Minneapolis, MN 55455 USA; [Denison, E. V.; Hubmayr, J.; Irwin, K. D.; Reintsema, C. D.] NIST, Boulder, CO 80305 USA; [Duband, L.; Prouve, T.] Commissariat Energie Atom, Serv Basses Temp, F-38054 Grenoble, France; [Filippini, J. P.; Lennox, A.; Umilta, C.] Univ Illinois, Dept Phys, Urbana, IL 61801 USA; [Filippini, J. P.] Univ Illinois, Dept Astron, Urbana, IL 61801 USA; [Kovac, J. M.; St Germaine, T.; Wong, C. L.] Harvard Univ, Dept Phys, Cambridge, MA 02138 USA; [Namikawa, T.] Univ Tokyo, Kavli Inst Phys &amp; Math Universe WPI, UTIAS, Kashiwa, Chiba 2778583, Japan; [Racine, B.] Aix Marseille Univ, CPPM, CNRS, IN2P3, F-13288 Marseille, France; [Sheehy, C. D.] Brookhaven Natl Lab, Phys Dept, Upton, NY 11973 USA; [Vieregg, A. G.] Univ Chicago, Enr Fermi Inst, Dept Phys, Chicago, IL 60637 USA</t>
  </si>
  <si>
    <t>Cardiff University; Stanford University; United States Department of Energy (DOE); SLAC National Accelerator Laboratory; University of British Columbia; Smithsonian Institution; California Institute of Technology; University System of Ohio; University of Cincinnati; Stanford University; National Aeronautics &amp; Space Administration (NASA); NASA Jet Propulsion Laboratory (JPL); University of Minnesota System; University of Minnesota Twin Cities; University of Chicago; University of Minnesota System; University of Minnesota Twin Cities; National Institute of Standards &amp; Technology (NIST) - USA; CEA; Communaute Universite Grenoble Alpes; Universite Grenoble Alpes (UGA); University of Illinois System; University of Illinois Urbana-Champaign; University of Illinois System; University of Illinois Urbana-Champaign; Harvard University; University of Tokyo; Aix-Marseille Universite; Centre National de la Recherche Scientifique (CNRS); CNRS - National Institute of Nuclear and Particle Physics (IN2P3); United States Department of Energy (DOE); Brookhaven National Laboratory; University of Chicago</t>
  </si>
  <si>
    <t>Yang, H (corresponding author), Stanford Univ, Dept Phys, Stanford, CA 94305 USA.</t>
  </si>
  <si>
    <t>iameric@stanford.edu</t>
  </si>
  <si>
    <t>LI, LI/KCJ-5600-2024; xiao, wei/KCK-6954-2024; Yang, Fan/JMA-9594-2023; Lin, Lin/JTU-1595-2023; Li, Xinyue/JVN-4601-2024; yang, rui/JHI-3328-2023; xu, chen/JNE-5010-2023; yang, li/JGM-1009-2023; Liu, qi/JZT-5038-2024; LI, YUN/JTV-7108-2023; wang, xi/JNT-5162-2023; Zhang, Bo/JVD-9890-2024; Jing, Jing/JSK-6237-2023; liu, feng/KCL-0778-2024; zhang, xiang/JJD-7003-2023; li, mengyang/JWO-9551-2024; Chen, Xiao/KBD-1464-2024; Chen, Chao/JHS-6563-2023; ZHENG, YI/KAM-6536-2024; feng, feng/KBR-1814-2024; wang, wang/JQW-3034-2023; li, rui/JVM-8999-2024; Wang, Zejun/KBB-8454-2024; yang, zhou/KBB-6972-2024; Chen, Shuo/JEO-6350-2023; li, jiaxin/JNT-5073-2023; zhang, xinyu/JKI-8403-2023; Li, jiaqi/JOZ-6395-2023; Liu, Zhe/KEJ-5299-2024; Zhang, yuxuan/JXM-9935-2024; chen, gang/JRX-1197-2023; Liu, Xiong/JWO-1231-2024; sun, huan/JEO-7152-2023</t>
  </si>
  <si>
    <t>Liu, Xiong/0000-0001-9021-3031; Lau, King/0000-0002-6445-2407; Namikawa, Toshiya/0000-0003-3070-9240; Cheshire, James/0000-0002-1630-7854; Dierickx, Marion/0000-0002-3519-8593; Irwin, Kent/0000-0002-2998-9743; Tucker, Carole/0000-0002-1851-3918; Bischoff, Colin/0000-0001-9185-6514; Halal, George/0000-0003-2221-3018; Racine, Benjamin/0000-0001-8861-3052; /0000-0002-5215-6993; Kovac, John/0009-0003-5432-7180</t>
  </si>
  <si>
    <t>National Science Foundation [0742818, 0742592, 1044978, 1110087, 1145172, 1145143, 1145248, 1639040, 1638957, 1638978, 1638970]; Keck Foundation; JPL Research and Technology Development Fund; NASA [06-ARPA206-0040, 10-SAT10-0017, 12-SAT12-0031, 14-SAT14-0009, 16-SAT-16-0002]; Gordon and Betty Moore Foundation at Caltech; Canada Foundation for Innovation; UK STFC [ST/N000706/1]; U.S. DOE Office of Science; FAS Science Division Research Computing Group at Harvard University</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</si>
  <si>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Innovation(Canada Foundation for InnovationCGIARSpanish Government); UK STFC(UK Research &amp; Innovation (UKRI)Science &amp; Technology Facilities Council (STFC)); U.S. DOE Office of Science(United States Department of Energy (DOE)); FAS Science Division Research Computing Group at Harvard University</t>
  </si>
  <si>
    <t>The BICEP/Keck projects have been made possible through a series of grants from the National Science Foundation, including 0742818, 0742592, 1044978, 1110087, 1145172, 1145143, 1145248, 1639040, 1638957, 1638978, and 1638970, and by the Keck Foundation. The development of antenna-coupled detector technology was supported by the JPL Research and Technology Development Fund and NASA grants 06-ARPA206-0040, 10-SAT10-0017, 12-SAT12-0031, 14-SAT14-0009, and 16-SAT-16-0002. The development and testing of focal planes was supported by the Gordon and Betty Moore Foundation at Caltech. Readout electronics were supported by a Canada Foundation for Innovation grant to UBC. Support for quasi-optical filtering was provided by UK STFC grant ST/N000706/1. The computations in this paper were run on the Odyssey/Cannon cluster supported by the FAS Science Division Research Computing Group at Harvard University. The analysis effort at Stanford and SLAC is partially supported by the U.S. DOE Office of Science. We thank the staff of the U.S. Antarctic Program, in particular the South Pole Station, without whose help this research would not have been possible. Most special thanks go to our heroic winter-overs Robert Schwarz, Steffen Richter, Sam Harrison, Grantland Hall, and Hans Boenish. We thank all of those who have contributed past efforts to the BICEP/Keck series of experiments, including the BICEP1 team. We also thank the Planck and WMAP teams for the use of their data and are grateful to the Planck team for helpful discussions.</t>
  </si>
  <si>
    <t>0004-637X</t>
  </si>
  <si>
    <t>1538-4357</t>
  </si>
  <si>
    <t>ASTROPHYS J</t>
  </si>
  <si>
    <t>Astrophys. J.</t>
  </si>
  <si>
    <t>10.3847/1538-4357/acc85c</t>
  </si>
  <si>
    <t>H3OF4</t>
  </si>
  <si>
    <t>gold, Green Submitted, Green Accepted</t>
  </si>
  <si>
    <t>WOS:000995086500001</t>
  </si>
  <si>
    <t>Varma, D; Hättig, K; van der Meer, MTJ; Reichart, GJ; Schouten, S</t>
  </si>
  <si>
    <t>Varma, Devika; Hättig, Katrin; van der Meer, Marcel T. J.; Reichart, Gert-Jan; Schouten, Stefan</t>
  </si>
  <si>
    <t>Constraining Water Depth Influence on Organic Paleotemperature Proxies Using Sedimentary Archives</t>
  </si>
  <si>
    <t>ISOPRENOID TETRAETHER LIPIDS; SEA-SURFACE TEMPERATURES; AMMONIA-OXIDIZING ARCHAEA; EASTERN SOUTH ATLANTIC; INTACT POLAR LIPIDS; ALKENONE PRODUCTION; MEMBRANE-LIPIDS; EARLY EOCENE; NITROSOPUMILUS-MARITIMUS; OCEAN TEMPERATURES</t>
  </si>
  <si>
    <t>The TEX86 paleothermometer has been extensively used to reconstruct past sea water temperatures, but it remains unclear which export depths the proxy represents. Here we used a novel approach to better constrain the proxy recording depths by investigating paleotemperature proxies (TEX86, U-37(K'), RI-OH and RI-OH') from two pairs of proximal (&lt;12 km apart) cores from Chilean and Angola margins, respectively. These cores are from steep continental slopes and lower shelves, which leads to a substantial difference in water depth between them despite being closely located. Surprisingly, the deep and the shallow U-37(K') records at the Chilean margin show dissimilarities, in contrast to the similar records from the Angola margin, which may be due to post-depositional alteration at the former sites. In contrast, the TEX86 records were statistically indistinguishable between the sites at both the locations, even though the GDGT [2]/[3] ratio suggests GDGTs derived from potentially different archaeal communities residing at different depths. A short-lived difference between the TEX86 records is observed during the last glacial period at the Angola margin, possibly due to a contribution of Antarctic Intermediate Waters to the deep site. Modelling suggests that the TEX86 source signal at our core sites reaches its peak abundance at water depths shallower than 350 m. The RI-OH and RI-OH' records show similar variability as the TEX86 records, although regional differences in their absolute temperature estimates exist. Our approach using proximal sediment cores at steep slopes appears useful to constrain the export depth of organic proxy signals for paleo-reconstructions.</t>
  </si>
  <si>
    <t>[Varma, Devika; Hättig, Katrin; van der Meer, Marcel T. J.; Schouten, Stefan] NIOZ Royal Netherlands Inst Sea Res, Dept Marine Microbiol &amp; Biogeochem, Texel, Netherlands; [Reichart, Gert-Jan; Schouten, Stefan] Univ Utrecht, Fac Geosci, Dept Earth Sci, Utrecht, Netherlands; [Reichart, Gert-Jan] NIOZ Royal Netherlands Inst Sea Res, Dept Ocean Syst, Texel, Netherlands</t>
  </si>
  <si>
    <t>Utrecht University; Royal Netherlands Institute for Sea Research (NIOZ); Utrecht University; Utrecht University; Royal Netherlands Institute for Sea Research (NIOZ)</t>
  </si>
  <si>
    <t>Varma, D (corresponding author), NIOZ Royal Netherlands Inst Sea Res, Dept Marine Microbiol &amp; Biogeochem, Texel, Netherlands.</t>
  </si>
  <si>
    <t>devika.varma@nioz.nl</t>
  </si>
  <si>
    <t>van der Meer, Marcel/L-3450-2013; Reichart, Gert-Jan/N-6308-2018</t>
  </si>
  <si>
    <t>van der Meer, Marcel/0000-0001-6454-1752; Hattig, Katrin/0000-0001-7701-6180; Varma, Devika/0000-0001-9707-6690; Reichart, Gert-Jan/0000-0002-7256-2243</t>
  </si>
  <si>
    <t>European Union's Horizon 2020 research and innovation programme under the Marie Sklodowska-Curie; [847504]</t>
  </si>
  <si>
    <t>European Union's Horizon 2020 research and innovation programme under the Marie Sklodowska-Curie(Marie Curie Actions);</t>
  </si>
  <si>
    <t>This research used samples and data provided by the International Ocean Discovery Program (IODP). We thank Holger Kuhlmann from Bremen ODP Core Repository for providing samples from Site 1078 and 1079 and Michelle Penkrot from Gulf Coast Repository for samples from Site 1235. Marijke de Bar is thanked for the results from Site 1234. Anchelique Mets, Monique Verweij, Denise Dorhout and Ellen Hopmans are thanked for analytical support. Thanks to MICADAS radiocarbon laboratory at Alfred Wegener Institute (AWI), Bremerhaven, for radiocarbon analysis. We thank the three anonymous reviewers for their constructive comments. This work was carried out under the umbrella of the Netherlands Earth System Science Centre (NESSC). This project has received funding from the European Union's Horizon 2020 research and innovation programme under the Marie Sklodowska-Curie, grant agreement No 847504.</t>
  </si>
  <si>
    <t>e2022PA004533</t>
  </si>
  <si>
    <t>10.1029/2022PA004533</t>
  </si>
  <si>
    <t>I8PU1</t>
  </si>
  <si>
    <t>WOS:001005357100001</t>
  </si>
  <si>
    <t>Scholl, CL; Holmstrup, M; Graham, LA; Davies, PL</t>
  </si>
  <si>
    <t>Scholl, Connor L.; Holmstrup, Martin; Graham, Laurie A.; Davies, Peter L.</t>
  </si>
  <si>
    <t>Polyproline type II helical antifreeze proteins are widespread in Collembola and likely originated over 400 million years ago in the Ordovician Period</t>
  </si>
  <si>
    <t>ICE-BINDING PROTEINS; ANTARCTIC SPRINGTAIL; FREEZING RESISTANCE; THERMAL-HYSTERESIS; CRYSTAL-STRUCTURE; COLD-HARDINESS; GENE; CLIMATE; TEMPERATURE; PHYLOGENY</t>
  </si>
  <si>
    <t>Antifreeze proteins (AFPs) bind to ice crystals to prevent organisms from freezing. A diversity of AFP folds has been found in fish and insects, including alpha helices, globular proteins, and several different beta solenoids. But the variety of AFPs in flightless arthropods, like Collembola, has not yet been adequately assessed. Here, antifreeze activity was shown to be present in 18 of the 22 species of Collembola from cold or temperate zones. Several methods were used to characterize these AFPs, including isolation by ice affinity purification, MALDI mass spectrometry, amino acid composition analysis, tandem mass spectrometry sequencing, transcriptome sequencing, and bioinformatic investigations of sequence databases. All of these AFPs had a high glycine content and were predicted to have the same polyproline type II helical bundle fold, a fold unique to Collembola. These Hexapods arose in the Ordovician Period with the two orders known to produce AFPs diverging around 400 million years ago during the Andean-Saharan Ice Age. Therefore, it is likely that the AFP arose then and persisted in many lineages through the following two ice ages and intervening warm periods, unlike the AFPs of fish which arose independently during the Cenozoic Ice Age beginning similar to 30 million years ago.</t>
  </si>
  <si>
    <t>[Scholl, Connor L.; Graham, Laurie A.; Davies, Peter L.] Queens Univ, Dept Biomed &amp; Mol Sci, 18 Stuart St, Kingston, ON K7L3N6, Canada; [Holmstrup, Martin] Aarhus Univ, Dept Ecosci, Sect Terr Ecol, CF Mollers Alle 4, DK-8000 Aarhus C, Denmark; [Holmstrup, Martin] Aarhus Univ, Arctic Res Ctr, Ny Munkegade 114, DK-8000 Aarhus C, Denmark</t>
  </si>
  <si>
    <t>Queens University - Canada; Aarhus University; Aarhus University</t>
  </si>
  <si>
    <t>Davies, PL (corresponding author), Queens Univ, Dept Biomed &amp; Mol Sci, 18 Stuart St, Kingston, ON K7L3N6, Canada.</t>
  </si>
  <si>
    <t>peter.davies@queensu.ca</t>
  </si>
  <si>
    <t>Holmstrup, Martin/I-7463-2013</t>
  </si>
  <si>
    <t>Holmstrup, Martin/0000-0001-8395-6582</t>
  </si>
  <si>
    <t>CIHR Foundation [FRN 148422]; Canada Research Chair in Protein Engineering; Det Frie Forskningsrad [1026-00055B]</t>
  </si>
  <si>
    <t>CIHR Foundation(Canadian Institutes of Health Research (CIHR)); Canada Research Chair in Protein Engineering(Canada Research Chairs); Det Frie Forskningsrad(Det Frie Forskningsrad (DFF))</t>
  </si>
  <si>
    <t>We thank David McLeod of the Protein Function Discovery facility at Queen's University for MALDI analysis of AFPs. We are grateful to Marie Boddington for preliminary analysis of Megaphorura arctica and Folsomia candida AFPs, to David Denlinger for the collection of Cryptopygus antarcticus, and to Matty Berg for the collection of Isotoma riparia. This work was supported by CIHR Foundation Grant FRN 148422 to PLD and Det Frie Forskningsrad Grant 1026-00055B to MH. PLD holds the Canada Research Chair in Protein Engineering. The funders had no role in study design, data collection/analysis/ interpretation, report writing, or submission of the article for publication.</t>
  </si>
  <si>
    <t>10.1038/s41598-023-35983-y</t>
  </si>
  <si>
    <t>I1KF6</t>
  </si>
  <si>
    <t>WOS:001000430300018</t>
  </si>
  <si>
    <t>Berends, CJ; Stap, LB; van de Wal, RSW</t>
  </si>
  <si>
    <t>Berends, Constantijn J.; Stap, Lennert B.; van de Wal, Roderik S. W.</t>
  </si>
  <si>
    <t>Strong impact of sub-shelf melt parameterisation on ice-sheet retreat in idealised and realistic Antarctic topography</t>
  </si>
  <si>
    <t>Ice; ocean interactions; ice-sheet modelling; melt; basal</t>
  </si>
  <si>
    <t>MODEL INTERCOMPARISON PROJECT; GROUNDING LINE; SENSITIVITY; GLACIER; PARAMETERISATIONS; REPRESENTATION; RATES</t>
  </si>
  <si>
    <t>Future projections of sea-level rise under strong warming scenarios are dominated by mass loss in the marine-grounded sectors of West Antarctica, where thinning shelves as a result of warming oceans can lead to reduced buttressing. This consequently leads to accelerated flow from the upstream grounded ice. However, the relation between warming oceans and increased melt rates under the shelves is very uncertain, especially when interactions with the changing shelf geometry are considered. Here, we compare six widely used, highly parameterised formulations relating sub-shelf melt to thermal forcing. We implemented them in an ice-sheet model, and applied the resulting set-up to an idealised-geometry setting, as well as to the Antarctic ice sheet. In our simulations, the differences in modelled ice-sheet evolution resulting from the choice of parameterisation, as well as the choice of numerical scheme used to apply sub-shelf melt near the grounding line, generally are larger than differences from ice-dynamical processes such as basal sliding, as well as uncertainties from the forcing scenario of the model providing the ocean forcing. This holds for the idealised-geometry experiments as well as for the experiments using a realistic Antarctic topography.</t>
  </si>
  <si>
    <t>[Berends, Constantijn J.; Stap, Lennert B.; van de Wal, Roderik S. W.] Univ Utrecht, Inst Marine &amp; Atmospher Res Utrecht, Utrecht, Netherlands; [van de Wal, Roderik S. W.] Univ Utrecht, Fac Geosci, Dept Phys Geog, Utrecht, Netherlands</t>
  </si>
  <si>
    <t>Utrecht University; Utrecht University</t>
  </si>
  <si>
    <t>Berends, CJ (corresponding author), Univ Utrecht, Inst Marine &amp; Atmospher Res Utrecht, Utrecht, Netherlands.</t>
  </si>
  <si>
    <t>c.j.berends@uu.nl</t>
  </si>
  <si>
    <t>van de wal, roderik/D-1705-2011</t>
  </si>
  <si>
    <t>van de wal, roderik/0000-0003-2543-3892; Stap, Lennert/0000-0002-2108-3533; Berends, Tijn/0000-0002-2961-0350</t>
  </si>
  <si>
    <t>PII S0022143023000333</t>
  </si>
  <si>
    <t>10.1017/jog.2023.33</t>
  </si>
  <si>
    <t>W0BH9</t>
  </si>
  <si>
    <t>WOS:001006035400001</t>
  </si>
  <si>
    <t>Meredith, NP; Cayton, TE; Cayton, MD; Horne, RB</t>
  </si>
  <si>
    <t>Meredith, Nigel P.; Cayton, Thomas E.; Cayton, Michael D.; Horne, Richard B.</t>
  </si>
  <si>
    <t>Extreme Relativistic Electron Fluxes in GPS Orbit: Analysis of NS41 BDD-IIR Data</t>
  </si>
  <si>
    <t>extreme space weather; relativistic electrons; medium Earth orbit; extreme value analysis</t>
  </si>
  <si>
    <t>ACCELERATION; BELT; LOSSES; STORMS; PHASE</t>
  </si>
  <si>
    <t>Relativistic electrons in the Earth's outer radiation belt are a significant space weather hazard. Satellites in GPS-type orbits pass through the heart of the outer radiation belt where they may be exposed to large fluxes of relativistic electrons. In this study we conduct an extreme value analysis of the daily average relativistic electron flux in Global Positioning System orbit as a function of energy and L using data from the US NS41 satellite from 10 December 2000 to 25 July 2020. The 1 in 10 year flux at L = 4.5, in the heart of the outer radiation belt, decreases with increasing energy ranging from 8.2 x 10(6) cm(-2)s(-1)sr(-1) MeV-1 at E = 0.6 MeV to 33 cm(-2)s(-1)sr(-1) MeV-1 at E = 8.0 MeV. The 1 in 100 year is a factor of 1.1-1.7 larger than the corresponding 1 in 10 year event. The 1 in 10 year flux at L = 6.5, on field lines which map to the vicinity of geostationary orbit, decrease with increasing energy ranging from 6.2 x 10(5) cm(-2)s(-1)sr(-1) MeV-1 at E = 0.6 MeV to 0.48 cm(-2)s(-1)sr(-1) MeV-1 at E = 8.0 MeV. Here, the 1 in 100 year event is a factor of 1.1-13 times larger than the corresponding 1 in 10 year event, with the value of the factor increasing with increasing energy. Our analysis suggests that the fluxes of relativistic electrons with energies in the range 0.6 = E = 2.0 MeV in the region 4.25 = L = 4.75 have an upper bound. In contrast, further out and at higher energies the fluxes of relativistic electrons are largely unbounded.</t>
  </si>
  <si>
    <t>[Meredith, Nigel P.; Horne, Richard B.] NERC, British Antarctic Survey, Cambridge, England</t>
  </si>
  <si>
    <t>Meredith, NP (corresponding author), NERC, British Antarctic Survey, Cambridge, England.</t>
  </si>
  <si>
    <t>nmer@bas.ac.uk</t>
  </si>
  <si>
    <t>Horne, Richard/0000-0002-0412-6407</t>
  </si>
  <si>
    <t>Natural Environment Research Council [NE/V00249X/1, NE/R016038/1]</t>
  </si>
  <si>
    <t>Natural Environment Research Council(UK Research &amp; Innovation (UKRI)Natural Environment Research Council (NERC))</t>
  </si>
  <si>
    <t>We would like to acknowledge the skill and attention to detail of Timothy J. Wehner that enabled these measurements at Medium Earth Orbit. We acknowledge Los Alamos National Laboratory for generating the BDD-IIR data products used in this study, and the National Oceanic and Atmospheric Administration's archive of the data files themselves. The research leading to these results has received funding from the Natural Environment Research Council Grants NE/V00249X/1 (Sat-Risk) and NE/R016038/1.</t>
  </si>
  <si>
    <t>e2023SW003436</t>
  </si>
  <si>
    <t>10.1029/2023SW003436</t>
  </si>
  <si>
    <t>I6NX2</t>
  </si>
  <si>
    <t>WOS:001003942500001</t>
  </si>
  <si>
    <t>van der Meer, M; Husman, SD; Lhermitte, S</t>
  </si>
  <si>
    <t>van der Meer, Marijn; de Roda Husman, Sophie; Lhermitte, Stef</t>
  </si>
  <si>
    <t>Deep Learning Regional Climate Model Emulators: A Comparison of Two Downscaling Training Frameworks</t>
  </si>
  <si>
    <t>machine learning; RCM-emulator; GCM downscaling; Antarctica</t>
  </si>
  <si>
    <t>SURFACE MASS-BALANCE; EARTH SYSTEM MODEL; PRECIPITATION; ERRORS; CMIP5; MELT</t>
  </si>
  <si>
    <t>Regional climate models (RCMs) have a high computational cost due to their higher spatial resolution compared to global climate models (GCMs). Therefore, various downscaling approaches have been developed as a surrogate for the dynamical downscaling of GCMs. This study assesses the potential of using a cost-efficient machine learning alternative to dynamical downscaling by using the example case study of emulating surface mass balance (SMB) over the Antarctic Peninsula. More specifically, we determine the impact of the training framework by comparing two training scenarios: (a) a perfect and (b) an imperfect model framework. In the perfect model framework, the RCM-emulator learns only the downscaling function; therefore, it was trained with upscaled RCM (UPRCM) features at GCM resolution. This emulator accurately reproduced SMB when evaluated on UPRCM, but its predictions on GCM data conserved RCM-GCM inconsistencies and led to underestimation. In the imperfect model framework, the RCM-emulator was trained with GCM features and downscaled the GCM while exposed to RCM-GCM inconsistencies. This emulator predicted SMB close to the truth, showing it learned the underlying inconsistencies and dynamics. Our results suggest that a deep learning RCM-emulator can learn the proper GCM to RCM downscaling function while working directly with GCM data. Furthermore, the RCM-emulator presents a significant computational gain compared to an RCM simulation. We conclude that machine learning emulators can be applied to produce fast and fine-scaled predictions of RCM simulations from GCM data.</t>
  </si>
  <si>
    <t>[van der Meer, Marijn] Swiss Fed Inst Technol, Lab Hydraul Hydrol &amp; Glaciol VAW, Zurich, Switzerland; [van der Meer, Marijn] Swiss Fed Inst Forest Snow &amp; Landscape Res WSL, Birmensdorf, Switzerland; [van der Meer, Marijn; de Roda Husman, Sophie; Lhermitte, Stef] Delft Univ Technol, Dept Geosci &amp; Remote Sensing, Delft, Netherlands; [Lhermitte, Stef] Katholieke Univ Leuven, Dept Earth &amp; Environm Sci, Leuven, Belgium</t>
  </si>
  <si>
    <t>Swiss Federal Institutes of Technology Domain; ETH Zurich; Swiss Federal Institutes of Technology Domain; Swiss Federal Institute for Forest, Snow &amp; Landscape Research; Delft University of Technology; KU Leuven</t>
  </si>
  <si>
    <t>van der Meer, M (corresponding author), Swiss Fed Inst Technol, Lab Hydraul Hydrol &amp; Glaciol VAW, Zurich, Switzerland.;van der Meer, M (corresponding author), Swiss Fed Inst Forest Snow &amp; Landscape Res WSL, Birmensdorf, Switzerland.;van der Meer, M (corresponding author), Delft Univ Technol, Dept Geosci &amp; Remote Sensing, Delft, Netherlands.</t>
  </si>
  <si>
    <t>vandermeer@vaw.baug.ethz.ch</t>
  </si>
  <si>
    <t>Lhermitte, Stef (Stefaan)/A-3385-2013</t>
  </si>
  <si>
    <t>Lhermitte, Stef (Stefaan)/0000-0002-1622-0177; van der Meer, Marijn/0000-0002-7604-4494; de Roda Husman, Sophie/0000-0001-8830-9894</t>
  </si>
  <si>
    <t>Nederlandse Organisatie voor Wetenschappelijk Onderzoek (NWO) [OCENW.GROOT.2019.091]; [ACCESS1.3]</t>
  </si>
  <si>
    <t>Nederlandse Organisatie voor Wetenschappelijk Onderzoek (NWO)(Netherlands Organization for Scientific Research (NWO));</t>
  </si>
  <si>
    <t>We want to express our special thanks to Christoph Kittel for providing us with the MAR(ACCESS1.3) RCM data set and for his support. Likewise, we would like to thank Antoine Doury et~al.'s team for providing information about their near-surface temperature emulator. Finally, we would also like to thank Prof. Daniel Farinotti and Harry Zekollari for proofreading the manuscript and for their constructive feedback. This manuscript resulted from MSc thesis research by Marijn van der Meer at TUDelft/EPFL, supervised by Sophie de Roda Husman, Stef Lhermitte, and Martin Jaggi. Sophie de Roda Husman and Stef Lhermitte received support from the Nederlandse Organisatie voor Wetenschappelijk Onderzoek (NWO) under Grant OCENW.GROOT.2019.091.</t>
  </si>
  <si>
    <t>e2022MS003593</t>
  </si>
  <si>
    <t>10.1029/2022MS003593</t>
  </si>
  <si>
    <t>I1OP1</t>
  </si>
  <si>
    <t>WOS:001000548800001</t>
  </si>
  <si>
    <t>Kim, M; Lee, JI; Bak, YS; Hillenbrand, CD; Yang, EJ; Montluçon, DB; Haghipour, N; Eglinton, TI; Hwang, J</t>
  </si>
  <si>
    <t>Kim, Minkyoung; Lee, Jae Il; Bak, Young-Suk; Hillenbrand, Claus-Dieter; Yang, Eun Jin; Montlucon, Daniel B.; Haghipour, Negar; Eglinton, Timothy I.; Hwang, Jeomshik</t>
  </si>
  <si>
    <t>Holocene Palaeoenvironmental and Palaeoproductivity Changes in the Western Amundsen Sea Embayment of Antarctica</t>
  </si>
  <si>
    <t>PINE ISLAND GLACIER; SINKING PARTICLE-FLUX; ICE-SHEET RETREAT; SHELF; HISTORY; CLIMATE; AGE; PENINSULA; SEDIMENTS; MARINE</t>
  </si>
  <si>
    <t>The Amundsen Polynya (AP) on the inner and middle continental shelf of the western Amundsen Sea Embayment is the fourth largest coastal polynya around Antarctica. The AP is highly productive when it opens in austral summer, with similar to 20 times greater organic carbon accumulation rates over the last few thousand years compared to those at nearby shelf sites with more persistent seasonal sea-ice cover. We examined sedimentary records at a site from the AP and another site from the outer shelf to investigate temporal variations in the depositional environment with a special focus on the timing of the AP opening since the deglaciation following the Last Glacial Maximum (LGM; ca. 23-19 cal. ka BP). In the AP region, sedimentological and biogeochemical proxy data reveal a transition from a sub-glacial to a sub-ice shelf and then seasonally open marine conditions comparable to those at present. Total organic carbon contents and diatom valve abundances during the seasonally open marine period imply that the polynya environments was reached at ca. 9.2 cal. ka BP. Since the post-LGM deglaciation, diatom productivity and assemblages in the AP region appear to have varied in association with the variation in the physical environment. Compared to the AP site, only small amounts of organic carbon accumulated on the outer shelf. Differences in the depositional environments and productivity modes between the inner and outer shelf sites have persisted since ca. 10.5 cal. ka BP.</t>
  </si>
  <si>
    <t>[Kim, Minkyoung] Kyungpook Natl Univ, Coll Nat Sci, Sch Earth Syst Sci, Daegu, South Korea; [Kim, Minkyoung; Montlucon, Daniel B.; Haghipour, Negar; Eglinton, Timothy I.] Swiss Fed Inst Technol Zurich ETHZ, Geol Inst, Zurich, Switzerland; [Kim, Minkyoung; Hwang, Jeomshik] Seoul Natl Univ, Res Inst Oceanog, Sch Earth &amp; Environm Sci, Seoul, South Korea; [Lee, Jae Il; Yang, Eun Jin] Korea Polar Res Inst, Incheon, South Korea; [Bak, Young-Suk] Jeonbuk Natl Univ, Jeonju, South Korea; [Hillenbrand, Claus-Dieter] British Antarctic Survey, Cambridge, England; [Haghipour, Negar] ETHZ, Lab Ion Beam Phys, Zurich, Switzerland</t>
  </si>
  <si>
    <t>Kyungpook National University; Swiss Federal Institutes of Technology Domain; ETH Zurich; Seoul National University (SNU); Korea Polar Research Institute (KOPRI); Jeonbuk National University; UK Research &amp; Innovation (UKRI); Natural Environment Research Council (NERC); NERC British Antarctic Survey; Swiss Federal Institutes of Technology Domain; ETH Zurich</t>
  </si>
  <si>
    <t>Hwang, J (corresponding author), Seoul Natl Univ, Res Inst Oceanog, Sch Earth &amp; Environm Sci, Seoul, South Korea.</t>
  </si>
  <si>
    <t>jeomshik@snu.ac.kr</t>
  </si>
  <si>
    <t>Haghipour, Negar/K-9683-2017</t>
  </si>
  <si>
    <t>Kim, Minkyoung/0000-0003-2308-2814; Yang, Eun Jin/0000-0002-8639-5968; Hwang, Jeomshik/0000-0002-0834-0224</t>
  </si>
  <si>
    <t>NASA/HQ; Korea Polar Research Institute [KOPRI PE23900]; Ministry of Oceans and Fisheries; Ministry of Oceans and Fisheries, Basic Science Research Program through the National Research Foundation of Korea (NRF) [2022R1C1C1002824, 2017K1A3A1A14092122]; Natural by the National Research Foundation of Korea (NRF) - Korea government (MSIT) [2022R1A2C1091796]; Natural Environment Research Council (NERC), UK</t>
  </si>
  <si>
    <t>NASA/HQ; Korea Polar Research Institute(Korea Polar Research Institute of Marine Research Placement (KOPRI)); Ministry of Oceans and Fisheries; Ministry of Oceans and Fisheries, Basic Science Research Program through the National Research Foundation of Korea (NRF); Natural by the National Research Foundation of Korea (NRF) - Korea government (MSIT); Natural Environment Research Council (NERC), UK(UK Research &amp; Innovation (UKRI)Natural Environment Research Council (NERC))</t>
  </si>
  <si>
    <t>We thank Heung Soo Moon for the gravity core sampling and the captain and crew of the IBRV Araon for the help at sea. We also thank the staff at the Laboratory for Ion Beam Physics at ETH Zuerich for the carbon isotope analysis. This study used rapid response imagery from the Land, Atmosphere Near real-time Capability for EOS (LANCE) system, operated by the NASA's GSFC Earth Science Data and Information System (ESDIS), with funding provided by NASA/HQ. This research was supported by the Korea Polar Research Institute (KOPRI PE23090) grant funded by the Ministry of Oceans and Fisheries. MK was partly supported by Korea Polar Research Institute (KOPRI PE23900) grant funded by the Ministry of Oceans and Fisheries, Basic Science Research Program through the National Research Foundation of Korea (NRF) funded by the Ministry of Science and ICT (2022R1C1C1002824) and the Young Researcher's Exchange Program between Korea and Switzerland (2017K1A3A1A14092122). YSB is funded by the Natural by the National Research Foundation of Korea (NRF) grant funded by the Korea government (MSIT) (No. 2022R1A2C1091796). CDH is funded by the Natural Environment Research Council (NERC), UK.</t>
  </si>
  <si>
    <t>e2023JC019797</t>
  </si>
  <si>
    <t>10.1029/2023JC019797</t>
  </si>
  <si>
    <t>H9IH7</t>
  </si>
  <si>
    <t>WOS:000999007800001</t>
  </si>
  <si>
    <t>Walden, L; Serrano, O; Zhang, MX; Shen, ZF; Sippo, JZ; Bennett, LT; Maher, DT; Lovelock, CE; Macreadie, PI; Gorham, C; Lafratta, A; Lavery, PS; Mosley, L; Reithmaier, GMS; Kelleway, JJ; Dittmann, S; Adame, F; Duarte, CM; Gallagher, JB; Waryszak, P; Carnell, P; Kasel, S; Hinko-Najera, N; Hassan, R; Goddard, M; Jones, AR; Rossel, RVA</t>
  </si>
  <si>
    <t>Walden, Lewis; Serrano, Oscar; Zhang, Mingxi; Shen, Zefang; Sippo, James Z.; Bennett, Lauren T.; Maher, Damien T.; Lovelock, Catherine E.; Macreadie, Peter I.; Gorham, Connor; Lafratta, Anna; Lavery, Paul S.; Mosley, Luke; Reithmaier, Gloria M. S.; Kelleway, Jeffrey J.; Dittmann, Sabine; Adame, Fernanda; Duarte, Carlos M.; Gallagher, John Barry; Waryszak, Pawel; Carnell, Paul; Kasel, Sabine; Hinko-Najera, Nina; Hassan, Rakib; Goddard, Madeline; Jones, Alice R.; Viscarra Rossel, Raphael A.</t>
  </si>
  <si>
    <t>Multi-scale mapping of Australia's terrestrial and blue carbon stocks and their continental and bioregional drivers</t>
  </si>
  <si>
    <t>SOIL ORGANIC-CARBON; CLIMATE-CHANGE; IMPACTS; MATTER; ACCUMULATION; PATTERNS; NITROGEN; STORAGE; LOSSES; FOREST</t>
  </si>
  <si>
    <t>Multi-scale spatial machine learning of soil carbon stocks in Australia's terrestrial and coastal marine ecosystems reveals eight bio-regions and their underlying subregional drivers that can help inform strategies for conservation and climate change mitigation. The soil in terrestrial and coastal blue carbon ecosystems is an important carbon sink. National carbon inventories require accurate assessments of soil carbon in these ecosystems to aid conservation, preservation, and nature-based climate change mitigation strategies. Here we harmonise measurements from Australia's terrestrial and blue carbon ecosystems and apply multi-scale machine learning to derive spatially explicit estimates of soil carbon stocks and the environmental drivers of variation. We find that climate and vegetation are the primary drivers of variation at the continental scale, while ecosystem type, terrain, clay content, mineralogy and nutrients drive subregional variations. We estimate that in the top 0-30 cm soil layer, terrestrial ecosystems hold 27.6 Gt (19.6-39.0 Gt), and blue carbon ecosystems 0.35 Gt (0.20-0.62 Gt). Tall open eucalypt and mangrove forests have the largest soil carbon content by area, while eucalypt woodlands and hummock grasslands have the largest total carbon stock due to the vast areas they occupy. Our findings suggest these are essential ecosystems for conservation, preservation, emissions avoidance, and climate change mitigation because of the additional co-benefits they provide.</t>
  </si>
  <si>
    <t>[Walden, Lewis; Zhang, Mingxi; Shen, Zefang; Viscarra Rossel, Raphael A.] Curtin Univ, Fac Sci &amp; Engn, Sch Mol &amp; Life Sci, Soil &amp; Landscape Sci, Perth, Australia; [Serrano, Oscar] CSIC, Ctr Estudios Avanzados Blanes, Blanes, Spain; [Serrano, Oscar; Gorham, Connor; Lafratta, Anna; Lavery, Paul S.] Edith Cowan Univ, Sch Sci &amp; Ctr Marine Ecosyst Res, Joondalup, Australia; [Sippo, James Z.; Maher, Damien T.] Southern Cross Univ, Fac Sci &amp; Engn, Lismore, Australia; [Bennett, Lauren T.; Kasel, Sabine; Hinko-Najera, Nina] Univ Melbourne, Sch Ecosyst &amp; Forest Sci, Melbourne, Australia; [Lovelock, Catherine E.] Univ Queensland, Sch Biol Sci, Brisbane, Australia; [Macreadie, Peter I.; Waryszak, Pawel; Carnell, Paul] Deakin Univ, Ctr Integrat Ecol, Sch Life &amp; Environm Sci, Waurn Ponds, Australia; [Mosley, Luke] Univ Adelaide, Sch Agr Food &amp; Wine, Urrbrae, Australia; [Reithmaier, Gloria M. S.] Univ Gothenburg, Dept Marine Sci, Gothenburg, Sweden; [Kelleway, Jeffrey J.] Univ Wollongong, Sch Atmospher &amp; Life Sci, Wollongong, Australia; [Kelleway, Jeffrey J.] Univ Wollongong, Environm Futures Res Ctr, Wollongong, Australia; Flinders Univ S Australia, Coll Sci &amp; Engn, Adelaide, Australia; Griffith Univ, Australian Rivers Inst, Ctr Marine &amp; Coastal Res, Southport, Australia; King Abdullah Univ Sci &amp; Technol, Red Sea Res Ctr, Thuwal, Saudi Arabia; [Duarte, Carlos M.] King Abdullah Univ Sci &amp; Technol, Computat Biosci Res Ctr, Thuwal, Saudi Arabia; Univ Tasmania, Inst Marine &amp; Antarctic Studies, Hobart, Tas, Australia; Curtin Univ, Curtin Inst Computat, Perth, Australia; Geosci Australia, Canberra, Australia; Charles Darwin Univ, Res Inst Environm &amp; Livelihoods, Darwin, Australia; Univ Adelaide, Sch Biol Sci, Adelaide, Australia; [Jones, Alice R.] Univ Adelaide, Environm Inst, Adelaide, Australia</t>
  </si>
  <si>
    <t>Curtin University; Consejo Superior de Investigaciones Cientificas (CSIC); CSIC - Centre d'Estudis Avancats de Blanes (CEAB); Edith Cowan University; Southern Cross University; University of Melbourne; University of Queensland; Deakin University; University of Adelaide; University of Gothenburg; University of Wollongong; University of Wollongong; Flinders University South Australia; Griffith University; Griffith University - Gold Coast Campus; King Abdullah University of Science &amp; Technology; King Abdullah University of Science &amp; Technology; University of Tasmania; Curtin University; Charles Darwin University; University of Adelaide; University of Adelaide</t>
  </si>
  <si>
    <t>Rossel, RVA (corresponding author), Curtin Univ, Fac Sci &amp; Engn, Sch Mol &amp; Life Sci, Soil &amp; Landscape Sci, Perth, Australia.</t>
  </si>
  <si>
    <t>r.viscarra-rossel@curtin.edu.au</t>
  </si>
  <si>
    <t>Gallagher, John/JVP-1711-2024; Reithmaier, Gloria Maria Susanne/JPL-7103-2023; Duarte Quesada, Carlos Manuel/ABD-6208-2021; Lovelock, Catherine E./AAF-7294-2020; Maher, Damien/E-3443-2012; Shen, Zefang/ACD-0834-2022; Bennett, Lauren/AGO-0700-2022; Duarte, Carlos M./A-7670-2013</t>
  </si>
  <si>
    <t>Reithmaier, Gloria Maria Susanne/0000-0002-9220-3651; Lovelock, Catherine E./0000-0002-2219-6855; Maher, Damien/0000-0003-1899-005X; Shen, Zefang/0000-0003-4826-4892; Bennett, Lauren/0000-0003-2472-062X; Duarte, Carlos M./0000-0002-1213-1361; Kelleway, Jeffrey/0000-0002-5145-9466; Serrano Gras, Oscar/0000-0002-5973-0046; Sippo, James Z/0000-0001-6622-3280; Walden, Lewis/0000-0001-9714-3603</t>
  </si>
  <si>
    <t>Australian Government [ACSRIV000077]; I+D+i projects [RYC2019-027073-I]; Australian Government's National Collaborative Research Infrastructure Strategy (NCRIS); Government of Western Australia; MCIN/AEI [PIE HOLOCENO 20213AT014]; [FEDER20213AT014]</t>
  </si>
  <si>
    <t>Australian Government(Australian Government); I+D+i projects; Australian Government's National Collaborative Research Infrastructure Strategy (NCRIS)(Australian GovernmentDepartment of Industry, Innovation and Science); Government of Western Australia; MCIN/AEI;</t>
  </si>
  <si>
    <t>R.A.V.R., L.W., Z.S., and O.S. thank the Australian Government for funding this research via grant ACSRIV000077. O.S. thanks the additional support of I+D+i projects RYC2019-027073-I and PIE HOLOCENO 20213AT014 funded by MCIN/AEI/10.13039/501100011033 and FEDER20213AT014. We thank contributions from Dr. Andy Stevens, Lindsay Hutley, and the many colleagues who contributed to the collection of soil samples and data used in this research. This work is supported by the use of (i) Terrestrial Ecosystem Research Network (TERN) infrastructure, which is enabled by the Australian Government's National Collaborative Research Infrastructure Strategy (NCRIS) and (ii) computational resources in the Pawsey Supercomputing Centre, which is funded by the Australian Government and the Government of Western Australia.</t>
  </si>
  <si>
    <t>10.1038/s43247-023-00838-x</t>
  </si>
  <si>
    <t>I0FK9</t>
  </si>
  <si>
    <t>WOS:000999617700002</t>
  </si>
  <si>
    <t>Deng, QY; Zhong, Z; Ye, M; Zhang, WS; Qiu, DG; Zheng, C; Yan, JG; Li, F; Barriot, JP</t>
  </si>
  <si>
    <t>Deng, Qingyun; Zhong, Zhen; Ye, Mao; Zhang, Wensong; Qiu, Denggao; Zheng, Chong; Yan, Jianguo; Li, Fei; Barriot, Jean-Pierre</t>
  </si>
  <si>
    <t>Lithospheric Loading Model for Large Impact Basins Where a Mantle Plug Is Present</t>
  </si>
  <si>
    <t>JOURNAL OF GEOPHYSICAL RESEARCH-PLANETS</t>
  </si>
  <si>
    <t>loading model; elastic thickness; impact basin; gravity admittance; mantle plug; lithosphere</t>
  </si>
  <si>
    <t>ISIDIS PLANITIA; GRAIL GRAVITY; LUNAR; CONSTRAINTS; ORIGIN; THICKNESS; ANOMALIES; CRUST</t>
  </si>
  <si>
    <t>Characterizing the thermophysical properties of the lithosphere is critical for studying its evolution. We determine the elastic thickness of the lithosphere by modeling mass-related loads and lithospheric deflection and analyzing gravity and topography data. In impact basins region where a mantle plug is present, the correlation between topography and gravity can be low, and the admittance can change quickly, making it difficult to develop accurate models without considering mantle uplift. In this study, we developed a lithospheric loading model for large impact basins that take advantage of a high-resolution crustal thickness model and does not require the assuming compensation. Since the mantle uplift formed by super-isostatic adjustment following the impact, the elastic thickness obtained by fitting the observed data reflects the lithospheric temperature at the end of the super-isostatic process. Sensitivity analysis suggests that modeling the impact-induced load is critical to reproduce how the mascon is expressed in the correlation and admittance data. Our mantle loading model provides a better fit to the observed admittance spectrum compared to previous research. The larger elastic thicknesses obtained for the Hellas basin indicate a longer duration of mascon formation or a faster cooling of the lithosphere. Models that consider a denser upper crust and an elastic thickness of about 0 km fit the observed admittance of the Utopia basin. The elastic thickness of the Argyre and Isidis basins cannot be precisely inferred without additional constraints on the load ratio.</t>
  </si>
  <si>
    <t>[Deng, Qingyun; Ye, Mao; Zhang, Wensong; Qiu, Denggao; Zheng, Chong; Yan, Jianguo; Li, Fei; Barriot, Jean-Pierre] Wuhan Univ, State Key Lab Informat Engn Surveying Mapping &amp; Re, Wuhan, Peoples R China; [Zhong, Zhen] Guizhou Normal Univ, Sch Phys &amp; Elect Sci, Guiyang, Peoples R China; [Li, Fei] Wuhan Univ, Chinese Antarctic Ctr Surveying &amp; Mapping, Wuhan, Peoples R China; [Barriot, Jean-Pierre] Geodesy Observ Tahiti, Tahiti, French Polynesi, France</t>
  </si>
  <si>
    <t>Wuhan University; Guizhou Normal University; Wuhan University</t>
  </si>
  <si>
    <t>Ye, M (corresponding author), Wuhan Univ, State Key Lab Informat Engn Surveying Mapping &amp; Re, Wuhan, Peoples R China.</t>
  </si>
  <si>
    <t>mye@whu.edu.cn</t>
  </si>
  <si>
    <t>Qiu, Denggao/IVU-9713-2023; Li, Kexin/KAO-2519-2024; Chen, Zheng/KCY-2338-2024; yu, xiao/KFT-1725-2024</t>
  </si>
  <si>
    <t>Qiu, Denggao/0000-0002-4388-9634; Ye, Mao/0000-0002-7273-5984; Barriot, Jean-Pierre/0000-0002-2112-9685; Yan, Jianguo/0000-0003-2612-4776; Deng, Qingyun/0000-0003-3346-2933</t>
  </si>
  <si>
    <t>National Natural Science Foundation of China [41804025, 42030110, 41874010, U1831132]; National Key RD Program [2022YFF0503200, 2022YFF0503202]; Fundamental Research Funds for the Central Universities [2042022kf1004, 2042019kf0191]; Innovation Group of Natural Fund of Hubei Province [2018CFA087]; DAR grant in planetology from the French Space Agency (CNES)</t>
  </si>
  <si>
    <t>National Natural Science Foundation of China(National Natural Science Foundation of China (NSFC)); National Key RD Program; Fundamental Research Funds for the Central Universities(Fundamental Research Funds for the Central Universities); Innovation Group of Natural Fund of Hubei Province; DAR grant in planetology from the French Space Agency (CNES)</t>
  </si>
  <si>
    <t>We thank Ding Min for the discussion of the loading state of the large impact basin. We are grateful to M. Wieczorek for providing the open-source software SHTools (Wieczorek et al., 2018). F. Li is supported by the National Natural Science Foundation of China (42030110, 41874010). J. G. Yan is supported by the National Key R &amp; D Program (2022YFF0503200, 2022YFF0503202), National Natural Science Foundation of China (U1831132), the Fundamental Research Funds for the Central Universities (2042019kf0191) and Innovation Group of Natural Fund of Hubei Province (2018CFA087). Q. Y. Deng is supported by the Fundamental Research Funds for the Central Universities (2042022kf1004). J.-P. Barriot is funded by a DAR grant in planetology from the French Space Agency (CNES). M. Ye is supported by the National Natural Science Foundation of China (41804025). Several figures were created with the Generic Mapping Tools (GMT) software (Wessel &amp; Smith, 1991). We thank the anonymous reviewers and Nick Wagner for their comments. Q. Y. Deng thanks Z. Y. Luo for her passionate love.</t>
  </si>
  <si>
    <t>2169-9097</t>
  </si>
  <si>
    <t>2169-9100</t>
  </si>
  <si>
    <t>J GEOPHYS RES-PLANET</t>
  </si>
  <si>
    <t>J. Geophys. Res.-Planets</t>
  </si>
  <si>
    <t>e2022JE007620</t>
  </si>
  <si>
    <t>10.1029/2022JE007620</t>
  </si>
  <si>
    <t>I1HB4</t>
  </si>
  <si>
    <t>WOS:001000344600001</t>
  </si>
  <si>
    <t>Hsieh, AI; Vaucher, R; Löwemark, L; Dashtgard, SE; Horng, CS; Lin, AT; Zeeden, C</t>
  </si>
  <si>
    <t>Hsieh, Amy I. I.; Vaucher, Romain; Lowemark, Ludvig; Dashtgard, Shahin E.; Horng, Chorng-Shern; Lin, Andrew T. T.; Zeeden, Christian</t>
  </si>
  <si>
    <t>Influence of a Rapidly Uplifting Orogen on the Preservation of Climate Oscillations</t>
  </si>
  <si>
    <t>cyclostratigraphy; paleoclimate; foreland basin; sedimentology</t>
  </si>
  <si>
    <t>ANTARCTIC ICE-SHEET; SOUTH CHINA SEA; SMALL MOUNTAINOUS RIVERS; ARC-CONTINENT COLLISION; PERMANENT EL-NINO; WESTERN TAIWAN; FORELAND BASIN; ASIAN MONSOON; HYPERPYCNAL DISCHARGE; PLIOCENE IMPLICATIONS</t>
  </si>
  <si>
    <t>Climate oscillations preserved in sedimentary archives tend to decrease in resolution further back in Earth's history. High-frequency climate cycles (e.g., similar to 20-Kyr precession cycles) are especially prone to poor preservation due to sediment reworking. Recent studies have shown, however, that given sufficient basin accommodation space and sedimentation rate, shallow-marine paleoclimate archives record precession-driven hydroclimate change in mid-low latitude regions. Our study evaluates how the evolution of a rapidly uplifting orogen influences the recording of astronomical climate forcing in shallow-marine sedimentary strata in the Taiwan Western Foreland Basin (WFB). Time-series analysis of gamma-ray records through the late Miocene-Pliocene Kueichulin Formation shows that during early stages of Taiwan orogenesis (before 5.4 Ma), preservation of precession-driven East Asian Summer Monsoon variability is low despite increasing monsoon intensities between 8 and 3 Ma. The Taiwan Strait had not formed, and the southeast margin of Eurasia was open to the Pacific Ocean. Consequently, depositional environments in the WFB were susceptible to reworking by large waves, resulting in the obscuration of higher-frequency precession cycles. From 5.4 to 4.92 Ma, during early stages of emergence of Taiwan, basin subsidence increased while sedimentation rates remained low, resulting in poor preservation of orbital oscillations. After 4.92 Ma and up to 3.15 Ma, Taiwan became a major sediment source to the WFB, and sheltered the WFB from erosive waves with the development of Taiwan Strait. The elevated sediment influx, increased basin accommodation as the WFB developed, and formation of a semi-sheltered strait, resulted in enhanced preservation of precession-driven East Asian Summer Monsoon variability. Plain Language Summary Rhythmic changes in the shape of Earth's orbit (eccentricity, similar to 100-Kyr cycles), tilt (obliquity, similar to 41-Kyr cycles), and axial rotation (precession, similar to 20-Kyr cycles) drive climate change that may be preserved in sedimentary records. Orbital climate cycles are recorded in clastic shallow-marine strata where the amount of sediment transported from land to sea and space available for deposition in the basin are sufficiently high. Our study of the Kueichulin Formation in the Taiwan Western Foreland Basin (WFB) shows how a rapidly uplifting orogen influences the preservation of different climate cycles in the shallow-marine realm. During early Taiwan orogenesis (before 5.4 Ma) when the Taiwan Strait did not exist, sediment in the WFB were susceptible to reworking by erosive waves generated in the Pacific Ocean, which obscured higher-frequency precession cycles. From 5.4 to 4.92 Ma, Taiwan began to emerge from the Pacific Ocean and the WFB began to subside, but sedimentation rates were low, so climate cycles were poorly preserved. After 4.92 Ma, rapid uplift and erosion of Taiwan and WFB subsidence continued, resulting in increased sedimentation to the sea, increased sediment accumulation space, and the formation of a strait that sheltered the WFB from waves, which all served to enhance the preservation of precession.</t>
  </si>
  <si>
    <t>[Hsieh, Amy I. I.; Dashtgard, Shahin E.] Simon Fraser Univ, Dept Earth Sci, Paleoclimate Records Shallow Marine Strata PRISMS, Burnaby, BC, Canada; [Hsieh, Amy I. I.; Lowemark, Ludvig] Natl Taiwan Univ, Dept Geosci, Taipei, Taiwan; [Vaucher, Romain] Univ Lausanne, Inst Earth Sci ISTE, Lausanne, Switzerland; [Vaucher, Romain] Univ Geneva, Dept Earth Sci, Geneva, Switzerland; [Lowemark, Ludvig] Natl Taiwan Univ, Res Ctr Future Earth, Taipei, Taiwan; [Horng, Chorng-Shern] Acad Sinica, Inst Earth Sci, Taipei, Taiwan; [Lin, Andrew T. T.] Natl Cent Univ, Dept Earth Sci, Taoyuan, Taiwan; [Zeeden, Christian] Geozentrum Hannover, Leibniz Inst Appl Geophys LIAG, Hannover, Germany</t>
  </si>
  <si>
    <t>Simon Fraser University; National Taiwan University; University of Geneva; National Taiwan University; Academia Sinica - Taiwan; National Central University; Leibniz Institut fur Angewandte Geophysik (LIAG)</t>
  </si>
  <si>
    <t>Hsieh, AI (corresponding author), Simon Fraser Univ, Dept Earth Sci, Paleoclimate Records Shallow Marine Strata PRISMS, Burnaby, BC, Canada.;Hsieh, AI (corresponding author), Natl Taiwan Univ, Dept Geosci, Taipei, Taiwan.</t>
  </si>
  <si>
    <t>amy_hsieh@sfu.ca</t>
  </si>
  <si>
    <t>Vaucher, Romain/I-7974-2019</t>
  </si>
  <si>
    <t>Vaucher, Romain/0000-0003-3051-4128; Hsieh, Amy/0000-0002-1474-1120; Horng, Chorng-Shern/0000-0003-2023-4763; Zeeden, Christian/0000-0002-8617-0443; Dashtgard, Shahin/0000-0002-7763-2300; Lowemark, Ludvig/0000-0002-3337-2367</t>
  </si>
  <si>
    <t>Natural Sciences and Engineering Research Council of Canada [RGPIN-2019-04528]; Deutsche Forschungsgemeinschaft (DFG, German Research Foundation) [456312283]; Swiss National Science Foundation [P400P2_183946, P5R5PN_202846]; Ministry of Science and Technology [MOST 109-2116-M-002-022]; The Featured Areas Research Center Program; Swiss National Science Foundation (SNF) [P400P2_183946, P5R5PN_202846] Funding Source: Swiss National Science Foundation (SNF)</t>
  </si>
  <si>
    <t>Natural Sciences and Engineering Research Council of Canada(Natural Sciences and Engineering Research Council of Canada (NSERC)CGIAR); Deutsche Forschungsgemeinschaft (DFG, German Research Foundation)(German Research Foundation (DFG)); Swiss National Science Foundation(Swiss National Science Foundation (SNSF)); Ministry of Science and Technology(Spanish Government); The Featured Areas Research Center Program; Swiss National Science Foundation (SNF)(Swiss National Science Foundation (SNSF))</t>
  </si>
  <si>
    <t>This research was financially supported by a Natural Sciences and Engineering Research Council of Canada Discovery Grant to S. Dashtgard (RGPIN-2019-04528). Research was also funded by the Deutsche Forschungsgemeinschaft (DFG, German Research Foundation)-project number 456312283. In addition, R.V. acknowledges funding from Swiss National Science Foundation grants (P400P2_183946 and P5R5PN_202846). LL acknowledges financial support from Ministry of Science and Technology (MOST 109-2116-M-002-022) and the The Featured Areas Research Center Program within the framework of the Higher Education Sprout Project by the Ministry of Education in Taiwan. We would like to thank Dr. Wen-Rong Chi for his invaluable assistance on nannofossil identification and biostratigraphy, and Mr. Kuo-Hang Chen for his help in magnetobiostratigraphic sample preparation. We are also grateful for Dr. Mathieu Martinez and the anonymous reviewer, and the editor Dr. Ursula Roehl, whose constructive feedback helped to improve this manuscript.</t>
  </si>
  <si>
    <t>e2022PA004586</t>
  </si>
  <si>
    <t>10.1029/2022PA004586</t>
  </si>
  <si>
    <t>H8WY1</t>
  </si>
  <si>
    <t>WOS:000998710500001</t>
  </si>
  <si>
    <t>Taylor, VE; Westerhold, T; Bohaty, SM; Backman, J; Jones, TD; Edgar, KM; Egan, KE; Lyle, M; Pälike, H; Röhl, U; Zachos, J; Wilson, PA</t>
  </si>
  <si>
    <t>Taylor, V. E.; Westerhold, T.; Bohaty, S. M.; Backman, J.; Jones, T. Dunkley; Edgar, K. M.; Egan, K. E.; Lyle, M.; Paelike, H.; Roehl, U.; Zachos, J.; Wilson, P. A.</t>
  </si>
  <si>
    <t>Transient Shoaling, Over-Deepening and Settling of the Calcite Compensation Depth at the Eocene-Oligocene Transition</t>
  </si>
  <si>
    <t>EASTERN EQUATORIAL PACIFIC; ICE-SHEET EXPANSION; SOUTHERN-OCEAN; SEDIMENTOLOGICAL EVIDENCE; ANTARCTIC GLACIATION; STABLE-ISOTOPE; MIDDLE EOCENE; LATE MIOCENE; CARBONATE; CLIMATE</t>
  </si>
  <si>
    <t>The major Cenozoic shift from a shallow (similar to 3-4 km) to deep (similar to 4.5 km) calcite compensation depth (CCD) occurred at the Eocene-Oligocene Transition (similar to 34 Ma), suggesting a strong relationship between calcium carbonate (CaCO3) cycling and Antarctic glaciation. However, the linkages between these two events are debated. Here we present new records of bulk sediment stable isotope and carbonate composition from a depth transect of sites in the low-latitude Pacific Ocean and one site from the South Atlantic Ocean, together with a new benthic foraminiferal stable isotope record (delta C-13(b) and delta O-18(b)) from the Pacific where the sedimentary sequence is most expanded. Our records reveal a short-lived (similar to 300 Kyr) CCD shoaling event closely associated with a negative carbon isotope excursion in the latest Eocene. This event is immediately followed by CCD deepening which occurs in two rapid (similar to 40 Kyr-long) steps. Our data show that the first of these deepening steps represents recovery from the latest Eocene shoaling event while the second was closely associated with a rapid increase in delta O-18(b) and shows a distinctive over-deepening and settling pattern to &gt;5 and 4.4 km, respectively. These results, together with good agreement between Pacific and South Atlantic records, strongly suggest that the carbon cycle was perturbed globally shortly before the inception of Antarctic glaciation. Once large-scale Antarctic glaciation was initiated, rapid further change in global seawater chemistry triggered transitory deep ocean carbonate burial fluxes far exceeding their early Oligocene steady state values.</t>
  </si>
  <si>
    <t>[Taylor, V. E.; Bohaty, S. M.; Edgar, K. M.; Egan, K. E.; Wilson, P. A.] Univ Southampton, Natl Oceanog Ctr, Sch Ocean &amp; Earth Sci, Waterfront Campus, Southampton, Hants, England; [Taylor, V. E.] Univ Bergen, Dept Earth Sci, Bergen, Norway; [Taylor, V. E.] Bjerknes Ctr Climate Res, Bergen, Norway; [Westerhold, T.; Paelike, H.; Roehl, U.] Univ Bremen, MARUM Ctr Marine Environm Sci, Bremen, Germany; [Bohaty, S. M.] Heidelberg Univ, Inst Earth Sci, Heidelberg, Germany; [Backman, J.] Stockholm Univ, Dept Geol Sci, Stockholm, Sweden; [Jones, T. Dunkley] Univ Birmingham, Sch Geog Earth &amp; Environm Sci, Birmingham, W Midlands, England; [Edgar, K. M.] Univ Birmingham, Sch Geog Earth &amp; Environm Sci, Birmingham, W Midlands, England; [Egan, K. E.] Met Off, Flood Forecasting Ctr, Exeter, Devon, England; [Lyle, M.] Oregon State Univ, Coll Earth Ocean &amp; Atmospher Sci, Corvallis, OR USA; [Zachos, J.] Univ Calif Santa Cruz, Dept Earth &amp; Planetary Sci, Santa Cruz, CA USA</t>
  </si>
  <si>
    <t>NERC National Oceanography Centre; University of Southampton; University of Bergen; Bjerknes Centre for Climate Research; University of Bremen; Ruprecht Karls University Heidelberg; Stockholm University; University of Birmingham; University of Birmingham; Met Office - UK; Oregon State University; University of California System; University of California Santa Cruz</t>
  </si>
  <si>
    <t>Taylor, VE (corresponding author), Univ Southampton, Natl Oceanog Ctr, Sch Ocean &amp; Earth Sci, Waterfront Campus, Southampton, Hants, England.;Taylor, VE (corresponding author), Univ Bergen, Dept Earth Sci, Bergen, Norway.;Taylor, VE (corresponding author), Bjerknes Ctr Climate Res, Bergen, Norway.</t>
  </si>
  <si>
    <t>Röhl, Ursula/G-5986-2011; Pälike, Heiko/A-6560-2008; Westerhold, Thomas/D-4581-2011; Zachos, James C/A-7674-2008; Edgar, Kirsty/AAR-9052-2021; Dunkley Jones, Tom/A-8441-2008</t>
  </si>
  <si>
    <t>Röhl, Ursula/0000-0001-9469-7053; Pälike, Heiko/0000-0003-3386-0923; Westerhold, Thomas/0000-0001-8151-4684; Taylor, Victoria/0000-0002-6909-1575; Edgar, Kirsty/0000-0001-7587-9951; Dunkley Jones, Tom/0000-0002-9518-8143; Wilson, Paul/0000-0001-6425-8906</t>
  </si>
  <si>
    <t>Natural Environment Research Council (NERC) [NE/I006168/1, NE/K008390/1, NE/K007211/1, NE/F003641/1]; Royal Society Wolfson Merit Award; NERC SPITFIRE Doctoral Training Program Studentship [NE/L002531/1]; Deutsche Forschungsgemeinschaft (DFG, German Research Foundation) [179386126]</t>
  </si>
  <si>
    <t>Natural Environment Research Council (NERC)(UK Research &amp; Innovation (UKRI)Natural Environment Research Council (NERC)); Royal Society Wolfson Merit Award(Royal Society); NERC SPITFIRE Doctoral Training Program Studentship; Deutsche Forschungsgemeinschaft (DFG, German Research Foundation)(German Research Foundation (DFG))</t>
  </si>
  <si>
    <t>This work was supported by Natural Environment Research Council (NERC) Grants NE/I006168/1 (PAW), NE/K008390/1 (PAW), NE/K007211/1 (PAW), and NE/F003641/1 (HP, PAW and KME), a Royal Society Wolfson Merit Award to PAW, and a NERC SPITFIRE Doctoral Training Program Studentship (NE/L002531/1) awarded to VET and supervised by PAW and SMB. UR and TW were funded by the Deutsche Forschungsgemeinschaft (DFG, German Research Foundation)-Project number 179386126. The authors thank Megan Wilding, Bastian Hambach, Mike Hall, and Cristina Sghibartz for laboratory assistance, Phil Rumford, and colleagues at the IODP Gulf Coast Core Repository, for assistance with sampling, and David Armstrong McKay and Toby Tyrrell for stimulating discussions. We thank the Editor and Reviewers for their constructive and thorough reviews which improved this manuscript. For the purpose of open access, the author has applied a CC BY public copyright license to any Author Accepted Manuscript version arising from this submission.</t>
  </si>
  <si>
    <t>e2022PA004493</t>
  </si>
  <si>
    <t>10.1029/2022PA004493</t>
  </si>
  <si>
    <t>H6ZL3</t>
  </si>
  <si>
    <t>WOS:000997419400001</t>
  </si>
  <si>
    <t>Xin, MJ; Clem, KR; Turner, J; Stammerjohn, SE; Zhu, J; Cai, WJ; Li, XC</t>
  </si>
  <si>
    <t>Xin, Meijiao; Clem, Kyle R.; Turner, John; Stammerjohn, Sharon E.; Zhu, Jiang; Cai, Wenju; Li, Xichen</t>
  </si>
  <si>
    <t>West-warming East-cooling trend over Antarctica reversed since early 21st century driven by large-scale circulation variation</t>
  </si>
  <si>
    <t>ENVIRONMENTAL RESEARCH LETTERS</t>
  </si>
  <si>
    <t>Antarctic rapid warming; seesaw temperature pattern; thermal advection</t>
  </si>
  <si>
    <t>SOUTHERN ANNULAR MODE; SURFACE TEMPERATURES; HEMISPHERE; OCEAN; VARIABILITY; REANALYSES; PENINSULA; SYSTEM</t>
  </si>
  <si>
    <t>Antarctic climate changes prior to 2000 were characterized by a strong zonally asymmetric pattern. Over 90% of the land ice mass loss occurred around a limited area in West Antarctica, accompanied by a rapid surface warming rate about three times the global mean. In contrast, surface warming and glacier mass loss around East Antarctica are not significant, until the decades since 2000 when several individual stations show that the temperature trends might have reversed. The asymmetric climate changes between East- and West-Antarctica are largely attributable to the inter-decadal variabilities over the Pacific and Atlantic Oceans through tropical-polar teleconnections, leaving open the question of whether the post-2000 phase shift of the lower-latitude decadal variability causes a flip of the asymmetric Antarctic changes. Here, by synthesizing 26 in-situ observations and 6 reanalysis datasets using a statistical method and integrating the results with a series of climate model experiments, we find that the West-warming, East-cooling trend over Antarctica has systematically reversed in austral spring since the early 21(st) century, largely due to the atmospheric circulation anomaly over the Antarctic Peninsula-Weddell Sea region, which is associated to the teleconnection with Pacific and atmospheric internal variability. This reversal of the temperature seesaw suggests that substantial decadal-scale fluctuations of the Antarctic climate system exist, including for sea-ice and land-ice systems, superimposed on and modifying longer term changes.</t>
  </si>
  <si>
    <t>[Xin, Meijiao; Zhu, Jiang; Li, Xichen] Chinese Acad Sci, Inst Atmospher Phys, Beijing 100029, Peoples R China; [Xin, Meijiao] Univ Chinese Acad Sci, Coll Earth &amp; Planetary Sci, Beijing 100049, Peoples R China; [Clem, Kyle R.] Victoria Univ Wellington, Sch Geog Environm &amp; Earth Sci, Wellington 6012, New Zealand; [Turner, John] NERC, British Antarctic Survey, Cambridge CB3 0ET, England; [Stammerjohn, Sharon E.] Univ Colorado, Inst Arctic &amp; Alpine Res, Boulder, CO 80309 USA; [Cai, Wenju] Ocean Univ China, Inst Adv Ocean Studies, Key Lab Phys Oceanog, Qingdao 266003, Peoples R China; [Cai, Wenju] Qingdao Natl Lab Marine Sci &amp; Technol, Qingdao 266003, Peoples R China; [Cai, Wenju] CSIRO Oceans &amp; Atmosphere, Ctr Southern Hemisphere Oceans Res CSHOR, Hobart, Tas 7004, Australia</t>
  </si>
  <si>
    <t>Chinese Academy of Sciences; Institute of Atmospheric Physics, CAS; Chinese Academy of Sciences; University of Chinese Academy of Sciences, CAS; Victoria University Wellington; UK Research &amp; Innovation (UKRI); Natural Environment Research Council (NERC); NERC British Antarctic Survey; University of Colorado System; University of Colorado Boulder; Ocean University of China; Laoshan Laboratory; Commonwealth Scientific &amp; Industrial Research Organisation (CSIRO)</t>
  </si>
  <si>
    <t>Li, XC (corresponding author), Chinese Acad Sci, Inst Atmospher Phys, Beijing 100029, Peoples R China.</t>
  </si>
  <si>
    <t>lixichen@mail.iap.ac.cn</t>
  </si>
  <si>
    <t>Clem, Kyle/AAG-6626-2021; Cai, Wei-Jun/C-1361-2013; Li, Xichen/ISB-4663-2023</t>
  </si>
  <si>
    <t>Clem, Kyle/0000-0002-1419-2758; Li, Xichen/0000-0001-6325-6626</t>
  </si>
  <si>
    <t>National Key Research and Development Program of China [42176243, 41976193]; Strategic Priority Research Program of Chinese Academy of Sciences [41676190, MFP-VUW2010]; National Natural Science Foundation of China [PLR1552226, 2018YFA0605703, 2018YFA0605700]; Royal Society of New Zealand Marsden Fund [XDB42040106]; UK Natural Environment Research Council (NERC) through the British Antarctic Survey research programme Polar Science for Planet Earth'; U.S. National Science Foundation (NSF) [XDB42040100]; Qingdao National Laboratory for Marine Science and Technology (QNLM); Commonwealth Scientific and Industrial Research Organisation (CSIRO)</t>
  </si>
  <si>
    <t>National Key Research and Development Program of China; Strategic Priority Research Program of Chinese Academy of Sciences(Chinese Academy of Sciences); National Natural Science Foundation of China(National Natural Science Foundation of China (NSFC)); Royal Society of New Zealand Marsden Fund(Royal Society of New ZealandMarsden Fund (NZ)); UK Natural Environment Research Council (NERC) through the British Antarctic Survey research programme Polar Science for Planet Earth'; U.S. National Science Foundation (NSF)(National Science Foundation (NSF)); Qingdao National Laboratory for Marine Science and Technology (QNLM); Commonwealth Scientific and Industrial Research Organisation (CSIRO)(Commonwealth Scientific &amp; Industrial Research Organisation (CSIRO))</t>
  </si>
  <si>
    <t>M X and X L is supported by the National Key Research and Development Program of China (2018YFA0605703), the Strategic Priority Research Program of Chinese Academy of Sciences Grant No. XDB42040106, and the National Natural Science Foundation of China (No. 42176243, No. 41976193 and Grant No. 41676190). K R C is supported by the Royal Society of New Zealand Marsden Fund Grant MFP-VUW2010. J T was supported by the UK Natural Environment Research Council (NERC) through the British Antarctic Survey research programme Polar Science for Planet Earth'. S E S was supported by the U.S. National Science Foundation (NSF) award PLR-1552226. J Z is supported by the Strategic Priority Research Program of Chinese Academy of Sciences Grant No. XDB42040100. W C is supported by the National Key Research and Development Program of China (2018YFA0605700), the Joint Research Centre for Southern Hemisphere Oceans Research (CSHOR) between the Qingdao National Laboratory for Marine Science and Technology (QNLM) and the Commonwealth Scientific and Industrial Research Organisation (CSIRO). The authors declare that they have no competing interests.</t>
  </si>
  <si>
    <t>1748-9326</t>
  </si>
  <si>
    <t>ENVIRON RES LETT</t>
  </si>
  <si>
    <t>Environ. Res. Lett.</t>
  </si>
  <si>
    <t>10.1088/1748-9326/acd8d4</t>
  </si>
  <si>
    <t>I0QD0</t>
  </si>
  <si>
    <t>WOS:000999898500001</t>
  </si>
  <si>
    <t>Narayanan, A; Gille, ST; Mazloff, MR; du Plessis, MD; Murali, K; Roquet, F</t>
  </si>
  <si>
    <t>Narayanan, Aditya; Gille, Sarah T.; Mazloff, Matthew R.; du Plessis, Marcel D.; Murali, K.; Roquet, Fabien</t>
  </si>
  <si>
    <t>Zonal Distribution of Circumpolar Deep Water Transformation Rates and Its Relation to Heat Content on Antarctic Shelves</t>
  </si>
  <si>
    <t>Southern Ocean; Circumpolar Deep Water; Antarctica; ice shelves</t>
  </si>
  <si>
    <t>SEA-ICE; OCEAN; CIRCULATION; TRANSPORT; MODEL</t>
  </si>
  <si>
    <t>We analyze 15-year of observational data and a 5-year Southern Ocean model simulation to quantify the transformation rates of Circumpolar Deep Water (CDW) and the associated heat loss to the surface. This study finds that over the continental shelves of East Antarctica and the Weddell and Ross Seas, surface buoyancy fluxes transform similar to 4.4 Sv of surface waters into CDW, providing a path for CDW to lose heat to the surface. In addition, similar to 6.6 Sv of CDW are mixed with surface waters in the Weddell and Ross subpolar gyres. In contrast, enhanced stratification inhibits the outcropping of CDW isopycnals, reducing their transformation rates by a factor of similar to 8 over the continental shelf and by a factor of similar to 3 over the deeper ocean in the Amundsen and Bellingshausen Seas. The CDW retains its offshore warm properties as it intrudes over the continental shelves, resulting in elevated bottom temperatures there. This analysis demonstrates the importance of processes in subpolar gyres to erode CDW and to facilitate further transformation on the continental shelves, significantly reducing the heat able to access ice shelf fronts. This sheltering effect is strongest in the western Weddell Sea and tends to diminish toward the east, which helps explain the large zonal differences in continental-shelf bottom temperatures and the melt rates of Antarctic ice shelves. Plain Language Summary The continental slope around Antarctica acts as a barrier to deep and warmer offshore waters that can bring heat to the glaciers along the coastline, enhancing their melt rate and contributing to global sea level rise. Around the Antarctic continent these offshore waters, the so-called Circumpolar Deep Waters, differ in their ability to cross this barrier while retaining their heat, explaining to a large extent why West Antarctic glaciers melt much faster than other Antarctic ice sheets. We study the properties of the warm waters over the continental shelf and offshore regions and contrast them across regions. We show that in East Antarctica, the Ross Sea, and the Weddell Sea, deep warm waters are brought to the surface where they lose heat and mix with surface waters. However, in the Amundsen and Bellingshausen Seas, the warm water is insulated from the surface by land run-off of fresher and lighter waters that occupy the surface. These results highlight the importance of the subpolar gyres in sheltering Antarctic glaciers.</t>
  </si>
  <si>
    <t>[Narayanan, Aditya; du Plessis, Marcel D.; Roquet, Fabien] Univ Gothenburg, Dept Marine Sci, Gothenburg, Sweden; [Gille, Sarah T.; Mazloff, Matthew R.] Univ Calif San Diego, Scripps Inst Oceanog, La Jolla, CA USA; [Murali, K.] Indian Inst Technol Madras, Chennai, India</t>
  </si>
  <si>
    <t>University of Gothenburg; University of California System; University of California San Diego; Scripps Institution of Oceanography; Indian Institute of Technology System (IIT System); Indian Institute of Technology (IIT) - Madras</t>
  </si>
  <si>
    <t>Narayanan, A (corresponding author), Univ Gothenburg, Dept Marine Sci, Gothenburg, Sweden.</t>
  </si>
  <si>
    <t>aditya.narayanan@gu.se</t>
  </si>
  <si>
    <t>Narayanan, Aditya/0000-0002-8967-2211; Gille, Sarah/0000-0001-9144-4368; du Plessis, Marcel/0000-0003-2759-2467</t>
  </si>
  <si>
    <t>National Centre for Polar and Ocean Research [NCPOR-2019-PACER-POP-OS-01]; European Union's Horizon 2020 research and innovation programme [821001 (SO-CHIC)]; NASA [80NSSC20K1076, 80NSSC22K0387]; NSF [OCE-1924388, OPP2149501, OPP-1936222]; SNIC [2020/1-32]</t>
  </si>
  <si>
    <t>National Centre for Polar and Ocean Research; European Union's Horizon 2020 research and innovation programme(Horizon 2020); NASA(National Aeronautics &amp; Space Administration (NASA)); NSF(National Science Foundation (NSF)); SNIC</t>
  </si>
  <si>
    <t>We gratefully acknowledge the free public access data sets made available by the MEOP, Argo, and SOCCOM consortia. The marine mammal data were collected and made freely available by the International MEOP Consortium and the national programs that contribute to it (). AN acknowledges support from the National Centre for Polar and Ocean Research through grant number: NCPOR-2019-PACER-POP-OS-01. AN, FR, and MdP received funding from the European Union's Horizon 2020 research and innovation programme under grant agreement No. 821001 (SO-CHIC). MM acknowledges support from NASA Grants 80NSSC20K1076 and 80NSSC22K0387, and NSF Grants OCE-1924388, OPP2149501, and OPP-1936222. AN and FR acknowledge SNIC Grant 2020/1-32.</t>
  </si>
  <si>
    <t>e2022JC019310</t>
  </si>
  <si>
    <t>10.1029/2022JC019310</t>
  </si>
  <si>
    <t>I1MU6</t>
  </si>
  <si>
    <t>WOS:001000501400001</t>
  </si>
  <si>
    <t>Suzuki, AC; Sugiura, K; Tsujimoto, M; Nakai, R; McInnes, SJ; Kagoshima, H; Imura, S</t>
  </si>
  <si>
    <t>Suzuki, Atsushi C.; Sugiura, Kenta; Tsujimoto, Megumu; Nakai, Ryosuke; McInnes, Sandra J.; Kagoshima, Hiroshi; Imura, Satoshi</t>
  </si>
  <si>
    <t>A New Species of Bisexual Milnesium (Eutardigrada: Apochela) Having Aberrant Claws From Innhovde, Dronning Maud Land, East Antarctica</t>
  </si>
  <si>
    <t>ZOOLOGICAL SCIENCE</t>
  </si>
  <si>
    <t>Lutzow-Holm Bay; tardigrade; bisexual reproduction; Milnesium rastrum; Milnesium tardigradum; Syowa-Station</t>
  </si>
  <si>
    <t>BAYESIAN PHYLOGENETIC INFERENCE; LIFE-HISTORY; TARDIGRADA APOCHELA; SP. NOV.; GENUS; DOYERE; ISLAND; REDESCRIPTION; MADAGASCAR; MAFFT</t>
  </si>
  <si>
    <t>There have been several records in the last 60 years for East Antarctica for Milnesium tardigradum Doyere, 1840 sensu lato, now considered a species complex. During the 56th Japanese Antarctic Research Expedition summer operation (2014-2015), a new tardigrade species in the genus Milnesium Doyere, 1840 was found in an ice-free Innhovde area along Lutzow-Holm Bay, Dronning Maud Land, East Antarctica. The new species has aberrant claws with four to seven points on each secondary claw branch, which distinguishes it from other Milnesium species. A male specimen was found in the population and evidence showed that an isolated adult female moulted twice without oviposition. This strongly suggested bisexual reproduction for this population. The new species, Milnesium rastrum sp. nov., is described with its phylogenetic position and a discussion on the reproductive strategies for the harsh environments.</t>
  </si>
  <si>
    <t>[Suzuki, Atsushi C.] Keio Univ, Dept Biol, 4-1-1 Hiyoshi, Yokohama, Kanagawa 2238521, Japan; [Sugiura, Kenta] Keio Univ, Fac Sci &amp; Technol, Dept Biosci &amp; Bioinformat, 3-14-1 Hiyoshi, Yokohama, Kanagawa 2238522, Japan; [Tsujimoto, Megumu] Keio Univ, Fac Environm &amp; Informat Studies, 5322 Endo, Fujisawa, Kanagawa 2520882, Japan; [Tsujimoto, Megumu; Imura, Satoshi] Natl Inst Polar Res, 10-3 Midori Cho, Tachikawa, Tokyo 1908518, Japan; [Nakai, Ryosuke] Natl Inst Adv Ind Sci &amp; Technol, 2-17-2-1 Tsukisamu Higashi, Sapporo, Hokkaido 0620052, Japan; [McInnes, Sandra J.] British Antarctic Survey, High Cross,Madingley Rd, Cambridge CB3 0ET, England; [Kagoshima, Hiroshi] Natl Inst Genet, Mishima, Shizuoka 4118540, Japan; [Imura, Satoshi] SOKENDAI Grad Univ Adv Studies, 10-3 Midori Cho, Tachikawa, Tokyo 1908518, Japan; [Kagoshima, Hiroshi] Kyushu Univ, Mat Management Ctr, Fukuoka 8190395, Japan</t>
  </si>
  <si>
    <t>Keio University; Keio University; Keio University; Research Organization of Information &amp; Systems (ROIS); National Institute of Polar Research (NIPR) - Japan; National Institute of Advanced Industrial Science &amp; Technology (AIST); UK Research &amp; Innovation (UKRI); Natural Environment Research Council (NERC); NERC British Antarctic Survey; Research Organization of Information &amp; Systems (ROIS); National Institute of Genetics (NIG) - Japan; Graduate University for Advanced Studies - Japan; Kyushu University</t>
  </si>
  <si>
    <t>Suzuki, AC (corresponding author), Keio Univ, Dept Biol, 4-1-1 Hiyoshi, Yokohama, Kanagawa 2238521, Japan.</t>
  </si>
  <si>
    <t>chu@keio.jp</t>
  </si>
  <si>
    <t>Tsujimoto, Megumu/JCE-5500-2023; Sugiura, Kenta/GRJ-6363-2022; Nakai, Ryosuke/O-6217-2015; Suzuki, Atsushi/E-9704-2014</t>
  </si>
  <si>
    <t>Tsujimoto, Megumu/0000-0001-5160-6086; Sugiura, Kenta/0000-0002-4264-6737; Suzuki, Atsushi/0000-0002-3027-7110</t>
  </si>
  <si>
    <t>Keio Gijuku Academic Development Funds</t>
  </si>
  <si>
    <t>We thank Ms. Yuka Abe, Mr. Takeo Mizutani, Mr. Jun Hirano, and the helicopter crew for their assistance in sample collection at Innhovde, and all other members of JARE-56 and the captain and crew of the icebreaker Shirase II for general support of the expedition. We also thank Dr. Midori Matsumoto (Keio University) for supporting DNA sequencing. This work was supported in part by a grant from the Keio Gijuku Academic Development Funds to ACS.</t>
  </si>
  <si>
    <t>ZOOLOGICAL SOC JAPAN</t>
  </si>
  <si>
    <t>HONGO MT BUILDING 4F, HONGO 7-2-2, BUNKYO-KU, TOKYO, 113-0033, JAPAN</t>
  </si>
  <si>
    <t>0289-0003</t>
  </si>
  <si>
    <t>ZOOL SCI</t>
  </si>
  <si>
    <t>Zool. Sci.</t>
  </si>
  <si>
    <t>10.2108/zs220085</t>
  </si>
  <si>
    <t>H9JQ9</t>
  </si>
  <si>
    <t>WOS:000999043600009</t>
  </si>
  <si>
    <t>Zhang, C; Jia, XJ; Duan, AM; Hu, D</t>
  </si>
  <si>
    <t>Zhang, C. H. A. O.; Jia, X. I. A. O. J. I. N. G.; Duan, A. N. M. I. N.; Hu, D. U. E.</t>
  </si>
  <si>
    <t>Interdecadal Changes in the Dominant Modes of Spring Snow Cover over the Tibetan Plateau around the Early 1990s</t>
  </si>
  <si>
    <t>Atmosphere-land interaction; Atmospheric circulation; Climate; Snow cover</t>
  </si>
  <si>
    <t>NORTH-ATLANTIC; INTERANNUAL VARIABILITY; DECADAL CHANGE; WINTER SNOW; ATMOSPHERE; PRECIPITATION; CIRCULATION; DEPTH; TELECONNECTION; ENSO</t>
  </si>
  <si>
    <t>The current work investigated the interdecadal changes in the leading empirical orthogonal function (EOF) pattern of the interannual variation in spring [March-May (MAM)] snow-cover extent (SCE) over the Tibetan Plateau (TP) (SSC_TP). The leading EOF pattern of the SSC_TP is transformed from an east to west dipole pattern during the pe-riod 1970-89 (P1) to a monopole structure during the period 1991-2020 (P2). Observational analysis shows that during P1, the negative Antarctic Oscillation (AAO) (-AAO) is associated with low-level cross-equator southeasterly anomalies across the Bay of Bengal and transports more water vapor to the eastern TP. Moreover, at a high level, anomalous north-erly winds accompanied by an anomalous sinking motion dominate the western TP, favoring an east-wet-west-dry dipole pattern of SSC_TP. Further analysis shows that the-AAO induces anomalous divergence over the Antarctic, which con-tributes to the formation of a Rossby wave source (RWS). This RWS is related to a northeastward-propagating atmo-spheric wave train that crosses the equator and contributes to the SSC_TP variation during P1. In contrast, in P2, the Arctic Oscillation (AO) is associated with a barotropic atmospheric wave train originating from southern Greenland, mov-ing across the North Atlantic Ocean and North Africa and reaching the TP. This wave train results in significant positive vorticity and ascending airflow above the TP and favors a monopole pattern of the SSC_TP. Further analysis shows that the AO can induce divergence anomalies over southeastern Greenland and RWS anomalies there. This RWS induces an atmospheric wave train that propagates eastward and reaches the TP during P2. The above mechanisms have been sup-</t>
  </si>
  <si>
    <t>[Zhang, C. H. A. O.; Jia, X. I. A. O. J. I. N. G.] Zhejiang Univ, Sch Earth Sci, Key Lab Geosci Big Data &amp; Deep Resource Zhejiang P, Hangzhou, Zhejiang, Peoples R China; [Zhang, C. H. A. O.; Duan, A. N. M. I. N.] Xiamen Univ, Coll Ocean &amp; Earth Sci, State Key Lab Marine Environm Sci, Xiamen, Peoples R China; [Hu, D. U. E.] Chinese Acad Sci, Inst Atmospher Phys, State Key Lab Numer Modeling Atmospher Sci &amp; Geoph, Beijing, Peoples R China; [Hu, D. U. E.] Univ Chinese Acad Sci, Coll Earth Sci, Beijing, Peoples R China</t>
  </si>
  <si>
    <t>Zhejiang University; Xiamen University; Chinese Academy of Sciences; Institute of Atmospheric Physics, CAS; Chinese Academy of Sciences; University of Chinese Academy of Sciences, CAS</t>
  </si>
  <si>
    <t>Jia, XJ (corresponding author), Zhejiang Univ, Sch Earth Sci, Key Lab Geosci Big Data &amp; Deep Resource Zhejiang P, Hangzhou, Zhejiang, Peoples R China.</t>
  </si>
  <si>
    <t>jiaxiaojing@zju.edu.cn</t>
  </si>
  <si>
    <t>Zhang, Chao/0000-0001-6888-1885</t>
  </si>
  <si>
    <t>National Natural Science Foundation of China [42030602, 42075050]; Fundamental Research Funds for the Central Universities [K20220232]; Outstanding Postdoctoral Scholarship, State Key Laboratory of Marine Environmental Science at Xiamen University</t>
  </si>
  <si>
    <t>National Natural Science Foundation of China(National Natural Science Foundation of China (NSFC)); Fundamental Research Funds for the Central Universities(Fundamental Research Funds for the Central Universities); Outstanding Postdoctoral Scholarship, State Key Laboratory of Marine Environmental Science at Xiamen University</t>
  </si>
  <si>
    <t>This research is funded by the National Natural Science Foundation of China (Grants 42030602 and 42075050) and by Fundamental Research Funds for the Central Universities (K20220232). Zhang Chao is also supported by the Outstanding Postdoctoral Scholarship, State Key Laboratory of Marine Environmental Science at Xiamen University.</t>
  </si>
  <si>
    <t>10.1175/JCLI-D-22-0487.1</t>
  </si>
  <si>
    <t>G2CM1</t>
  </si>
  <si>
    <t>WOS:000987300600001</t>
  </si>
  <si>
    <t>Sherriff-Tadano, S; Abe-Ouchi, A; Yoshimori, M; Ohgaito, R; Vadsaria, T; Chan, WL; Hotta, H; Kikuchi, M; Kodama, T; Oka, A; Suzukia, K</t>
  </si>
  <si>
    <t>Sherriff-Tadano, Sam; Abe-Ouchi, Ayako; Yoshimori, Masakazu; Ohgaito, Rumi; Vadsaria, Tristan; Chan, Wing-Le; Hotta, Haruka; Kikuchi, Maki; Kodama, Takanori; Oka, Akira; Suzukia, Kentaroh</t>
  </si>
  <si>
    <t>Southern Ocean Surface Temperatures and Cloud Biases in Climate Models Connected to the Representation of Glacial Deep Ocean Circulation</t>
  </si>
  <si>
    <t>Thermohaline circulation; Paleoclimate; Climate models; Southern Ocean</t>
  </si>
  <si>
    <t>MERIDIONAL OVERTURNING CIRCULATION; ICE SHEETS; THERMOHALINE CIRCULATION; EQUILIBRIUM RESPONSE; MAXIMUM EXPERIMENTS; IN-SITU; SEA-ICE; CONSTRAINTS; PHASE; SENSITIVITY</t>
  </si>
  <si>
    <t>Simulating and reproducing the past Atlantic meridional overturning circulation (AMOC) with comprehen-sive climate models are essential to understanding past climate changes as well as to testing the ability of the models in sim-ulating different climates. At the Last Glacial Maximum (LGM), reconstructions show a shoaling of the AMOC compared to modern climate. However, almost all state-of-the-art climate models simulate a deeper LGM AMOC. Here, it is shown that this paleodata-model discrepancy is partly related to the climate model biases in modern sea surface temperatures (SST) over the Southern Ocean (70 degrees-45 degrees S). Analysis of model outputs from three phases of the Paleoclimate Model Inter -comparison Project shows that models with warm Southern Ocean SST biases tend to simulate a deepening of the LGM AMOC, while the opposite is observed in models with cold SST biases. As a result, a positive correlation of 0.41 is found between SST biases and LGM AMOC depth anomalies. Using sensitivity experiments with a climate model, we show, as an example, that changes in parameters associated with the fraction of cloud thermodynamic phase in a climate model re-duce the biases in the warm SST over the modern Southern Ocean. The less biased versions of the model then reproduce a colder Southern Ocean at the LGM, which increases formation of Antarctic Bottom Water and causes shoaling of the LGM AMOC, without affecting the LGM climate in other regions. The results highlight the importance of sea surface con-ditions and clouds over the Southern Ocean in simulating past and future global climates.</t>
  </si>
  <si>
    <t>[Sherriff-Tadano, Sam; Abe-Ouchi, Ayako; Yoshimori, Masakazu; Vadsaria, Tristan; Chan, Wing-Le; Hotta, Haruka; Kodama, Takanori; Oka, Akira; Suzukia, Kentaroh] Univ Tokyo, Atmosphere &amp; Ocean Res Inst, Kashiwa, Japan; [Abe-Ouchi, Ayako; Ohgaito, Rumi] Japan Agcy Marine Earth Sci &amp; Technol, Yokosuka, Japan; [Kikuchi, Maki] Japan Aerosp Explorat Agcy, Earth Observat Res Ctr, Tsukuba, Japan; [Abe-Ouchi, Ayako] Natl Inst Polar Res, Tachikawa, Japan; [Ohgaito, Rumi] Tokio Marine dR Co Ltd, Tokyo, Japan; [Kodama, Takanori] Univ Tokyo, Komaba Inst Sci, Grad Sch Arts &amp; Sci, Tokyo, Japan; [Sherriff-Tadano, Sam] Univ Leeds, Sch Earth &amp; Environm, Leeds, England</t>
  </si>
  <si>
    <t>University of Tokyo; Japan Agency for Marine-Earth Science &amp; Technology (JAMSTEC); Japan Aerospace Exploration Agency (JAXA); Research Organization of Information &amp; Systems (ROIS); National Institute of Polar Research (NIPR) - Japan; University of Tokyo; University of Leeds</t>
  </si>
  <si>
    <t>Sherriff-Tadano, S (corresponding author), Univ Tokyo, Atmosphere &amp; Ocean Res Inst, Kashiwa, Japan.;Sherriff-Tadano, S (corresponding author), Univ Leeds, Sch Earth &amp; Environm, Leeds, England.</t>
  </si>
  <si>
    <t>S.Sherriff-Tadano@leeds.ac.uk</t>
  </si>
  <si>
    <t>Abe-Ouchi, Ayako A/M-6359-2013; Keyes, Dennis/AAZ-9285-2021; Chan, Wing-Le/X-3976-2019</t>
  </si>
  <si>
    <t>Abe-Ouchi, Ayako A/0000-0003-1745-5952; Chan, Wing-Le/0000-0002-5646-6104</t>
  </si>
  <si>
    <t>JSPS KAKENHI [JP17H06104, JP17H06323, JP19K03968, JP20K14552, JP21K13975]; JAXA/EarthCARE; JAXA/GCOM-C projects</t>
  </si>
  <si>
    <t>JSPS KAKENHI(Ministry of Education, Culture, Sports, Science and Technology, Japan (MEXT)Japan Society for the Promotion of ScienceGrants-in-Aid for Scientific Research (KAKENHI)); JAXA/EarthCARE; JAXA/GCOM-C projects</t>
  </si>
  <si>
    <t>We are grateful to two anonymous re-viewers and J. Zhu for their constructive comments that helped to improve this manuscript. We are also grateful to the editor, L. Zanna, for handling our paper. The model simulations were per- formed on Earth Simulator 3 at JAMSTEC. This study was sup- ported by JSPS KAKENHI Grants JP17H06104, JP17H06323, JP19K03968, JP20K14552, and JP21K13975. K. Suzuki was sup- ported by JAXA/EarthCARE and JAXA/GCOM-C projects.</t>
  </si>
  <si>
    <t>10.1175/JCLI-D-22-0221.1</t>
  </si>
  <si>
    <t>G6BT7</t>
  </si>
  <si>
    <t>WOS:000989995300001</t>
  </si>
  <si>
    <t>Duffey, A; Irvine, P; Tsamados, M; Stroeve, J</t>
  </si>
  <si>
    <t>Duffey, Alistair; Irvine, Peter; Tsamados, Michel; Stroeve, Julienne</t>
  </si>
  <si>
    <t>Solar Geoengineering in the Polar Regions: A Review</t>
  </si>
  <si>
    <t>EARTHS FUTURE</t>
  </si>
  <si>
    <t>solar geoengineering; polar climate; climate change; sea ice; stratospheric aerosol injection; solar radiation modification</t>
  </si>
  <si>
    <t>ARCTIC SEA-ICE; STRATOSPHERIC AEROSOL INJECTION; INTERCOMPARISON PROJECT GEOMIP; LOW-FREQUENCY VARIABILITY; EARTHS RADIATION BALANCE; CLIMATE INTERVENTION; ATMOSPHERIC CIRCULATION; DESIGN SPACE; LEVEL RISE; MODEL</t>
  </si>
  <si>
    <t>Solar geoengineering refers to proposals, including stratospheric aerosol injection (SAI), to slow or reverse climate change by reflecting away incoming sunlight. The rapid changes ongoing in the Arctic and Antarctic, and the risk of exceeding tipping points in the cryosphere within decades, make limiting such changes a plausible objective of solar geoengineering. Here, we review the impacts of SAI on polar climate and cryosphere, including the dependence of these impacts on the latitude(s) of injection, and make recommendations for future research directions. SAI would cool the polar regions and reduce many changes in polar climate under future warming scenarios. Some under-cooling of the polar regions relative to the global mean is expected under SAI without high latitude injection, due to latitudinal variation in insolation and CO2 forcing, the forcing dependence of the polar lapse rate feedback, and altered atmospheric dynamics. There are also potential limitations in the effectiveness of SAI to arrest changes in winter-time polar climate and to prevent sea-level rise from the Antarctic ice sheet. Finally, we also review the prospects for three other solar geoengineering proposals targeting the poles: marine cloud brightening, cirrus cloud thinning, and sea-ice albedo modification. Sea-ice albedo modification appears unlikely to be viable on pan-Arctic or Antarctic scales. Whether marine cloud brightening or cirrus cloud thinning would be effective in the polar regions remains uncertain. Solar geoengineering is an increasingly prominent proposal and a robust understanding of its consequences in the polar regions is needed to inform climate policy in the coming decades.</t>
  </si>
  <si>
    <t>[Duffey, Alistair; Tsamados, Michel; Stroeve, Julienne] UCL, Ctr Polar Observat &amp; Modelling Earth Sci, London, England; [Irvine, Peter] UCL, Earth Sci, London, England; [Stroeve, Julienne] Univ Manitoba, Ctr Earth Observat Sci, Winnipeg, MB, Canada; [Stroeve, Julienne] Univ Colorado, Cooperat Inst Res Environm Sci, Natl Snow &amp; Ice Data Ctr, Boulder, CO USA</t>
  </si>
  <si>
    <t>University of London; University College London; University of London; University College London; University of Manitoba; University of Colorado System; University of Colorado Boulder</t>
  </si>
  <si>
    <t>Duffey, A (corresponding author), UCL, Ctr Polar Observat &amp; Modelling Earth Sci, London, England.</t>
  </si>
  <si>
    <t>alistair.duffey.21@ucl.ac.uk</t>
  </si>
  <si>
    <t>Keyes, Dennis/AAZ-9285-2021</t>
  </si>
  <si>
    <t>Tsamados, Michel/0000-0001-7034-5360; Duffey, Alistair/0000-0003-3852-2624; Stroeve, Julienne/0000-0001-7316-8320</t>
  </si>
  <si>
    <t>London Natural Environment Research Council (NERC) Doctoral Training Partnership (DTP) Grant [NE/S007229/1]; ESA [ESA/AO/1-9132/17/NL/MP, ESA/AO/1-10061/19/I-EF]; NERC [NE/T000546/1, NE/X004643/1]</t>
  </si>
  <si>
    <t>London Natural Environment Research Council (NERC) Doctoral Training Partnership (DTP) Grant(UK Research &amp; Innovation (UKRI)Natural Environment Research Council (NERC)); ESA(European Space Agency); NERC(UK Research &amp; Innovation (UKRI)Natural Environment Research Council (NERC))</t>
  </si>
  <si>
    <t>AD's contribution was funded by the London Natural Environment Research Council (NERC) Doctoral Training Partnership (DTP) Grant NE/S007229/1. MT acknowledges support from ESA (ESA/AO/1-9132/17/NL/MP and ESA/AO/1-10061/19/I-EF) and NERC (NE/T000546/1 and NE/X004643/1).</t>
  </si>
  <si>
    <t>2328-4277</t>
  </si>
  <si>
    <t>Earth Future</t>
  </si>
  <si>
    <t>e2023EF003679</t>
  </si>
  <si>
    <t>10.1029/2023EF003679</t>
  </si>
  <si>
    <t>H9EX8</t>
  </si>
  <si>
    <t>WOS:000998919200001</t>
  </si>
  <si>
    <t>Chadwick, M; Sime, LC; Allen, CS; Guarino, MV</t>
  </si>
  <si>
    <t>Chadwick, M.; Sime, L. C.; Allen, C. S.; Guarino, M. -V.</t>
  </si>
  <si>
    <t>Model-Data Comparison of Antarctic Winter Sea-Ice Extent and Southern Ocean Sea-Surface Temperatures During Marine Isotope Stage 5e</t>
  </si>
  <si>
    <t>last interglacial; Southern Ocean; sea ice; sea-surface temperatures; model-data comparison</t>
  </si>
  <si>
    <t>COUPLED MODEL; CLIMATE; SIMULATIONS; INTERGLACIALS; CONSTRAINTS; HOLOCENE; DRIVERS; IMPACT; SST</t>
  </si>
  <si>
    <t>Marine Isotope Stage (MIS) 5e (130-116 ka) represents a laboratory for evaluating climate model performance under warmer-than-present conditions. Climate model simulations for MIS 5e have previously failed to produce Southern Ocean (SO) sea-surface temperatures (SSTs) and sea-ice extent reconstructed from marine sediment core proxy records. Here we compare state of the art HadGEM3 and HadCM3 simulations of Peak MIS 5e SO summer SSTs and September sea-ice concentrations with the latest marine sediment core proxy data. The model outputs and proxy records show the least consistency in the regions located near the present-day SO gyre boundaries, implying the possibility that model simulations are currently unable to fully realize changes in gyre extent and position during MIS 5e. Including Heinrich 11 meltwater forcing in Peak MIS 5e climate simulations improves the likeness to proxy data but it is clear that longer (3-4 ka) run times are required to fully test the consistency between models and data.</t>
  </si>
  <si>
    <t>[Chadwick, M.; Sime, L. C.; Allen, C. S.; Guarino, M. -V.] British Antarctic Survey, Cambridge, England; [Chadwick, M.] Univ Southampton, Ocean &amp; Earth Sci, Southampton, England; [Chadwick, M.] Now Cornwall Insight, Norwich, England; [Guarino, M. -V.] Abdus Salaam Int Ctr Theoret Phys, Earth Syst Phys Sect, Trieste, Italy</t>
  </si>
  <si>
    <t>UK Research &amp; Innovation (UKRI); Natural Environment Research Council (NERC); NERC British Antarctic Survey; University of Southampton; Abdus Salam International Centre for Theoretical Physics (ICTP)</t>
  </si>
  <si>
    <t>Chadwick, M (corresponding author), British Antarctic Survey, Cambridge, England.;Chadwick, M (corresponding author), Univ Southampton, Ocean &amp; Earth Sci, Southampton, England.;Chadwick, M (corresponding author), Now Cornwall Insight, Norwich, England.</t>
  </si>
  <si>
    <t>m.chadwick@cornwall-insight.com</t>
  </si>
  <si>
    <t>Guarino, Maria Vittoria/0000-0002-7531-4560; Chadwick, Matthew/0000-0002-3861-4564; Sime, Louise/0000-0002-9093-7926</t>
  </si>
  <si>
    <t>Natural Environmental Research Council [NE/L002531/1]; National Environmental Research Council [NE/P013279/1, NE/P009271/1]; European Union [820970]; NERC [NE/P013279/1, NE/P009271/1] Funding Source: UKRI</t>
  </si>
  <si>
    <t>Natural Environmental Research Council(UK Research &amp; Innovation (UKRI)Natural Environment Research Council (NERC)); National Environmental Research Council(UK Research &amp; Innovation (UKRI)Natural Environment Research Council (NERC)); European Union(European Union (EU)); NERC(UK Research &amp; Innovation (UKRI)Natural Environment Research Council (NERC))</t>
  </si>
  <si>
    <t>The Natural Environmental Research Council (Grant NE/L002531/1) supported this work. LCS and MVG acknowledge the financial support of National Environmental Research Council research Grants NE/P013279/1 and NE/P009271/1, respectively. This project has received funding from the European Union's Horizon 2020 research and innovation programme under Grant agreement No. 820970. This research also contributes to the British Antarctic Survey's Polar Science for Planet Earth programme. Our thanks to both Sentia Goursaud, Irene Malmierca Vallet, and Rahul Sivankutty for assisting in both accessing and formatting the HadCM3 output data from Holloway et~al.~(2018). This work used the ARCHER UK National Supercomputing Service (http://www.archer.ac.uk) and the JASMIN analysis platform (https://www.ceda.ac.uk/services/jasmin/).</t>
  </si>
  <si>
    <t>e2022PA004600</t>
  </si>
  <si>
    <t>10.1029/2022PA004600</t>
  </si>
  <si>
    <t>H6ZD0</t>
  </si>
  <si>
    <t>Green Accepted, hybrid, Green Submitted</t>
  </si>
  <si>
    <t>WOS:000997410700001</t>
  </si>
  <si>
    <t>Verma, A; Sain, K; Kumar, A</t>
  </si>
  <si>
    <t>Verma, Akshaya; Sain, Kalachand; Kumar, Amit</t>
  </si>
  <si>
    <t>Environmental Changes in Antarctica Using a Shallow Ice Core from Dronning Maud Land (DML), East Antarctica</t>
  </si>
  <si>
    <t>ENVIRONMENTAL PROCESSES-AN INTERNATIONAL JOURNAL</t>
  </si>
  <si>
    <t>Antarctica; Ice core; Microparticles; Volcanic ash; shards; Dust; Dronning Maud Land (DML)</t>
  </si>
  <si>
    <t>GANGA BASIN UGB; VOLCANIC-ERUPTIONS; SOUTH-POLE; ATMOSPHERIC CIRCULATION; SCHIRMACHER OASIS; WEST ANTARCTICA; 1ST CHRONOLOGY; BYRD-STATION; GREENLAND; RECORD</t>
  </si>
  <si>
    <t>The study investigates a shallow ice core (IND-25/B5) drilled near Humboldt Mountain in Dronning Maud Land (DML) region, during the 25th Indian Antarctic Expedition (2005-2006), to understand the variability in microparticle input to the region, and their characterization under the Scanning Electron Microscope-Electron Dispersive Spectroscopy (SEM-EDS). Also, the volcanic chronology of the ice core was established using the presence of volcanic shards at various depths of the ice core. The results suggest that the dust input to the study area has drastically increased since 1980, indicating changes in the atmospheric circulation pattern, local environmental conditions, increased global aridity and/or expansion of the ice-free oasis in the DML region. Silica (Volcanic and Mineral dust), Carbon (Calcareous and Organic) and other microparticles are three major types of particles observed in the ice core. Volcanic ash microparticles are observed at various depths, which depict glassy structures with conchoidal fractures and high SiO2 concentrations (&gt;50%). The major volcanic events traced include Krakatoa, Indonesia (2001); Mount Pinatubo, Phillipines (1991); Mount Agung, Indonesia (1963) and Cerro Azul, Chile (1916-1929).</t>
  </si>
  <si>
    <t>[Verma, Akshaya; Sain, Kalachand; Kumar, Amit] Wadia Inst Himalayan Geol, Glaciol &amp; Hydrogeol Grp, 33 GMS Rd, Dehra Dun 248001, Uttarakhand, India</t>
  </si>
  <si>
    <t>Department of Science &amp; Technology (India); Wadia Institute of Himalayan Geology (WIHG)</t>
  </si>
  <si>
    <t>Verma, A (corresponding author), Wadia Inst Himalayan Geol, Glaciol &amp; Hydrogeol Grp, 33 GMS Rd, Dehra Dun 248001, Uttarakhand, India.</t>
  </si>
  <si>
    <t>akshayaverma5@gmail.com</t>
  </si>
  <si>
    <t>Kumar, Amit/J-7539-2019</t>
  </si>
  <si>
    <t>Kumar, Amit/0000-0003-4827-5137; Verma, Akshaya/0000-0001-8876-9807</t>
  </si>
  <si>
    <t>The study was funded by the Ministry of Earth Sciences by providing funds to the 25th Indian Scientific Expedition to Antarctica (2005-2006).</t>
  </si>
  <si>
    <t>SPRINGER INT PUBL AG</t>
  </si>
  <si>
    <t>CHAM</t>
  </si>
  <si>
    <t>GEWERBESTRASSE 11, CHAM, CH-6330, SWITZERLAND</t>
  </si>
  <si>
    <t>2198-7491</t>
  </si>
  <si>
    <t>2198-7505</t>
  </si>
  <si>
    <t>ENVIRON PROCESS</t>
  </si>
  <si>
    <t>Environ. Process.</t>
  </si>
  <si>
    <t>10.1007/s40710-023-00635-w</t>
  </si>
  <si>
    <t>Engineering, Environmental</t>
  </si>
  <si>
    <t>G6OG7</t>
  </si>
  <si>
    <t>WOS:000990323000001</t>
  </si>
  <si>
    <t>Wang, JF; Luo, H; Yu, LJ; Li, XW; Holland, PR; Yang, QH</t>
  </si>
  <si>
    <t>Wang, Jinfei; Luo, Hao; Yu, Lejiang; Li, Xuewei; Holland, Paul R.; Yang, Qinghua</t>
  </si>
  <si>
    <t>The Impacts of Combined SAM and ENSO on Seasonal Antarctic Sea Ice Changes</t>
  </si>
  <si>
    <t>Antarctica; Sea ice; Antarctic Oscillation; ENSO; Teleconnections</t>
  </si>
  <si>
    <t>SOUTHERN ANNULAR MODE; EL-NINO; ATMOSPHERIC RESPONSE; SURFACE TEMPERATURE; OCEAN; CLIMATE; OSCILLATION; CIRCULATION; VARIABILITY; DEFINITION</t>
  </si>
  <si>
    <t>Both the Southern Annular Mode (SAM) and El Nifio-Southern Oscillation (ENSO) are critical factors contributing to Antarctic sea ice variability on interannual time scales. However, their joint effects on sea ice are complex and remain unclear for each austral season. In this study, satellite sea ice concentration (SIC) observations and atmospheric reanalysis data are utilized to assess the impacts of combined SAM and ENSO on seasonal Antarctic sea ice changes. The joint SAM-ENSO impacts on southern high latitudes are principally controlled by the strength and position of the wave activity and associated atmospheric circulation anomalies affected by their interactions. In-phase events (La Nifia/ positive SAM and El Nifio/negative SAM) are characterized with an SIC dipole located in the Weddell/Bellingshausen Seas and Amundsen/Ross Seas, while out-of-phase events (El Nifio/positive SAM and La Nifia/negative SAM) experience significant SIC anomalies in the Indian Ocean and western Pacific Ocean. Sea ice budget analyses are conducted to separate the dynamic and thermodynamic contributions inducing the sea ice intensification anomalies. The results show that in-phase intensification anomalies also display a pattern similar to the SIC dipole and are mainly driven by the direct thermodynamic forcing at the ice edge and thermodynamic responses to meridional sea ice drift in the inner pack, especially in autumn and winter. Dynamic processes caused by zonal sea ice drift also play an important role during out-of-phase conditions in addition to the same mechanisms during in-phase conditions.</t>
  </si>
  <si>
    <t>[Wang, Jinfei; Luo, Hao; Li, Xuewei; Yang, Qinghua] Sun Yat Sen Univ, Sch Atmospher Sci, Zhuhai, Peoples R China; [Wang, Jinfei; Luo, Hao; Li, Xuewei; Yang, Qinghua] Southern Marine Sci &amp; Engn Guangdong Lab Zhuhai, Zhuhai, Peoples R China; [Yu, Lejiang] Polar Res Inst China, MNR Key Lab Polar Sci, Shanghai, Peoples R China; [Holland, Paul R.] British Antarctic Survey, Cambridge, England</t>
  </si>
  <si>
    <t>Sun Yat Sen University; Southern Marine Science &amp; Engineering Guangdong Laboratory; Southern Marine Science &amp; Engineering Guangdong Laboratory (Zhuhai); Polar Research Institute of China; UK Research &amp; Innovation (UKRI); Natural Environment Research Council (NERC); NERC British Antarctic Survey</t>
  </si>
  <si>
    <t>Luo, H (corresponding author), Sun Yat Sen Univ, Sch Atmospher Sci, Zhuhai, Peoples R China.</t>
  </si>
  <si>
    <t>luohao25@mail.sysu.edu.cn</t>
  </si>
  <si>
    <t>Li, Xuewei/HSH-3459-2023</t>
  </si>
  <si>
    <t>Li, Xuewei/0000-0003-3435-7422; Wang, Jinfei/0009-0006-8484-4949</t>
  </si>
  <si>
    <t>National Natural Science Foundation of China [41941009, 42006191, 41922044]; National Key Research and Development Program of China [2022YFE0106300]; Guangdong Basic and Applied Basic Research Foundation [2020B1515020025]; Norges Forskningsrad [328886]</t>
  </si>
  <si>
    <t>National Natural Science Foundation of China(National Natural Science Foundation of China (NSFC)); National Key Research and Development Program of China; Guangdong Basic and Applied Basic Research Foundation; Norges Forskningsrad(Research Council of Norway)</t>
  </si>
  <si>
    <t>The authors wish to thank three anonymous reviewers for their very helpful comments and suggestions. This is a contribution to the Year of Polar Prediction (YOPP), a flagship activity of the Polar Prediction Project (PPP), initiated by the World Weather Research Programme (WWRP) of the World Meteorological Organization (WMO). We acknowledge the WMO WWRP for its role in coordinating this International Research activity. This study is supported by the National Natural Science Foundation of China (41941009, 42006191, 41922044), the National Key Research and Development Program of China (2022YFE0106300), the Guangdong Basic and Applied Basic Research Foundation (2020B1515020025), and the Norges Forskningsrad (Grant 328886).</t>
  </si>
  <si>
    <t>10.1175/JCLI-D-22-0679.1</t>
  </si>
  <si>
    <t>G1IO8</t>
  </si>
  <si>
    <t>WOS:000986780100001</t>
  </si>
  <si>
    <t>Li, Q; Marshall, J; Rye, CD; Romanou, A; Rind, D; Kelley, M</t>
  </si>
  <si>
    <t>Li, Qian; Marshall, John; Rye, Craig D.; Romanou, Anastasia; Rind, David; Kelley, Maxwell</t>
  </si>
  <si>
    <t>Global Climate Impacts of Greenland and Antarctic Meltwater: A Comparative Study</t>
  </si>
  <si>
    <t>Atmosphere-ocean interaction; Snowmelt; ice melt; Climate change; Climate models; Trends</t>
  </si>
  <si>
    <t>MERIDIONAL OVERTURNING CIRCULATION; SEA-ICE; SOUTHERN-OCEAN; NORTH-ATLANTIC; WATER FORMATION; FRESH-WATER; ATMOSPHERE; MODEL; SLOWDOWN; ABYSSAL</t>
  </si>
  <si>
    <t>Both the Greenland and Antarctic ice sheets have been melting at an accelerating rate over recent dec-ades. Meltwater from Greenland might be expected to initiate a climate response that is distinct, and perhaps different from, that associated with Antarctic meltwater. Which one might elicit a greater climate response, and what mecha-nisms are involved? To explore these questions, we apply climate response functions (CRFs) to guide a series of meltwater -perturbation experiments using a fully coupled climate model. In both hemispheres, meltwater drives atmospheric cooling, sea ice expansion, and strengthened Hadley and Ferrel cells. Greenland meltwater induces a slowdown of the Atlantic merid-ional overturning circulation (AMOC) and a cooling of the subsurface ocean in the northern high latitudes. Antarctic meltwater, instead, induces a slowdown of the Antarctic Bottom Water formation and a warming of the subsurface ocean around Antarctica. For melt rates up to 2000 Gt yr21, the climate response is rather linear. However, as melt rates increase to 5000 Gt yr21, the climate response becomes nonlinear. Due to a collapsed AMOC, the climate re-sponse is superlinear at high Greenland melt rates. Instead, the climate response is sublinear at high Antarctic melt rates, due to the halting of the northward expansion of Antarctic sea ice by warm surface waters. Finally, in the linear limit, we use CRFs and linear convolution theory to make projections of important climate parameters in response to meltwater scenarios, which suggest that Antarctic meltwater will become a major driver of climate change, dominating that of Greenland meltwater, as the current century proceeds.</t>
  </si>
  <si>
    <t>[Li, Qian; Marshall, John; Rye, Craig D.] MIT, Dept Earth Atmospher &amp; Planetary Sci, Cambridge, MA 02139 USA; [Rye, Craig D.; Romanou, Anastasia; Rind, David; Kelley, Maxwell] NASA, Goddard Inst Space Studies, New York, NY USA</t>
  </si>
  <si>
    <t>Massachusetts Institute of Technology (MIT); National Aeronautics &amp; Space Administration (NASA); NASA Goddard Space Flight Center; Goddard Institute for Space Studies</t>
  </si>
  <si>
    <t>Li, Q (corresponding author), MIT, Dept Earth Atmospher &amp; Planetary Sci, Cambridge, MA 02139 USA.</t>
  </si>
  <si>
    <t>qian_li@mit.edu</t>
  </si>
  <si>
    <t>LI, QIAN/0000-0002-2099-233X</t>
  </si>
  <si>
    <t>NASA MAP program [19-MAP19-0011]; MIT-GISS cooperative agreement</t>
  </si>
  <si>
    <t>NASA MAP program(National Aeronautics &amp; Space Administration (NASA)); MIT-GISS cooperative agreement</t>
  </si>
  <si>
    <t>Q.L., J.M., C.R., and A.R. are sup- ported by the NASA MAP program 19-MAP19-0011 and the MIT-GISS cooperative agreement. The model simulations and analysis were conducted on the NASA High -End Computing (HEC) Program through the NASA Center for Climate Simu- lation (NCCS) at Goddard Space Flight Center.</t>
  </si>
  <si>
    <t>10.1175/JCLI-D-22-0433.1</t>
  </si>
  <si>
    <t>G1II7</t>
  </si>
  <si>
    <t>WOS:000986774000001</t>
  </si>
  <si>
    <t>Guo, YR; Li, YL; Wang, F</t>
  </si>
  <si>
    <t>Guo, Yaru; Li, Yuanlong; Wang, Fan</t>
  </si>
  <si>
    <t>Destinations and Pathways of the Indonesian Throughflow Water in the Indian Ocean</t>
  </si>
  <si>
    <t>Indian Ocean; Lagrangian circulation; transport; Ocean circulation; Vertical motion</t>
  </si>
  <si>
    <t>ATLANTIC OVERTURNING CIRCULATION; LEEUWIN CURRENT; INTERANNUAL VARIABILITY; AGULHAS LEAKAGE; EQUATORIAL UNDERCURRENT; WESTERN-AUSTRALIA; HEAT-TRANSPORT; PACIFIC; DYNAMICS; SYSTEM</t>
  </si>
  <si>
    <t>Passage of the Indonesian Throughflow (ITF) water through the Indian Ocean constitutes an essential sec- tion of the upper limb of the global ocean conveyor belt. Although existing studies have identified a major exit of the ITF water to the Atlantic Ocean through the Agulhas Current system, our knowledge regarding other possible destinations and primary pathways remains limited. This study applies the Connectivity Modeling System (CMS) particle tracking algo- rithm to seven model-based ocean current datasets. The results reveal a robust return path of the ITF water to the Pacific Ocean. The partition ratio between the Atlantic and Pacific routes is 1.6060.54 to 1, with the uncertainty representing in- terdataset spread. The average transit time across the Indian Ocean is 10-20 years to the Atlantic and 15-30 years to the Pacific. The transit velocity is devised to describe the three-dimensional pathways in a quantitative sense. Its distribution demonstrates that the recirculation structures in the southwestern subtropical Indian Ocean favor the exit to the Atlantic, while the Antarctic Circumpolar Current in the Southern Ocean serves as the primary corridor to the Pacific. Our analysis also suggests the vital impact of vertical motions. In idealized tracing experiments inhibiting vertical currents and turbulent mixing, more water tends to linger over the Indian Ocean or return to the Pacific. Turbulence mixing also contributes to vertical motions but only slightly affects the destinations and pathways of ITF water.</t>
  </si>
  <si>
    <t>[Guo, Yaru; Li, Yuanlong; Wang, Fan] Chinese Acad Sci, Inst Oceanol, CAS Key Lab Ocean Circulat &amp; Waves, Qingdao, Peoples R China; [Li, Yuanlong; Wang, Fan] Laoshan Lab, Qingdao, Peoples R China</t>
  </si>
  <si>
    <t>Chinese Academy of Sciences; Institute of Oceanology, CAS; Laoshan Laboratory</t>
  </si>
  <si>
    <t>Li, YL (corresponding author), Chinese Acad Sci, Inst Oceanol, CAS Key Lab Ocean Circulat &amp; Waves, Qingdao, Peoples R China.;Li, YL (corresponding author), Laoshan Lab, Qingdao, Peoples R China.</t>
  </si>
  <si>
    <t>liyuanlong@qdio.ac.cn</t>
  </si>
  <si>
    <t>Wang, Fan/J-5119-2012; Li, Yuanlong/AES-6061-2022</t>
  </si>
  <si>
    <t>Wang, Fan/0000-0001-5932-7567; Li, Yuanlong/0000-0002-7239-5756</t>
  </si>
  <si>
    <t>Strategic Priority Research Program of Chinese Academy of Sciences [XDB42000000]; National Key R&amp;D Program of China [2019YFA0606702]; Shandong Provincial Natural Science Foundation [ZR2020JQ17]; China Postdoctoral Science Foundation [2022M723182]</t>
  </si>
  <si>
    <t>Strategic Priority Research Program of Chinese Academy of Sciences(Chinese Academy of Sciences); National Key R&amp;D Program of China; Shandong Provincial Natural Science Foundation(Natural Science Foundation of Shandong Province); China Postdoctoral Science Foundation(China Postdoctoral Science Foundation)</t>
  </si>
  <si>
    <t>We thank three anonymous reviewers for providing useful comments. This work is supported by the Strategic Priority Research Program of Chinese Academy of Sciences (XDB42000000), the National Key R&amp;D Program of China (2019YFA0606702), the Shandong Provincial Natural Science Foundation (ZR2020JQ17), and the Project founded by China Postdoctoral Science Foundation (2022M723182). The Connectivity Modelling System simulations are performed on the Oceanographic Data Center, the Institute of Oceanology, Chinese Academy of Sciences.</t>
  </si>
  <si>
    <t>10.1175/JCLI-D-22-0631.1</t>
  </si>
  <si>
    <t>G1HC2</t>
  </si>
  <si>
    <t>WOS:000986741500001</t>
  </si>
  <si>
    <t>Pamarty, AP; Mascarenhas, C; Anderson, JG</t>
  </si>
  <si>
    <t>Pamarty, Abhijit Pranav; Mascarenhas, Craig; Anderson, James G.</t>
  </si>
  <si>
    <t>Effects of Reynolds number and solidity ratio on advection dominated mixing in a high-altitude instrument</t>
  </si>
  <si>
    <t>MEASUREMENT SCIENCE AND TECHNOLOGY</t>
  </si>
  <si>
    <t>measurement accuracy; turbulent mixing; CFD; high altitude instrumentation; optical sensing</t>
  </si>
  <si>
    <t>ANTARCTIC VORTEX; CONVECTION; RADICALS; NOISE; CLO</t>
  </si>
  <si>
    <t>Due to the role of ClO and BrO in the rate-limiting step of the catalytic cycles enabling ozone loss, measurement of concentrations of these halogen molecules is of critical importance to understanding the loss rate of ozone in the stratosphere. A key advantage of in situ measurements is that these rate-limiting molecules can be observed simultaneously with ozone in the same volume element of the stratosphere, with high spatial and temporal resolution. Historically, these in situ measurements were made using instruments on the NASA ER-2 flight platform for a few hours at a time. However, the development and advancement of a high-altitude long-endurance (HALE) solar aircraft has made it possible to monitor these radicals continuously in the stratosphere. The slower flight speeds of the HALE aircraft will greatly improve molecule detection sensitivity and spatial resolution. To ensure proper mixing and accurate measurements, a quantitative dissection of the flow dynamics within the instrument architecture is required. Of particular importance are the turbulent behavior and the boundary layer growth, both of which affect measurement quality. The geometry of the NO injector used for titration is studied as a function of its solidity and the flight airspeed, to understand its effect on turbulence and boundary layer growth. A 3D Computational Fluid Dynamics simulation of an Eulerian mixture model is used to analyze the advection-dominated mixing inside the instrument. The injector inside the instrument is found to act as a flow-conditioning device, with a lower solidity causing the downstream flow to be increasingly turbulent. Additionally, a quantitative relationship between the Reynolds number of the inlet air and the volume fraction of the flow is demonstrated. Analysis of the boundary layer dependencies demonstrates that the boundary layer does not encroach on the optical sensing area in any of the cases.</t>
  </si>
  <si>
    <t>[Pamarty, Abhijit Pranav] BITS Pilani Hyderabad Campus, Dept Mech Engn, Hyderabad, India; [Mascarenhas, Craig; Anderson, James G.] Harvard Univ, Dept Chem &amp; Chem Biol, Cambridge, MA USA</t>
  </si>
  <si>
    <t>Birla Institute of Technology &amp; Science Pilani (BITS Pilani); Harvard University</t>
  </si>
  <si>
    <t>Pamarty, AP (corresponding author), BITS Pilani Hyderabad Campus, Dept Mech Engn, Hyderabad, India.</t>
  </si>
  <si>
    <t>abhjit.pamarty@gmail.com</t>
  </si>
  <si>
    <t>Mascarenhas, Craig/0000-0003-1075-0190</t>
  </si>
  <si>
    <t>0957-0233</t>
  </si>
  <si>
    <t>1361-6501</t>
  </si>
  <si>
    <t>MEAS SCI TECHNOL</t>
  </si>
  <si>
    <t>Meas. Sci. Technol.</t>
  </si>
  <si>
    <t>10.1088/1361-6501/acc4e0</t>
  </si>
  <si>
    <t>Engineering, Multidisciplinary; Instruments &amp; Instrumentation</t>
  </si>
  <si>
    <t>Engineering; Instruments &amp; Instrumentation</t>
  </si>
  <si>
    <t>A9EP0</t>
  </si>
  <si>
    <t>WOS:000958080000001</t>
  </si>
  <si>
    <t>Zhang, WL; Feckan, M; Wang, JR</t>
  </si>
  <si>
    <t>Zhang, WenLin; Feckan, Michal; Wang, JinRong</t>
  </si>
  <si>
    <t>Multiple Solutions for an Elliptic Equation from the Antarctic Circumpolar Current</t>
  </si>
  <si>
    <t>QUALITATIVE THEORY OF DYNAMICAL SYSTEMS</t>
  </si>
  <si>
    <t>Antarctic Circumpolar Current; Elliptic equations; Vorticity; Perturbation method</t>
  </si>
  <si>
    <t>DIFFERENTIAL-EQUATION; FLOW; EXISTENCE; DYNAMICS; STEADY; EDDIES; MODEL</t>
  </si>
  <si>
    <t>In this paper, a mathematical model of the second order elliptic equation of the Antarctic Circumpolar Current with Dirichlet boundary is established. By introducing truncation function and perturbation method, the existence of infinitely many solutions for the nonlinear elliptic equations is obtained when the nonlinear ocean vorticity is subcritical growth and super-quadratic.</t>
  </si>
  <si>
    <t>[Zhang, WenLin] Liupanshui Normal Univ, Sch Math &amp; Stat, Liupanshui 553004, Guizhou, Peoples R China; [Zhang, WenLin; Wang, JinRong] Guizhou Univ, Dept Math, Guiyang 550025, Guizhou, Peoples R China; [Feckan, Michal] Comenius Univ, Fac Math Phys &amp; Informat, Dept Math Anal &amp; Numer Math, Bratislava 84248, Slovakia; [Feckan, Michal] Slovak Acad Sci, Math Inst, Stefanikova 49, Bratislava 81473, Slovakia</t>
  </si>
  <si>
    <t>Guizhou University; Comenius University Bratislava; Slovak Academy of Sciences; Mathematical Institute, SAS</t>
  </si>
  <si>
    <t>Wang, JR (corresponding author), Guizhou Univ, Dept Math, Guiyang 550025, Guizhou, Peoples R China.</t>
  </si>
  <si>
    <t>wlzhang1025@163.com; Michal.Feckan@fmph.uniba.sk; jrwang@gzu.edu.cn</t>
  </si>
  <si>
    <t>Fečkan, Michal/T-4397-2018; Wang, JinRong/O-5745-2017</t>
  </si>
  <si>
    <t>Fečkan, Michal/0000-0002-7385-6737;</t>
  </si>
  <si>
    <t>1575-5460</t>
  </si>
  <si>
    <t>1662-3592</t>
  </si>
  <si>
    <t>QUAL THEOR DYN SYST</t>
  </si>
  <si>
    <t>Qual. Theor. Dyn. Syst.</t>
  </si>
  <si>
    <t>10.1007/s12346-023-00751-w</t>
  </si>
  <si>
    <t>8Q7ZK</t>
  </si>
  <si>
    <t>WOS:000927420500002</t>
  </si>
  <si>
    <t>Kaiser, S; Brandt, A; Brix, S; Brenke, N; Kuerzel, K; Arbizu, PM; Pinkerton, MH; Saeedi, H</t>
  </si>
  <si>
    <t>Kaiser, Stefanie; Brandt, Angelika; Brix, Saskia; Brenke, Nils; Kuerzel, Karlotta; Arbizu, Pedro Martinez; Pinkerton, Matt H.; Saeedi, Hanieh</t>
  </si>
  <si>
    <t>Community structure of abyssal macrobenthos of the South and equatorial Atlantic Ocean - Identifying patterns and environmental controls</t>
  </si>
  <si>
    <t>Census of the Diversity of Abyssal Marine Life (CeDAMar); Latitudinal gradients of deep-sea BioDIVersity in the Atlantic (DIVA); Epi-and suprabenthic macrofauna; Deep sea; Productivity</t>
  </si>
  <si>
    <t>PERACARID CRUSTACEANS MALACOSTRACA; ANTARCTIC BOTTOM WATER; DEEP-SEA; EPIBENTHIC-SLEDGE; BATHYMETRIC PATTERNS; SPECIES-DIVERSITY; 1ST INSIGHTS; GLOBAL OCEAN; CARBON FLUX; PACIFIC</t>
  </si>
  <si>
    <t>The DIVA (Latitudinal Gradients of Deep-sea BiodDIVersity in the Atlantic) expeditions studied benthic biodiversity of the abyssal Equatorial and South Atlantic as part of the Census of the Diversity of Abyssal Marine Life (CeDAMar), the abyssal component of the ten-year programme Census of Marine Life (2000-2010). Three expeditions were carried out from RV Meteor between 2000 and 2009. Samples were taken along a latitudinal gradient spanning the Cape, Angola, and Guinea basins in the SE Atlantic and the Argentine and Brazilian basins in the SW Atlantic. The objectives of this study were to analyse patterns of epi- and suprabenthic macrofaunal density and composition at higher taxon level from epibenthic sledge (EBS) taken during the DIVA sampling campaigns and how they relate to differences in environmental conditions. In particular, the different oceanic basins are characterized by variation in surface primary productivity, sedimentary properties, and depth. We expected this difference to be reflected in the structure of the abyssal benthic communities. Consistent with this hypothesis, we found significant differences in macrofauna density between different deep-sea basins, mainly related to food availability. However, only subtle differences in community composition were observed. We found that stations in close proximity to one another showed great variability in both macrofaunal density and composition. We conclude that smaller spatial scale sampling should be paired with higher taxonomic resolution analyses of macrofaunal samples to better understand the factors contributing to variations of macrobenthic communities in the deep sea.</t>
  </si>
  <si>
    <t>[Kaiser, Stefanie] Univ Lodz, Dept Invertebrate Zool &amp; Hydrobiol, Lab Polar Biol &amp; Oceanobiol, Banacha St 12-16, PL-90237 Lodz, Poland; [Kaiser, Stefanie] DZMB, INES Integrated Environm Solut UG, Sudstrand 44, D-26382 Wilhelmshaven, Germany; [Kaiser, Stefanie; Brandt, Angelika; Saeedi, Hanieh] Senckenberg Res Inst, Senckenberganlage 25, D-60325 Frankfurt, Germany; [Kaiser, Stefanie; Brandt, Angelika; Saeedi, Hanieh] Nat Hist Museum Frankfurt, Senckenberganlage 25, D-60325 Frankfurt, Germany; [Brandt, Angelika] Goethe Univ Frankfurt, Inst Ecol Evolut &amp; Divers, FB 15,Max von Laue Str 13, D-60439 Frankfurt, Germany; [Brix, Saskia; Kuerzel, Karlotta] Univt Hamburg, German Ctr Marine Biodivers Res DZMB, Senckenberg Meer, Martin Luther King Pl 3, D-20146 Hamburg, Germany; [Brenke, Nils] Sci Marine Serv, Riekersweg 17, D-27798 Hude, Germany; [Arbizu, Pedro Martinez] German Ctr Marine Biodivers Res DZMB, Sudstrand 44, D-26382 Wilhelmshaven, Germany; [Pinkerton, Matt H.] Natl Inst Water &amp; Atmospher Res Ltd, Wellington, New Zealand</t>
  </si>
  <si>
    <t>University of Lodz; Senckenberg Gesellschaft fur Naturforschung (SGN); Goethe University Frankfurt; Senckenberg Gesellschaft fur Naturforschung (SGN); National Institute of Water &amp; Atmospheric Research (NIWA) - New Zealand</t>
  </si>
  <si>
    <t>Kaiser, S (corresponding author), Senckenberg Res Inst, Senckenberganlage 25, D-60325 Frankfurt, Germany.;Kaiser, S (corresponding author), Nat Hist Museum Frankfurt, Senckenberganlage 25, D-60325 Frankfurt, Germany.</t>
  </si>
  <si>
    <t>ssm.kaiser@gmail.com</t>
  </si>
  <si>
    <t>Pinkerton, Matt/0000-0001-7948-720X; Kaiser, Stefanie/0000-0003-2026-4663</t>
  </si>
  <si>
    <t>German Research Foundation (DFG); Alfred Sloan Foundation; Narodowa Agencja Wymiany Akademickiej (Poland); DFG [BR1121/22 13, BR1121/28 1, GPF 20-3_087]; NIWA Strategic Science Investment Fund (New Zealand SSIF) Programme 4 Marine Foodweb Dynamics</t>
  </si>
  <si>
    <t>German Research Foundation (DFG)(German Research Foundation (DFG)); Alfred Sloan Foundation(Alfred P. Sloan Foundation); Narodowa Agencja Wymiany Akademickiej (Poland); DFG(German Research Foundation (DFG)); NIWA Strategic Science Investment Fund (New Zealand SSIF) Programme 4 Marine Foodweb Dynamics</t>
  </si>
  <si>
    <t>Funding the DIVA 1-3 expeditions was provided by the German Research Foundation (DFG) and the Alfred Sloan Foundation for financial support through the Census of Marine Life project. SK was funded by the Narodowa Agencja Wymiany Akademickiej (Poland) under the ULAM program. AB received grants via the DFG BR1121/22 1-3; BR1121/28 1. KK was funded via the DFG grant GPF 20-3_087 to SB as part of the IceDivA project. SeaWiFS and MODIS data used courtesy of NASA, Goddard Space Flight Center, USA. Funding for MP was provided by NIWA Strategic Science Investment Fund (New Zealand SSIF) Programme 4 Marine Foodweb Dynamics.</t>
  </si>
  <si>
    <t>10.1016/j.dsr.2023.104066</t>
  </si>
  <si>
    <t>MAY 2023</t>
  </si>
  <si>
    <t>Q2CJ8</t>
  </si>
  <si>
    <t>WOS:001055646000001</t>
  </si>
  <si>
    <t>Khan, H; Govil, P; Panchang, R; Agrawal, S; Kumar, P; Kumar, B; Verma, D</t>
  </si>
  <si>
    <t>Khan, Hidayatullah; Govil, Pawan; Panchang, Rajani; Agrawal, Shailesh; Kumar, Pankaj; Kumar, Brijesh; Verma, Divya</t>
  </si>
  <si>
    <t>Surface and thermocline ocean circulation intensity changes in the western Arabian Sea during ∼172 kyr</t>
  </si>
  <si>
    <t>Planktonic foraminiferal assemblage; Stable oxygen isotope of Globigerinoides ruber and Neogloboquadrina dutertrei (delta O-18(G. ruber) and delta O-18(N. dutertrei)); Palaeoproductivity; Upwelling and winter convection mixing; Monsoonal variability; Mixed and thermocline layer; Surface and subsurface circulation</t>
  </si>
  <si>
    <t>ASIAN SOUTHWEST MONSOON; TROPICAL INDIAN-OCEAN; PLANKTONIC FORAMINIFER; SUMMER-MONSOON; HYDROGRAPHIC CONDITIONS; CLIMATIC CHANGES; HOLOCENE; INDEXES; RECORD; RECONSTRUCTION</t>
  </si>
  <si>
    <t>The relationship between monsoon-induced productivity and ocean circulation over millennial time-scales is crucial. However, a study regarding the circulation of the western Arabian Sea (WAS) needs to be conducted. Understanding the seasonal, surface, and thermocline ocean circulation throughout the glacial-Interglacial period in the WAS is also elusive and essential. The long distant Antarctic Intermediate Water (AAIW) flow, and Sub-antarctic Mode Water (SAMW) penetration to the north side of the equator in the Indian Ocean needs to be understood and underlined using the micropaleontological (planktonic foraminiferal assemblages) and geochemical analysis such as oxygen isotope of Globigerinoides ruber and Neogloboquadrina dutertrei (delta O-18(G.ruber) and delta O-18(N.dutertrei)) in this study. Furthermore, understanding the variations in paleoproductivity, upper oceanic water column stratification, surface mixing, and thermocline layer variability in the WAS is also helpful. According to the results, the variation in the upwelling intensity during Glacial-Interglacial and monsoon variation suggest the upper water stratification/vertical mixing in the WAS. Here, we provide new evidence of poorly ventilated water mass in our region. Our results indicate that enhanced northward expansion of AAIW coincides with the weakening of summer monsoon during glacial periods except mid-MIS4, reflected by isotopic study and assemblages. In this context, depleted delta O-18(N.dutertrei) value and high concentration of Globorotalia menardii (G. menardii) were due to lack/absence of AAIW ventilation and SAMW; therefore, warming occurred in the mid-MIS4. (c) 2023 Elsevier Ltd. All rights reserved.</t>
  </si>
  <si>
    <t>[Khan, Hidayatullah; Govil, Pawan; Agrawal, Shailesh; Kumar, Brijesh; Verma, Divya] Birbal Sahni Inst Palaeosci, Lucknow 226007, UP, India; [Khan, Hidayatullah; Govil, Pawan; Kumar, Brijesh; Verma, Divya] Acad Sci &amp; Innovat Res AcSIR, Ghaziabad 201002, UP, India; [Panchang, Rajani] Savitribai Phule Pune Univ, Dept Environm Sci, Pune 411007, Maharashtra, India; [Kumar, Pankaj] Interuniv Accelerator Ctr, New Delhi 110067, India</t>
  </si>
  <si>
    <t>Department of Science &amp; Technology (India); Birbal Sahni Institute of Palaeobotany (BSIP); Academy of Scientific &amp; Innovative Research (AcSIR); Savitribai Phule Pune University; Inter-University Accelerator Centre</t>
  </si>
  <si>
    <t>Govil, P (corresponding author), Birbal Sahni Inst Palaeosci, Lucknow 226007, UP, India.</t>
  </si>
  <si>
    <t>pawan_govil@bsip.res.in</t>
  </si>
  <si>
    <t>Kumar, Brijesh/GPP-3392-2022; Kumar, Pankaj/AAD-2135-2019; Kumar, Pankaj/M-8612-2015</t>
  </si>
  <si>
    <t>Kumar, Brijesh/0000-0003-0271-3445; Kumar, Pankaj/0000-0001-7050-582X; Kumar, Pankaj/0000-0001-7050-582X</t>
  </si>
  <si>
    <t>Department of Science and Technology, New Delhi [IF 170933]; Ministry of Earth Science (MoES), Govt. of India [MoES 16/07/11(i)-RDEAS, MoES P.S. (Seismic)8(09)-Geochron/2012]</t>
  </si>
  <si>
    <t>Department of Science and Technology, New Delhi(Department of Science &amp; Technology (India)); Ministry of Earth Science (MoES), Govt. of India</t>
  </si>
  <si>
    <t>The authors are thankful to the Director Birbal Sahni Institute of Palaeosciences, Lucknow, for providing the required facilities to carry out this work and permitting us to publish the same. Thanks to the International Core Repository at Lamont Geological Observatory of Columbia University for providing the samples. The author is grateful to the Department of Science and Technology, New Delhi, for awarding the INSPIRE Fellowship (IF 170933) . The authors are thankful to IUAC for extending the AMS facility for 14C dates funded by the Ministry of Earth Science (MoES), Govt. of India with reference number MoES 16/07/11(i)-RDEAS and MoES P.S. (Seismic)8(09)-Geochron/2012. The BSIP manuscript no. is BSIP/RDCC/Publication no. 53/2022-2023.</t>
  </si>
  <si>
    <t>10.1016/j.quascirev.2023.108133</t>
  </si>
  <si>
    <t>K2MC1</t>
  </si>
  <si>
    <t>WOS:001014822000001</t>
  </si>
  <si>
    <t>Wood, MJ; Brock, G; Kietzig, AM</t>
  </si>
  <si>
    <t>Wood, Michael J.; Brock, Gregory; Kietzig, Anne -Marie</t>
  </si>
  <si>
    <t>The penguin feather as inspiration for anti-icing surfaces</t>
  </si>
  <si>
    <t>COLD REGIONS SCIENCE AND TECHNOLOGY</t>
  </si>
  <si>
    <t>Ice -Shedding; Biomimetic; Anti -Icing; Ice Adhesion; Fracturing</t>
  </si>
  <si>
    <t>ICE PROTECTION SYSTEMS; ANTI-ICE; ADHESION; COATINGS; WETTABILITY; WATER; ISSUES; OIL</t>
  </si>
  <si>
    <t>Understanding how to influence ice adhesion to structures and prevent icing catastrophes is a paramount research question. Conventional industrial anti-icing methods are active, requiring an energy source. However, active strategies are energy intensive. Passive anti-icing surfaces have thus become an area of engineering in-terest. Such strategies, like low surface energy chemical coatings, produce highly anti-icing surfaces on a lab -scale but they have not succeeded in industrial applications. They lack efficacy over repeated icing/de-icing cycles and their materials are unsuited for harsh environments. The body feather of the sub-Antarctic Gento penguin Pygoscelis papua, which ornithologists note is perpetually free of ice despite its freezing environment, serves as a compelling source of passive anti-icing biomimetic inspiration which may overcome these afore-mentioned deficiencies. Through studying these feathers, it has become clear that two aspects of anti-icing (water-shedding and ice-shedding) are addressed in distinct ways by the Gentoo penguin. The water-shedding functionality of the feathers is derived from an air cushion created by the wire-like microstructure of the feather and is augmented by nano-scale grooves in the feather coated in preen oil. The preen oil is necessary to maintain water-shedding functionality, however once removed the ice-shedding functionality of the feathers is maintained. The ice-shedding functionality appears to be derived from wire-like morphology of the penguin body feather barbs and barbules which induce cracks that are easily opened at the ice-feather interface. Such a design strategy shows promise in addressing the common failings of passive systems. These anti-icing strategies were then tested on metallic biomimetic substrates. The barb structure of the penguin body feather was mimicked using ultra-fine woven stainless-steel wire cloth. Some stainless-steel wire cloths were laser machined to mimic the texturing and surface chemistry of the feathers. These cloths were indeed hydrophobic like the feathers. Both stainless-steel wire cloths had significantly reduced ice adhesion strengths compared to those of the flat monolithic stainless-steel sample. The laser-machined wire cloth had an ice adhesion strength of 63 &amp; PLUSMN; 10 kPa compared to 603 &amp; PLUSMN; 236 kPa for the flat sample. This both indicates that the ice-shedding capabilities of the sample are imparted by the structure and further strengthens the argument that water-shedding and ice-shedding are distinct phenomena that need to be addressed with two separate design strategies.</t>
  </si>
  <si>
    <t>[Wood, Michael J.; Brock, Gregory; Kietzig, Anne -Marie] McGill Univ, Dept Chem Engn, Montreal, PQ, Canada</t>
  </si>
  <si>
    <t>McGill University</t>
  </si>
  <si>
    <t>Kietzig, AM (corresponding author), McGill Univ, Dept Chem Engn, Montreal, PQ, Canada.</t>
  </si>
  <si>
    <t>anne.kietzig@mcgill.ca</t>
  </si>
  <si>
    <t>Natural Sciences and Engineering Research Council of Canada (NSERC) [RGPIN-2016-04641]</t>
  </si>
  <si>
    <t>Natural Sciences and Engineering Research Council of Canada (NSERC)(Natural Sciences and Engineering Research Council of Canada (NSERC))</t>
  </si>
  <si>
    <t>This work was supported by a Natural Sciences and Engineering Research Council of Canada (NSERC) Discovery Grant (RGPIN-2016-04641) . The authors thank Dr. Emiko Wong, director of live populations, conservation, and research at the Biodme de Montre ' al for collecting and supplying the moulted penguin feather specimens. The authors thank Catherine Clark, David Orchard, and Gislain Chevrette at the National Research Council Canada Aerospace Research Center for their aid running the Altitude Icing Wind Tunnel tests.</t>
  </si>
  <si>
    <t>0165-232X</t>
  </si>
  <si>
    <t>1872-7441</t>
  </si>
  <si>
    <t>COLD REG SCI TECHNOL</t>
  </si>
  <si>
    <t>Cold Reg. Sci. Tech.</t>
  </si>
  <si>
    <t>10.1016/j.coldregions.2023.103903</t>
  </si>
  <si>
    <t>Engineering, Environmental; Engineering, Civil; Geosciences, Multidisciplinary</t>
  </si>
  <si>
    <t>Engineering; Geology</t>
  </si>
  <si>
    <t>K0RJ1</t>
  </si>
  <si>
    <t>WOS:001013603100001</t>
  </si>
  <si>
    <t>Smith, AJR; Wotherspoon, SJ; Cox, MJ</t>
  </si>
  <si>
    <t>Smith, Abigail J. R.; Wotherspoon, Simon J.; Cox, Martin J.</t>
  </si>
  <si>
    <t>Per-length biomass estimates of Antarctic krill (Euphausia superba)</t>
  </si>
  <si>
    <t>conversion factor; length-wetmass relationship; length-frequency; size distribution; net sampling</t>
  </si>
  <si>
    <t>TARGET-STRENGTH MODEL; SIZE; VARIABILITY; MANAGEMENT; FISHERY; GROWTH; SWARMS; AGE</t>
  </si>
  <si>
    <t>Total biomass and areal biomass density are often necessary to establish ecological relationships and enable informed management decisions, in particular setting fisheries catch limits. Further refining these estimates to sub-population biomass based on length informs ecological models of predator-prey dynamics, ecosystem energy transfer and biogeochemical cycles; however, measures of uncertainty in these per-length biomass estimates are needed. We present a statistical method to calculate the per-length biomass of Antarctic krill (Euphausia superba) from conversion factors using acoustic and net sample data. Variability in krill length-frequency, and wetmass introduced by net sampling is also explored through non-parametric bootstrapping. We applied this method on a 1 mm length window to active acoustic and net sample data collected during an Antarctic krill biomass survey in CCAMLR Division 58.4.2 (62 - 67 degrees S; 55 - 80 degrees E, with a survey area of 775,732 km(2)) performed between February - March 2021. We found that 77% of the total estimated biomass was attributable to krill of length 14 - 49 mm. The largest biomass of krill in a single length bin was estimated as 340,000 t (95% CI: 148,000 - 408,000 t) and was found in the 49 mm length bin (i.e., 48.5 to 49.5 mm). This method will allow future surveys (with sufficient data) to estimate biomass of krill on a per-length basis along with associated uncertainty (confidence intervals) derived from net sampling and so may be used to provision size-based ecosystem models with krill biomass.</t>
  </si>
  <si>
    <t>[Smith, Abigail J. R.] Univ Tasmania, Inst Marine &amp; Antarctic Studies, Australian Antarctic Program Partnership, Nipaluna Hobart, Tas, Australia; [Wotherspoon, Simon J.; Cox, Martin J.] Australian Antarctic Div, Southern Ocean Ecosyst Program, Kingston, Tas, Australia; [Cox, Martin J.] Australian Antarctic Div, Integrated Digital East Antarct IDEA, Kingston, Tas, Australia</t>
  </si>
  <si>
    <t>University of Tasmania; Australian Antarctic Division; Australian Antarctic Division</t>
  </si>
  <si>
    <t>Smith, AJR (corresponding author), Univ Tasmania, Inst Marine &amp; Antarctic Studies, Australian Antarctic Program Partnership, Nipaluna Hobart, Tas, Australia.</t>
  </si>
  <si>
    <t>Abigail.Smith@utas.edu.au</t>
  </si>
  <si>
    <t>Smith, Abigail/0000-0003-4408-2290</t>
  </si>
  <si>
    <t>Australian Antarctic Program Partnership (AAPP) [ASCI000002]; Pew Charitable Trust [00034287]; Antarctic Science Foundation (ASF) [T1F:115595]</t>
  </si>
  <si>
    <t>Australian Antarctic Program Partnership (AAPP); Pew Charitable Trust; Antarctic Science Foundation (ASF)</t>
  </si>
  <si>
    <t>Australian Antarctic Program Partnership (AAPP) ASCI000002, The Pew Charitable Trust (ID 00034287), Antarctic Science Foundation (ASF) T1F:115595.</t>
  </si>
  <si>
    <t>MAY 31</t>
  </si>
  <si>
    <t>10.3389/fmars.2023.1107567</t>
  </si>
  <si>
    <t>J0CU2</t>
  </si>
  <si>
    <t>WOS:001006377000001</t>
  </si>
  <si>
    <t>Zhang, Q; Gui, YY; Zhao, LY; Zhang, A; Fu, LP; Cao, Z; Li, J</t>
  </si>
  <si>
    <t>Zhang, Qian; Gui, Yuanyuan; Zhao, Luying; Zhang, Ao; Fu, Liping; Cao, Zhe; Li, Jiang</t>
  </si>
  <si>
    <t>Identification and characterization of ι-carrageenase from macroalgae-associated bacterium Microbulbifer sp. YNDZ01</t>
  </si>
  <si>
    <t>JOURNAL OF THE SCIENCE OF FOOD AND AGRICULTURE</t>
  </si>
  <si>
    <t>iota-carrageenase; biochemical characteristics; CGOS-DP8; anti-inflammatory</t>
  </si>
  <si>
    <t>RED SEAWEED GALACTANS; FERMENTATION OPTIMIZATION; ANTICOAGULANT PROPERTIES; OLIGOSACCHARIDES; PURIFICATION; IMMUNOMODULATION; POLYSACCHARIDES; DERIVATIVES; ANTITUMOR; CLONING</t>
  </si>
  <si>
    <t>BACKGROUND: In the present study, the iota-carrageenase gene, Car1293, was obtained from the genome of Microbulbifer sp. YNDZ01, which was isolated from the surface of macroalgae. To date, there are few studies on iota-carrageenase and the anti-inflammatory activity of iota-carrageenan oligosaccharides (CGOS). To enhance our perspective on iota-carrageenase and iota-carrageen oligosaccharides, the sequence, protein structure, enzymatic properties, enzymatic digestion products and anti-inflammatory activity of the gene were investigated. RESULTS: The gene length of Car1293 is 2,589 bp, encoding an enzyme with 862 amino acids, which shares 34% similarity with any previously reported iota-carrageenase. The spatial structure of Car1293 consists of many alpha-helices with a beta-fold binding module located at its terminus, and eight binding sites were found in the binding module as a result of docking with CGOS-DP4 ligand. The optimum temperature and pH for the activity of recombinant Car1293 toward. iota-carrageenan were 50 degrees C and 6.0, respectively. The hydrolysates of Car1293 are mainly degree of polymerization (DP)8, with minor products showing DP2, DP4, and DP6. The enzymatic hydrolysates CGOS-DP8 showed prominent anti-inflammatory activity, which was greater than that of the positive control L-monomethylarginine in lipopolysaccharide-induced RAW264.7 macrophages. It inhibited nitric oxide production, as well as significantly inhibited tumor necrosis factor-alpha and interleukin-6 secretion. CONCLUSION: The iota-carrageenase sequence encoded by Car1293 is novel and can hydrolyze carrageenan into CGOS-DP8 that has a significant anti-inflammatory effect. The present study fills a gap in the research on the biological activity of oligosaccharides in iota-carrageenan and provides promising data for the development of natural anti-inflammatory agent. (c) 2023 Society of Chemical Industry.</t>
  </si>
  <si>
    <t>[Li, Jiang] Nat Resource Management, Inst Oceanog 1, Key Lab Ecol Environm Sci &amp; Tech nol, Qingdao 266061, Peoples R China; [Zhang, Qian; Gui, Yuanyuan; Zhao, Luying; Fu, Liping; Cao, Zhe; Li, Jiang] Minist Nat Resources, Inst Oceanog 1, Key Lab Ecol Environm Sci &amp; Technol, Qingdao, Peoples R China; [Zhang, Ao] Qingdao Univ Sci &amp; Technol, Coll Chem Engn, Qingdao, Peoples R China</t>
  </si>
  <si>
    <t>First Institute of Oceanography, Ministry of Natural Resources; Ministry of Natural Resources of the People's Republic of China; Qingdao University of Science &amp; Technology</t>
  </si>
  <si>
    <t>Li, J (corresponding author), Nat Resource Management, Inst Oceanog 1, Key Lab Ecol Environm Sci &amp; Tech nol, Qingdao 266061, Peoples R China.</t>
  </si>
  <si>
    <t>wang, wenjing/KEH-0575-2024; fu, liping/HGV-1950-2022</t>
  </si>
  <si>
    <t>National Key Research and Development Program of China [2018YFD0900705]; Impact and Response of Antarctic Seas to Climate Change [RFSOCC2020-2022]</t>
  </si>
  <si>
    <t>National Key Research and Development Program of China; Impact and Response of Antarctic Seas to Climate Change</t>
  </si>
  <si>
    <t>This research was supported by the National Key Research and Development Program of China (2018YFD0900705); Impact and Response of Antarctic Seas to Climate Change (RFSOCC2020-2022).</t>
  </si>
  <si>
    <t>0022-5142</t>
  </si>
  <si>
    <t>1097-0010</t>
  </si>
  <si>
    <t>J SCI FOOD AGR</t>
  </si>
  <si>
    <t>J. Sci. Food Agric.</t>
  </si>
  <si>
    <t>10.1002/jsfa.12705</t>
  </si>
  <si>
    <t>N5ZH5</t>
  </si>
  <si>
    <t>WOS:000999802700001</t>
  </si>
  <si>
    <t>Ranganathan, M; Barotta, JW; Meyer, CR; Minchew, B</t>
  </si>
  <si>
    <t>Ranganathan, Meghana; Barotta, Jack-William; Meyer, Colin R.; Minchew, Brent</t>
  </si>
  <si>
    <t>Meltwater generation in ice stream shear margins: case study in Antarctic ice streams</t>
  </si>
  <si>
    <t>PROCEEDINGS OF THE ROYAL SOCIETY A-MATHEMATICAL PHYSICAL AND ENGINEERING SCIENCES</t>
  </si>
  <si>
    <t>Antarctica; glaciers; meltwater; ice sheets; glacial hydrology; temperate ice</t>
  </si>
  <si>
    <t>COMPRESSIVE CREEP; BASAL MECHANICS; SUBGLACIAL TILL; FLOW; GLACIER; DYNAMICS; DEFORMATION; RHEOLOGY; FRICTION; VELOCITY</t>
  </si>
  <si>
    <t>Liquid water within glacier ice and at the glacier beds exerts a significant control on ice flow and glacier stability through a number of processes, including altering the rheology of the ice and lubricating the bed. Some of this water is generated as melt from regions of rapid deformation, including shear margins, due to heating by viscous dissipation. However, how much meltwater is generated and drained from shear margins remains unclear. Here, we apply a model that describes the evolution of ice temperature, melting, and water transport within deforming ice to estimate the flux of meltwater from shear margins in glaciers. We estimate the flux of meltwater from temperate ice zones in three Antarctic regions: Bindschadler and MacAyeal Ice Streams, Pine Island Glacier, and Byrd Glacier. We show that the flux of meltwater from shear margins in these regions may be as significant as the meltwater produced by frictional heating at the bed, with average fluxes of similar to 0.005-0.1 m yr-1. This contribution of shear heating to meltwater flux at the bed may thus affect both the rheology of the ice as well as sliding at the bed, both key controls on fast ice flow.</t>
  </si>
  <si>
    <t>[Ranganathan, Meghana] Georgia Inst Technol, Sch Earth &amp; Atmospher Sci, Atlanta, GA 30332 USA; [Ranganathan, Meghana; Minchew, Brent] MIT, Dept Earth Atmospher &amp; Planetary Sci, Cambridge, MA 02139 USA; [Barotta, Jack-William] MIT, Dept Math, Cambridge, MA USA; [Barotta, Jack-William] Brown Univ, Sch Engn, Providence, RI USA; [Meyer, Colin R.] Dartmouth Coll, Thayer Sch Engn, Hanover, NH USA</t>
  </si>
  <si>
    <t>University System of Georgia; Georgia Institute of Technology; Massachusetts Institute of Technology (MIT); Massachusetts Institute of Technology (MIT); Brown University; Dartmouth College</t>
  </si>
  <si>
    <t>Ranganathan, M (corresponding author), Georgia Inst Technol, Sch Earth &amp; Atmospher Sci, Atlanta, GA 30332 USA.;Ranganathan, M (corresponding author), MIT, Dept Earth Atmospher &amp; Planetary Sci, Cambridge, MA 02139 USA.</t>
  </si>
  <si>
    <t>meghanar@ucar.edu</t>
  </si>
  <si>
    <t>Meyer, Colin R./AAC-9138-2019</t>
  </si>
  <si>
    <t>Meyer, Colin R./0000-0002-1209-1881; Barotta, Jack-William/0000-0001-6769-5132; Ranganathan, Meghana/0000-0002-8099-4775</t>
  </si>
  <si>
    <t>NOAA C&amp;GC Postdoctoral Fellowship; Martin Fellowship; NSFGEO-NERC [1853918]; NSF-NERC [1739031]; NEC Corporation Fund for Research in Computers and Communications; NSF [2012958]; Army Research Office [78811EG]; Departmentof Defense (DoD) through the National Defense Science &amp; Engineering Graduate (NDSEG) Fellowship Program</t>
  </si>
  <si>
    <t>NOAA C&amp;GC Postdoctoral Fellowship; Martin Fellowship; NSFGEO-NERC; NSF-NERC; NEC Corporation Fund for Research in Computers and Communications; NSF(National Science Foundation (NSF)); Army Research Office; Departmentof Defense (DoD) through the National Defense Science &amp; Engineering Graduate (NDSEG) Fellowship Program(United States Department of Defense)</t>
  </si>
  <si>
    <t>M.I.R. was supported by the NOAA C&amp;GC Postdoctoral Fellowship, Martin Fellowship, from NSFGEO-NERC award 1853918. B.M. acknowledges funding from NSFGEO-NERC award 1853918, NSF-NERC award 1739031, and NEC Corporation Fund for Research in Computers and Communications. C.R.M. was supported by NSF 2012958 and Army Research Office 78811EG. J.W.B. was supported by the Departmentof Defense (DoD) through the National Defense Science &amp; Engineering Graduate (NDSEG) Fellowship Program.</t>
  </si>
  <si>
    <t>1364-5021</t>
  </si>
  <si>
    <t>1471-2946</t>
  </si>
  <si>
    <t>P ROY SOC A-MATH PHY</t>
  </si>
  <si>
    <t>Proc. R. Soc. A-Math. Phys. Eng. Sci.</t>
  </si>
  <si>
    <t>10.1098/rspa.2022.0473</t>
  </si>
  <si>
    <t>I0HE2</t>
  </si>
  <si>
    <t>WOS:000999663300003</t>
  </si>
  <si>
    <t>Del Carlo, P; Di Roberto, A; Re, G; Albert, PG; Smith, VC; Giudice, G; Larocca, G; Scateni, B; Cannata, A</t>
  </si>
  <si>
    <t>Del Carlo, Paola; Di Roberto, Alessio; Re, Giuseppe; Albert, Paul G.; Smith, Victoria C.; Giudice, Gaetano; Larocca, Graziano; Scateni, Bianca; Cannata, Andrea</t>
  </si>
  <si>
    <t>Historical explosive activity of Mount Melbourne Volcanic Field (Antarctica) revealed by englacial tephra deposits</t>
  </si>
  <si>
    <t>BULLETIN OF VOLCANOLOGY</t>
  </si>
  <si>
    <t>Antarctica; Mount Melbourne Volcanic Field; Explosive eruptions; Englacial tephra; Glass geochemistry; Historical eruptions</t>
  </si>
  <si>
    <t>NORTHERN VICTORIA LAND; MULTIPLE RHYOLITE MAGMAS; ICE CORES; ERUPTION EPISODE; EREBUS VOLCANO; RECORD; STRATIGRAPHY; FRAMEWORK; LAYERS; ROCKS</t>
  </si>
  <si>
    <t>Five tephra layers named BRH1 to 5 were sampled in an ice cliff located on the north-eastern flank of Mount Melbourne (northern Victoria Land, Antarctica). The texture, componentry, mineralogy, and major and trace element compositions of glass shards have been used to characterize these layers. These properties suggest that they are primary fall deposits produced from discrete eruptions that experienced varying degrees of magma/water interaction. The major and trace element glass shard analyses on single glass shards indicate that Mount Melbourne Volcanic Field is the source of these tephra layers and the geochemical diversity highlights that the eruptions were fed by compositionally diverse melts that are interpreted to be from a complex magma system with a mafic melt remobilizing more evolved trachy-andesitic to trachytic magma pockets. Geochemical compositions, along with textural and mineralogical data, have allowed correlations between two of the englacial tephra and distal cryptotephra from Mount Melbourne, recovered within a marine sediment core in the Edisto Inlet (similar to 280 km northeast of Mount Melbourne), and constrain the age of these englacial tephra layers to between the third and the fourth century CE. This work provides new evidence of the intense historical explosive activity of the Mount Melbourne Volcanic Field and better constrains the rates of volcanism in northern Victoria Land. These data grant new clues on the eruptive dynamics and tephra dispersal, and considerably expand the geochemical (major and trace elements) dataset available for the Mount Melbourne Volcanic Field. In the future, this will facilitate the precise identification of tephra layers from this volcanic source and will help define the temporal and spatial correlation between Antarctic records using tephra layers. Finally, this work also yields new valuable time-stratigraphic marker horizons for future dating, synchronization, and correlations of different palaeoenvironmental and palaeoclimatic records across large regions of Antarctica.</t>
  </si>
  <si>
    <t>[Del Carlo, Paola; Di Roberto, Alessio; Re, Giuseppe; Scateni, Bianca] Ist Nazl Geofis &amp; Vulcanol, Sez Pisa, Via C Battisti 53, I-56125 Pisa, Italy; [Albert, Paul G.] Swansea Univ, Dept Geog, Singleton Pk, Swansea SA2 8PP, Wales; [Smith, Victoria C.] Univ Oxford, Res Lab Archaeol &amp; Hist Art, 1 South Parks Rd, Oxford OX1 3TG, England; [Giudice, Gaetano; Larocca, Graziano; Cannata, Andrea] Ist Nazl Geofis &amp; Vulcanol, Osservatorio Etneo, Piazza Roma 2, I-95125 Catania, Italy; [Scateni, Bianca] Univ Pisa, Dipartimento Sci Terra, I-56126 Pisa, Italy; [Cannata, Andrea] Univ Catania, Dipartimento Sci Biol Geolog &amp; Ambientali, Corso Italia 57, I-95125 Catania, Italy</t>
  </si>
  <si>
    <t>Istituto Nazionale Geofisica e Vulcanologia (INGV); Swansea University; University of Oxford; Istituto Nazionale Geofisica e Vulcanologia (INGV); University of Pisa; University of Catania</t>
  </si>
  <si>
    <t>Di Roberto, A (corresponding author), Ist Nazl Geofis &amp; Vulcanol, Sez Pisa, Via C Battisti 53, I-56125 Pisa, Italy.</t>
  </si>
  <si>
    <t>paola.delcarlo@ingv.it; alessio.diroberto@ingv.it; giuseppe.re@ingv.it</t>
  </si>
  <si>
    <t>Smith, Victoria/AAA-4152-2021; Di Roberto, Alessio/C-3547-2014</t>
  </si>
  <si>
    <t>Smith, Victoria/0000-0003-0878-5060; Di Roberto, Alessio/0000-0003-1167-8290; Scateni, Bianca/0000-0003-3592-6113</t>
  </si>
  <si>
    <t>0258-8900</t>
  </si>
  <si>
    <t>1432-0819</t>
  </si>
  <si>
    <t>B VOLCANOL</t>
  </si>
  <si>
    <t>Bull. Volcanol.</t>
  </si>
  <si>
    <t>10.1007/s00445-023-01651-2</t>
  </si>
  <si>
    <t>H8MS8</t>
  </si>
  <si>
    <t>WOS:000998443700001</t>
  </si>
  <si>
    <t>Fonseca, R; Francis, D; Aulicino, G; Mattingly, KS; Fusco, G; Budillon, G</t>
  </si>
  <si>
    <t>Fonseca, Ricardo; Francis, Diana; Aulicino, Giuseppe; Mattingly, Kyle S.; Fusco, Giannetta; Budillon, Giorgio</t>
  </si>
  <si>
    <t>Atmospheric controls on the Terra Nova Bay polynya occurrence in Antarctica</t>
  </si>
  <si>
    <t>Terra Nova Bay Polynya; Ross Sea; Warm air intrusions; Katabatic winds; Amundsen sea low; Sea ice drift</t>
  </si>
  <si>
    <t>SOUTHERN ANNULAR MODE; SEA-ICE CONCENTRATION; ROSS SEA; TEMPERATURE; VARIABILITY; REANALYSES; DYNAMICS; PATTERNS; IMPACTS; CLIMATE</t>
  </si>
  <si>
    <t>Polynyas, or ice-free regions within the sea ice pack, are a common occurrence around Antarctica. A recurrent and often large polynya is the Terra Nova Bay Polynya (TNBP), located on the western side of the Ross Sea just off Victoria Land. In this study, we investigate the atmospheric conditions leading to the occurrence of the TNBP and its spatial variability, as estimated using satellite-derived ice surface temperature and sea ice concentration data. A cluster analysis revealed that katabatic winds descending the Transantarctic Mountains, account for about 45% of the days when the TNBP exceeded its 2010-2017 mean extent plus one standard deviation. Warmer and more moist air intrusions from lower-latitudes from the Pacific Ocean, which are favoured in the negative phase of the Southern Annular Mode, play a role in its expansion in the remaining days. This is more frequent in the transition seasons, when such events are more likely to reach Antarctica and contribute to the occurrence and the widening of the polynya. In-situ weather data confirmed the effects of the mid-latitude air intrusions, while sea ice drifts of up to 25 km day(-1) cleared the ice offshore and promoted the widening of the polynya starting from the coastal areas. Knowing the atmospheric factors involved in the occurrence of coastal polynyas around Antarctica is essential as it helps in improving their representation and predictability in climate models and hence advance the models' capabilities in projecting Antarctic sea ice variability.</t>
  </si>
  <si>
    <t>[Fonseca, Ricardo; Francis, Diana] Khalifa Univ, Earth Sci Dept, Environm &amp; Geophys Sci ENGEOS Lab, Abu Dhabi, U Arab Emirates; [Aulicino, Giuseppe; Fusco, Giannetta; Budillon, Giorgio] Univ Napoli Parthenope, Dipartimento Sci &amp; Tecnol, I-80143 Naples, Italy; [Mattingly, Kyle S.] Univ Wisconsin Madison, Space Sci &amp; Engn Ctr, Madison, WI USA</t>
  </si>
  <si>
    <t>Khalifa University of Science &amp; Technology; Parthenope University Naples; University of Wisconsin System; University of Wisconsin Madison</t>
  </si>
  <si>
    <t>Francis, D (corresponding author), Khalifa Univ, Earth Sci Dept, Environm &amp; Geophys Sci ENGEOS Lab, Abu Dhabi, U Arab Emirates.</t>
  </si>
  <si>
    <t>; FRANCIS, Diana/N-3729-2018</t>
  </si>
  <si>
    <t>Fonseca, Ricardo/0000-0002-8562-7368; FRANCIS, Diana/0000-0002-7587-0006</t>
  </si>
  <si>
    <t>Masdar Abu Dhabi Future Energy Company in the United Arab Emirates [8434000222]</t>
  </si>
  <si>
    <t>Masdar Abu Dhabi Future Energy Company in the United Arab Emirates</t>
  </si>
  <si>
    <t>This work was supported by Masdar Abu Dhabi Future Energy Company in the United Arab Emirates, Grant number 8434000222.</t>
  </si>
  <si>
    <t>10.1007/s00382-023-06845-0</t>
  </si>
  <si>
    <t>WOS:000999282200002</t>
  </si>
  <si>
    <t>Liu, YP; Xu, XT; Dimitrov, D; Pellissier, L; Borregaard, MK; Shrestha, N; Su, XY; Luo, A; Zimmermann, NE; Rahbek, C; Wang, ZH</t>
  </si>
  <si>
    <t>Liu, Yunpeng; Xu, Xiaoting; Dimitrov, Dimitar; Pellissier, Loic; Borregaard, Michael K.; Shrestha, Nawal; Su, Xiangyan; Luo, Ao; Zimmermann, Niklaus E.; Rahbek, Carsten; Wang, Zhiheng</t>
  </si>
  <si>
    <t>An updated floristic map of the world</t>
  </si>
  <si>
    <t>BIOGEOGRAPHICAL REGIONS; GLOBAL PATTERNS; BETA DIVERSITY; DIVERSIFICATION; TIME; REGIONALIZATION; CONSERVATION; RICHNESS; HISTORY; CLIMATE</t>
  </si>
  <si>
    <t>Floristic regions reflect the geographic organization of floras and provide essential tools for biological studies. Previous global floristic regions are generally based on floristic endemism, lacking a phylogenetic consideration that captures floristic evolution. Moreover, the contribution of tectonic dynamics and historical and current climate to the division of floristic regions remains unknown. Here, by integrating global distributions and a phylogeny of 12,664 angiosperm genera, we update global floristic regions and explore their temporal changes. Eight floristic realms and 16 nested sub-realms are identified. The previously-defined Holarctic, Neotropical and Australian realms are recognized, but Paleotropical, Antarctic and Cape realms are not. Most realms have formed since Paleogene. Geographic isolation induced by plate tectonics dominates the formation of floristic realms, while current/historical climate has little contribution. Our study demonstrates the necessity of integrating distributions and phylogenies in regionalizing floristic realms and the interplay of macroevolutionary and paleogeographic processes in shaping regional floras. This study updates the floristic realms of the world by integrating global distributions and mega-phylogenies of 12,664 angiosperm genera. Eight realms and 16 sub-realms are identified, most of which have formed since the Paleogene, and their formation is dominated by geographic isolation induced by plate tectonics rather than current or historical climate.</t>
  </si>
  <si>
    <t>[Liu, Yunpeng; Xu, Xiaoting; Shrestha, Nawal; Su, Xiangyan; Luo, Ao; Rahbek, Carsten; Wang, Zhiheng] Peking Univ, Inst Ecol, Coll Urban &amp; Environm Sci, Beijing 100871, Peoples R China; [Liu, Yunpeng; Xu, Xiaoting; Shrestha, Nawal; Su, Xiangyan; Luo, Ao; Rahbek, Carsten; Wang, Zhiheng] Peking Univ, Inst Ecol, Key Lab Earth Surface Proc, Minist Educ, Beijing 100871, Peoples R China; [Liu, Yunpeng; Borregaard, Michael K.; Rahbek, Carsten] Univ Copenhagen, Nat Hist Museum Denmark, Ctr Macroecol Evolut &amp; Climate, Univ Pk 15, DK-2100 Copenhagen O, Denmark; [Xu, Xiaoting] Sichuan Univ, Coll Life Sci, Key Lab Bio Resource &amp; Eco Environm, Minist Educ, Chengdu 610065, Peoples R China; [Dimitrov, Dimitar] Univ Bergen, Univ Museum Bergen, Dept Nat Hist, Postbox 7800, N-5020 Bergen, Norway; [Pellissier, Loic] Swiss Fed Inst Technol, Inst Terr Ecosyst, Landscape Ecol, CH-8092 Zurich, Switzerland; [Pellissier, Loic; Zimmermann, Niklaus E.] Swiss Fed Res Inst WSL, CH-8903 Birmensdorf, Switzerland; [Shrestha, Nawal] Lanzhou Univ, Inst Innovat Ecol, State Key Lab Grassland Agro Ecosyst, Lanzhou 730000, Peoples R China; [Su, Xiangyan] Minist Nat Resources, Land Consolidat &amp; Rehabil Ctr, Beijing 100035, Peoples R China; [Rahbek, Carsten] Univ Copenhagen, GLOBE Inst, Ctr Global Mt Biodivers, Univ Pk 15, DK-2100 Copenhagen, Denmark; [Rahbek, Carsten] Univ Southern Denmark, Danish Inst Adv Study, DK-5230 Odense M, Denmark</t>
  </si>
  <si>
    <t>Peking University; Peking University; University of Copenhagen; Sichuan University; University of Bergen; Swiss Federal Institutes of Technology Domain; ETH Zurich; Swiss Federal Institutes of Technology Domain; Swiss Federal Institute for Forest, Snow &amp; Landscape Research; Lanzhou University; Ministry of Natural Resources of the People's Republic of China; University of Copenhagen; University of Southern Denmark</t>
  </si>
  <si>
    <t>Rahbek, C; Wang, ZH (corresponding author), Peking Univ, Inst Ecol, Coll Urban &amp; Environm Sci, Beijing 100871, Peoples R China.;Rahbek, C; Wang, ZH (corresponding author), Peking Univ, Inst Ecol, Key Lab Earth Surface Proc, Minist Educ, Beijing 100871, Peoples R China.;Rahbek, C (corresponding author), Univ Copenhagen, Nat Hist Museum Denmark, Ctr Macroecol Evolut &amp; Climate, Univ Pk 15, DK-2100 Copenhagen O, Denmark.;Rahbek, C (corresponding author), Univ Copenhagen, GLOBE Inst, Ctr Global Mt Biodivers, Univ Pk 15, DK-2100 Copenhagen, Denmark.;Rahbek, C (corresponding author), Univ Southern Denmark, Danish Inst Adv Study, DK-5230 Odense M, Denmark.</t>
  </si>
  <si>
    <t>crahbek@snm.ku.dk; zhiheng.wang@pku.edu.cn</t>
  </si>
  <si>
    <t>Luo, Ao/HJZ-3541-2023; Xu, Xiaoting/C-7946-2014; Wang, Zhiheng/G-1750-2010; Rahbek, Carsten/GVQ-0752-2022; Dimitrov, Dimitar/A-9563-2009; Pellissier, Loic/J-2563-2015; Zimmermann, Niklaus/A-4276-2008; Borregaard, Michael/B-8442-2008</t>
  </si>
  <si>
    <t>Wang, Zhiheng/0000-0003-0808-7780; Rahbek, Carsten/0000-0003-4585-0300; Dimitrov, Dimitar/0000-0001-5830-5702; Pellissier, Loic/0000-0002-2289-8259; Zimmermann, Niklaus/0000-0003-3099-9604; Liu, Yunpeng/0000-0001-6188-3511; Borregaard, Michael/0000-0002-8146-8435; Xu, Xiaoting/0000-0001-8126-614X</t>
  </si>
  <si>
    <t>National Key Research Development Program of China [2022YFF0802300]; National Natural Science Foundation of China [31988102, 32125026, 31770566]; Strategic Priority Research Program of Chinese Academy of Sciences [XDB31000000]; Norwegian Metacenter for Computational Science (NOTUR) [NN9601K]; Danish National Research Foundation [DNRF96]; VILLUM FONDEN [25925]</t>
  </si>
  <si>
    <t>National Key Research Development Program of China; National Natural Science Foundation of China(National Natural Science Foundation of China (NSFC)); Strategic Priority Research Program of Chinese Academy of Sciences(Chinese Academy of Sciences); Norwegian Metacenter for Computational Science (NOTUR); Danish National Research Foundation(Danmarks Grundforskningsfond); VILLUM FONDEN(Villum Fonden)</t>
  </si>
  <si>
    <t>This work was supported by the National Key Research Development Program of China (#2022YFF0802300), National Natural Science Foundation of China (#31988102, #32125026, #31770566), and the Strategic Priority Research Program of Chinese Academy of Sciences (#XDB31000000). D.D received additional support by the Norwegian Metacenter for Computational Science (NOTUR; project NN9601K). MKB, CR and YL acknowledge the Danish National Research Foundation (DNRF96) and VILLUM FONDEN (25925) for support of the Center for Macroecology, Evolution and Climate.</t>
  </si>
  <si>
    <t>MAY 30</t>
  </si>
  <si>
    <t>10.1038/s41467-023-38375-y</t>
  </si>
  <si>
    <t>Q6ZY3</t>
  </si>
  <si>
    <t>WOS:001058998300003</t>
  </si>
  <si>
    <t>Bagheri, D; Moradi, R; Zare, M; Sotoudeh, E; Hoseinifar, SH; Oujifard, A; Esmaeili, N</t>
  </si>
  <si>
    <t>Bagheri, Dara; Moradi, Rohullah; Zare, Mahyar; Sotoudeh, Ebrahim; Hoseinifar, Seyed Hossein; Oujifard, Amin; Esmaeili, Noah</t>
  </si>
  <si>
    <t>Does Dietary Sodium Alginate with Low Molecular Weight Affect Growth, Antioxidant System, and Haemolymph Parameters and Alleviate Cadmium Stress in Whiteleg Shrimp (Litopenaeus vannamei)?</t>
  </si>
  <si>
    <t>antioxidant system; serological enzyme; prebiotics; cadmium</t>
  </si>
  <si>
    <t>ORANGE-SPOTTED GROUPER; NONSPECIFIC IMMUNE-RESPONSES; HUMAN HEALTH-RISK; DISEASE RESISTANCE; TRACE-ELEMENTS; HEAVY-METALS; TIGER SHRIMP; TILAPIA; SUPPLEMENTATION; TISSUES</t>
  </si>
  <si>
    <t>Simple Summary: This study investigated the effect of low molecular weight sodium alginate (LMWSA) on the growth and health of witheleg shrimp (Litopenaeus vannamei). Further, we tested whether LMWSA can alleviate the negative impacts of cadmium. This study showed that this additive could improve the feed conversion ratio (FCR) and antioxidant parameters. While cadmium suppressed the antioxidant system parameters in the control group, these parameters were not decreased in those fed dietary LMWSA. Decreasing low molecular weight can improve the digestibility and availability of ingredients such as sodium alginate. This study aimed to test the four dosages of low molecular weight sodium alginate (LMWSA) (0%: Control, 0.05%: 0.5 LMWSA, 0.10%: 1.0 LMWSA, and 0.2%: 2.0 LMWSA) in whiteleg shrimp (Litopenaeus vannamei) (3.88 +/- 0.25 g) for eight weeks. After finishing the trial, shrimp were exposed to cadmium (1 mg/L) for 48 h. While feed conversion ratio (FCR) improved in shrimp fed dietary 2.0 LMWSA (p &lt; 0.05), there was no significant difference in growth among treatments. The results showed a linear relation between LMWSA level and FCR, and glutathione S-transferase (GST) before; and malondialdehyde (MDA), glutathione (GSH), GST, and alanine transaminase (ALT) after cadmium stress (p &lt; 0.05). The GST, MDA, ALT, and aspartate transaminase (AST) contents were changed after stress but not the 2.0 LMWSA group. The survival rate after stress in 1.0 LMWSA (85.23%) and 2.0 LMWSA (80.20%) treatments was significantly higher than the Control (62.05%). The survival rate after stress negatively correlated with GST and ALT, introducing them as potential biomarkers for cadmium exposure in whiteleg shrimp. Accordingly, the 2.0 LMWSA treatment had the best performance in the abovementioned parameters. As the linear relation was observed, supplementing more levels of LMWSA to reach a plateau is recommended.</t>
  </si>
  <si>
    <t>[Bagheri, Dara; Moradi, Rohullah; Sotoudeh, Ebrahim; Oujifard, Amin] Persian Gulf Univ, Fac Nano &amp; Bio Sci &amp; Technol, Dept Fisheries, Bushehr 75169, Iran; [Zare, Mahyar] Univ South Bohemia Ceske Budejovice, Inst Aquaculture &amp; Protect Waters, Fac Fisheries &amp; Protect Waters, South Bohemian Res Ctr Aquaculture &amp; Biodivers Hyd, Ceske Budejovice 37005, Czech Republic; [Hoseinifar, Seyed Hossein] Gorgan Univ Agr Sci &amp; Nat Resources, Fac Fisheries &amp; Environm Sci, Dept Fisheries, Gorgan 4913815739, Iran; [Esmaeili, Noah] Univ Tasmania, Inst Marine &amp; Antarctic Studies, Hobart, Tas 7005, Australia</t>
  </si>
  <si>
    <t>Persian Gulf University; University of South Bohemia Ceske Budejovice; Gorgan University of Agricultural Sciences &amp; Natural Resources; University of Tasmania</t>
  </si>
  <si>
    <t>Bagheri, D (corresponding author), Persian Gulf Univ, Fac Nano &amp; Bio Sci &amp; Technol, Dept Fisheries, Bushehr 75169, Iran.</t>
  </si>
  <si>
    <t>dara.bagheri@pgu.ac.ir; noah.esmaeili@utas.edu.au</t>
  </si>
  <si>
    <t>Oujifard, Amin/H-1475-2018; Esmaeili, Noah/Q-4536-2019; Zare, Mahyar/IWU-8340-2023; Hoseinifar, Seyed Hossein/G-8526-2017</t>
  </si>
  <si>
    <t>Esmaeili, Noah/0000-0001-8704-939X; Zare, Mahyar/0000-0002-4063-0563; Sotoudeh, Ebrahim/0000-0003-4300-1524; Hoseinifar, Seyed Hossein/0000-0002-0210-9013</t>
  </si>
  <si>
    <t>Persian Gulf University</t>
  </si>
  <si>
    <t>The authors wish to thank the Persian Gulf University for its financial support.</t>
  </si>
  <si>
    <t>10.3390/ani13111805</t>
  </si>
  <si>
    <t>I8HB4</t>
  </si>
  <si>
    <t>WOS:001005129700001</t>
  </si>
  <si>
    <t>Vorrath, ME; Müller, J; Cárdenas, P; Opel, T; Mieruch, S; Esper, O; Lembke-Jene, L; Etourneau, J; Vieth-Hillebrand, A; Lahajnar, N; Lange, CB; Leventer, A; Evangelinos, D; Escutia, C; Mollenhauer, G</t>
  </si>
  <si>
    <t>Vorrath, Maria-Elena; Mueller, Juliane; Cardenas, Paola; Opel, Thomas; Mieruch, Sebastian; Esper, Oliver; Lembke-Jene, Lester; Etourneau, Johan; Vieth-Hillebrand, Andrea; Lahajnar, Niko; Lange, Carina B.; Leventer, Amy; Evangelinos, Dimitris; Escutia, Carlota; Mollenhauer, Gesine</t>
  </si>
  <si>
    <t>Deglacial and Holocene sea-ice and climate dynamics in the Bransfield Strait, northern Antarctic Peninsula</t>
  </si>
  <si>
    <t>HIGHLY BRANCHED ISOPRENOIDS; NORTHWESTERN WEDDELL SEA; CIRCUMPOLAR DEEP-WATER; LAST GLACIAL MAXIMUM; SOUTHERN-OCEAN; SURFACE SEDIMENTS; DIATOM DISTRIBUTION; CONTINENTAL-SHELF; VARIABILITY; MARINE</t>
  </si>
  <si>
    <t>The reconstruction of past sea-ice distribution in the Southern Ocean is crucial for an improved understanding of ice-ocean-atmosphere feedbacks and the evaluation of Earth system and Antarctic ice sheet models. The Antarctic Peninsula (AP) has been experiencing a warming since the start of regular monitoring of the atmospheric temperature in the 1950s. The associated decrease in sea-ice cover contrasts the trend of growing sea-ice extent in East Antarctica. To reveal the long-term sea-ice history at the northern Antarctic Peninsula (NAP) under changing climate conditions, we examined a marine sediment core from the eastern basin of the Bransfield Strait covering the last Deglacial and the Holocene. For sea-ice reconstructions, we focused on the specific sea-ice biomarker lipid IPSO25, a highly branched isoprenoid (HBI), and sea-ice diatoms, whereas a phytoplankton-derived HBI triene (C-25:3) and warmer open-ocean diatom assemblages reflect predominantly ice-free conditions. We further reconstruct ocean temperatures using glycerol dialkyl glycerol tetraethers (GDGTs) and diatom assemblages and compare our sea-ice and temperature records with published marine sediment and ice core data. A maximum ice cover is observed during the Antarctic Cold Reversal 13 800-13 000 years before present (13.8-13 ka), while seasonally ice-free conditions permitting (summer) phytoplankton productivity are reconstructed for the late Deglacial and the Early Holocene from 13 to 8.3 ka. An overall decreasing sea-ice trend throughout the Middle Holocene coincides with summer ocean warming and increasing phytoplankton productivity. The Late Holocene is characterized by highly variable winter sea-ice concentrations and a sustained decline in the duration and/or concentration of spring sea ice. Overall diverging trends in GDGT-based TEX(86)(L )and RI-OH' subsurface ocean temperatures (SOTs) are found to be linked to opposing spring and summer insolation trends, respectively.</t>
  </si>
  <si>
    <t>[Vorrath, Maria-Elena; Lahajnar, Niko] Univ Hamburg, Inst Geol, Hamburg, Germany; [Mueller, Juliane; Opel, Thomas; Mieruch, Sebastian; Esper, Oliver; Lembke-Jene, Lester; Mollenhauer, Gesine] Helmholtz Ctr Polar &amp; Marine Res, Alfred Wegener Inst, Bremerhaven, Germany; [Mueller, Juliane; Mollenhauer, Gesine] Univ Bremen, MARUM Ctr Marine Environm Sci, Bremen, Germany; [Mueller, Juliane] Univ Bremen, Dept Geosci, Bremen, Germany; [Opel, Thomas; Lange, Carina B.] Univ Austral Chile, Ctr Invest Dinam Ecosistemas Marinos Altas Latitu, Valdivia, Chile; [Etourneau, Johan] Univ Bordeaux, EPHE PSL Res Univ, Bordeaux, France; [Etourneau, Johan; Evangelinos, Dimitris] Univ Bordeaux, UMR 5805 EPOC, CNRS, Bordeaux, France; [Vieth-Hillebrand, Andrea] GFZ German Res Ctr Geosci, Helmholtz Ctr Potsdam, Potsdam, Germany; [Lange, Carina B.] Univ Concepcion, Ctr Oceanog COPAS Coastal, Concepcion, Chile; [Lange, Carina B.] Univ Concepcion, Dept Oceanog, Concepcion, Chile; [Lange, Carina B.] Scripps Inst Oceanog, La Jolla, CA 92037 USA; [Leventer, Amy] Colgate Univ, Dept Earth &amp; Environm Geosci, New York, NY USA; [Evangelinos, Dimitris] Univ Barcelona, Dept Dinam Terra &amp; Ocean, Barcelona, Spain; [Escutia, Carlota] Univ Granada, Inst Andaluz Ciencia tierra, CSIC, Granada, Spain</t>
  </si>
  <si>
    <t>University of Hamburg; Helmholtz Association; Alfred Wegener Institute, Helmholtz Centre for Polar &amp; Marine Research; University of Bremen; University of Bremen; Universidad Austral de Chile; Universite PSL; Ecole Pratique des Hautes Etudes (EPHE); Universite de Bordeaux; Universite de Bordeaux; Centre National de la Recherche Scientifique (CNRS); Helmholtz Association; Helmholtz-Center Potsdam GFZ German Research Center for Geosciences; Universidad de Concepcion; Universidad de Concepcion; University of California System; University of California San Diego; Scripps Institution of Oceanography; Colgate University; University of Barcelona; University of Granada; Consejo Superior de Investigaciones Cientificas (CSIC); CSIC - Instituto Andaluz de Ciencias de la Tierra (IACT)</t>
  </si>
  <si>
    <t>Müller, J (corresponding author), Helmholtz Ctr Polar &amp; Marine Res, Alfred Wegener Inst, Bremerhaven, Germany.;Müller, J (corresponding author), Univ Bremen, MARUM Ctr Marine Environm Sci, Bremen, Germany.;Müller, J (corresponding author), Univ Bremen, Dept Geosci, Bremen, Germany.</t>
  </si>
  <si>
    <t>juliane.mueller@awi.de</t>
  </si>
  <si>
    <t>Escutia, Carlota/B-8614-2015; Vorrath, Maria-Elena/AAS-4675-2020; Mollenhauer, Gesine/AAD-8167-2019; Evagelinos, Dimitris/ISU-3607-2023; Lembke-Jene, Lester/ABC-6275-2020; Lembke-Jene, Lester/F-5084-2013; Opel, Thomas/O-9037-2014; Muller, Juliane/L-1875-2013</t>
  </si>
  <si>
    <t>Vorrath, Maria-Elena/0000-0001-7208-1186; Mollenhauer, Gesine/0000-0001-5138-564X; Lembke-Jene, Lester/0000-0002-6873-8533; Vieth-Hillebrand, Andrea/0000-0002-3688-662X; Mieruch, Sebastian/0000-0003-1150-221X; Opel, Thomas/0000-0003-1315-8256; Leventer, Amy/0000-0001-9401-0987; Muller, Juliane/0000-0003-0724-4131</t>
  </si>
  <si>
    <t>Open Access Publication Funds of the Alfred-Wegener-Institut Helmholtz-Zentrum fur Polar- und Meeresforschung</t>
  </si>
  <si>
    <t>We thank the captain, crew and chief scientist Frank Lamy of R/V Polarstern cruise PS97. Denise Diekstall, Jens Hefter, Alejandro Avila and Victor Acuna are thanked for their laboratory support. We thank Helge Arz for his help with the age model. Simon Belt is acknowledged for providing the 7-HND internal standard for HBI quantification. We appreciate the support by the Open Access Publication Funds of the Alfred-Wegener-Institut Helmholtz-Zentrum fur Polar- und Meeresforschung. We also thank two anonymous reviewers and the editor, Xavier Crosta, for their constructive comments that helped to improve the paper.</t>
  </si>
  <si>
    <t>10.5194/cp-19-1061-2023</t>
  </si>
  <si>
    <t>H8WW6</t>
  </si>
  <si>
    <t>WOS:000998709000001</t>
  </si>
  <si>
    <t>Britton, JR; Pinder, AC; Alós, J; Arlinghaus, R; Danylchuk, AJ; Edwards, W; Freire, KMF; Gundelund, C; Hyder, K; Jaric, I; Lennox, R; Lewin, WC; Lynch, AJ; Midway, SR; Potts, WM; Ryan, KL; Skov, C; Strehlow, HV; Tracey, SR; Tsuboi, JI; Venturelli, PA; Weir, JL; Weltersbach, MS; Cooke, SJ</t>
  </si>
  <si>
    <t>Britton, J. Robert; Pinder, Adrian C.; Alos, Josep; Arlinghaus, Robert; Danylchuk, Andy J.; Edwards, Wendy; Freire, Katia M. F.; Gundelund, Casper; Hyder, Kieran; Jaric, Ivan; Lennox, Robert; Lewin, Wolf-Christian; Lynch, Abigail J.; Midway, Stephen R.; Potts, Warren M.; Ryan, Karina L.; Skov, Christian; Strehlow, Harry V.; Tracey, Sean R.; Tsuboi, Jun-ichi; Venturelli, Paul A.; Weir, Jessica L.; Weltersbach, Marc Simon; Cooke, Steven J.</t>
  </si>
  <si>
    <t>Global responses to the COVID-19 pandemic by recreational anglers: considerations for developing more resilient and sustainable fisheries</t>
  </si>
  <si>
    <t>REVIEWS IN FISH BIOLOGY AND FISHERIES</t>
  </si>
  <si>
    <t>Angling effort; Angling licence; Angler demographics; Culturomics; COVID-19 lockdown</t>
  </si>
  <si>
    <t>CATCH-AND-RELEASE; CONSERVATION; MANAGEMENT; SEA; RESOURCES; PROGRAMS; REVEAL; FISH; APP</t>
  </si>
  <si>
    <t>The global COVID-19 pandemic resulted in many jurisdictions implementing orders restricting the movements of people to inhibit virus transmission, with recreational angling often either not permitted or access to fisheries and/or related infrastructure being prevented. Following the lifting of restrictions, initial angler surveys and licence sales suggested increased participation and effort, and altered angler demographics, but with evidence remaining limited. Here, we overcome this evidence gap by identifying temporal changes in angling interest, licence sales, and angling effort in world regions by comparing data in the 'pre-pandemic' (up to and including 2019); 'acute pandemic' (2020) and 'COVID-acclimated' (2021) periods. We then identified how changes can inform the development of more resilient and sustainable recreational fisheries. Interest in angling (measured here as angling-related internet search term volumes) increased substantially in all regions during 2020. Patterns in licence sales revealed marked increases in some countries during 2020 but not in others. Where licence sales increased, this was rarely sustained in 2021; where there were declines, these related to fewer tourist anglers due to movement restrictions. Data from most countries indicated a younger demographic of people who participated in angling in 2020, including in urban areas, but this was not sustained in 2021. These short-lived changes in recreational angling indicate efforts to retain younger anglers could increase overall participation levels, where efforts can target education in appropriate angling practices and create more urban angling opportunities. These efforts would then provide recreational fisheries with greater resilience to cope with future global crises, including facilitating the ability of people to access angling opportunities during periods of high societal stress.</t>
  </si>
  <si>
    <t>[Britton, J. Robert; Pinder, Adrian C.] Bournemouth Univ, Fac Sci &amp; Technol, Dept Life &amp; Environm Sci, Poole BH12 5BB, Dorset, England; [Alos, Josep] IMEDEA CSIC UIB, Inst Mediterraneo Estudios Avanzados, Esporles, Spain; [Arlinghaus, Robert] Leibniz Inst Freshwater Ecol &amp; Inland Fisheries, Dept Fish Biol Fisheries &amp; Aquaculture, Muggelseedamm 310, D-12587 Berlin, Germany; [Arlinghaus, Robert] Humboldt Univ, Fac Life Sci, Div Integrat Fisheries Management, Invalidenstr 42, D-10115 Berlin, Germany; [Danylchuk, Andy J.] Univ Massachusetts Amherst, Dept Environm Conservat, Amherst, MA 01003 USA; [Edwards, Wendy; Hyder, Kieran] Ctr Environm Fisheries &amp; Aquaculture Sci Cefas, Pakefield Rd, Lowestoft NR33 0HT, Suffolk, England; [Freire, Katia M. F.] Univ Fed Sergipe, Dept Fisheries Engn &amp; Aquaculture, Cidade Univ Prof Jose Aloisio Campos,Rua Mal Rond, BR-49100000 Sergipe, Brazil; [Gundelund, Casper; Skov, Christian] Tech Univ Denmark, Sect Freshwater Fisheries &amp; Ecol, DTU Aqua, DK-8600 Silkeborg, Denmark; [Hyder, Kieran] Univ East Anglia, Sch Environm Sci, Norwich Res Pk, Norwich NR4 7TJ, Norfolk, England; [Jaric, Ivan] Czech Acad Sci, Biol Ctr, Inst Hydrobiol, Sadkach 702-7, Ceske Budejovice 37005, Czech Republic; [Jaric, Ivan] Univ Paris Saclay, CNRS, AgroParisTech, Ecol Systemat Evolut, 12 Rue 128, F-91190 Gif Sur Yvette, France; [Lennox, Robert] Norwegian Inst Nat Res, Lab Freshwater Ecol, Oslo, Norway; [Lewin, Wolf-Christian; Strehlow, Harry V.; Weltersbach, Marc Simon] Thunen Inst Balt Sea Fisheries, Alter Hafen Sud 2, D-18069 Rostock, Germany; [Lynch, Abigail J.] US Geol Survey, Natl Climate Adaptat Sci Ctr, 12201 Sunrise Valley Dr MS 516, Reston, VA 20192 USA; [Midway, Stephen R.] Louisiana State Univ, Dept Oceanog &amp; Coastal Sci, Baton Rouge, LA 70803 USA; [Potts, Warren M.] Rhodes Univ, Dept Ichthyol &amp; Fisheries Sci, POB 94, ZA-6140 Makhanda, South Africa; [Ryan, Karina L.] Western Australian Fisheries &amp; Marine Res Labs, Dept Primary Ind &amp; Reg Dev, 39 Northside Dr, Hillarys, WA 6025, Australia; [Tracey, Sean R.] Univ Tasmania, Inst Marine &amp; Antarctic Studies, Private Bag 49, Hobart, Tas 7001, Australia; [Tracey, Sean R.] Univ Tasmania, Ctr Marine Socioecol, Private Bag 49, Hobart, Tas 7001, Australia; [Tsuboi, Jun-ichi] Japan Fish Res &amp; Educ Agcy, Res Ctr Freshwater Fisheries, Nikko 3211661, Japan; [Venturelli, Paul A.; Weir, Jessica L.] Ball State Univ, Dept Biol, Muncie, IN 47304 USA; [Cooke, Steven J.] Carleton Univ, Dept Biol, Fish Ecol &amp; Conservat Physiol Lab, 1125 Colonel Dr, Ottawa, ON K1S 5B6, Canada; [Cooke, Steven J.] Carleton Univ, Inst Environm &amp; Interdisciplinary Sci, 1125 Colonel By Dr, Ottawa, ON K1S 5B6, Canada</t>
  </si>
  <si>
    <t>Bournemouth University; Universitat de les Illes Balears; Consejo Superior de Investigaciones Cientificas (CSIC); ATTITUS Educacao; Leibniz Institut fur Gewasserokologie und Binnenfischerei (IGB); Humboldt University of Berlin; University of Massachusetts System; University of Massachusetts Amherst; Centre for Environment Fisheries &amp; Aquaculture Science; Universidade Federal de Sergipe; Technical University of Denmark; University of East Anglia; Czech Academy of Sciences; Biology Centre of the Czech Academy of Sciences; Universite Paris Cite; Centre National de la Recherche Scientifique (CNRS); Universite Paris Saclay; AgroParisTech; Norwegian Institute Nature Research; Johann Heinrich von Thunen Institute; United States Department of the Interior; United States Geological Survey; Louisiana State University System; Louisiana State University; Rhodes University; Western Australian Fisheries &amp; Marine Research Laboratories; University of Tasmania; University of Tasmania; Ball State University; Carleton University; Carleton University</t>
  </si>
  <si>
    <t>Britton, JR (corresponding author), Bournemouth Univ, Fac Sci &amp; Technol, Dept Life &amp; Environm Sci, Poole BH12 5BB, Dorset, England.</t>
  </si>
  <si>
    <t>rbritton@bournemouth.ac.uk; ajlynch@usgs.gov; tsuboi118@affrc.go.jp</t>
  </si>
  <si>
    <t>Venturelli, Paul A/A-2337-2008; Skov, Christian/X-6511-2019; Lynch, Abigail J./H-5059-2019; Gundelund, Casper/HNR-1781-2023; Cooke, Steven J/F-4193-2010; Jaric, Ivan/R-4048-2016; de Meirelles Felizola Freire, Katia/I-3379-2013; Britton, Robert/B-5040-2009; Tracey, Sean/J-7446-2014</t>
  </si>
  <si>
    <t>Venturelli, Paul A/0000-0002-7329-7517; Skov, Christian/0000-0002-8547-6520; Lynch, Abigail J./0000-0001-8449-8392; Gundelund, Casper/0000-0002-2555-403X; Cooke, Steven J/0000-0002-5407-0659; Arlinghaus, Robert/0000-0003-2861-527X; Danylchuk, Andy/0000-0002-8363-0782; Jaric, Ivan/0000-0002-2185-297X; Edwards, Wendy/0009-0001-2106-4244; de Meirelles Felizola Freire, Katia/0000-0002-6190-3532; Hyder, Kieran/0000-0003-1428-5679; Britton, Robert/0000-0003-1853-3086; Tracey, Sean/0000-0002-6735-5899; Strehlow, Harry/0000-0001-8765-3845</t>
  </si>
  <si>
    <t>Danish Rod and Net Fish Licence funds [39122]; Federal Ministry of Education and Research of Germany [01LC1826B]; One Ocean Hub - UK Research and Innovation (UKRI) through the Global Challenges Research Fund (GCRF)</t>
  </si>
  <si>
    <t>Danish Rod and Net Fish Licence funds; Federal Ministry of Education and Research of Germany(Federal Ministry of Education &amp; Research (BMBF)); One Ocean Hub - UK Research and Innovation (UKRI) through the Global Challenges Research Fund (GCRF)</t>
  </si>
  <si>
    <t>We thank Derek Landry from the Ontario Ministry of Natural Resources and Forestry for furnishing us with data on fishing licence sales in Ontario. We also thank Jens Felix (Angler Association of Saxony, Germany), Sebastian Hanfland (State Fisheries Association of Bavaria, Germany), Marcel Weihenhahn (State Angler Association of Brandenburg, Germany), Thomas Richter und Thomas Schaarschmidt (LALFF Mecklenburg-Western Pomerania, Germany) for providing data on licence sales and memberships and Dieter Koemle for additional help. We thank the South African Department of Environment, Forestry and Fisheries for providing the marine angling licence information and Joel Shirlow (Department of Primary Industries and Regional Development) for access to monthly licence information of Western Australia. We thank Fishbrain for access to their global dataset, and Stig Pruessing (The Danish Fishery Agency) for access to the Danish fishing licence sales. Thanks to the Environment Agency for provision of licence sales data for England, and to the Departamento de Registro e Monitoramento de Aquicultura e Pesca (Secretaria de Aquicultura e Pesca) for providing more recent data on licence purchases for Brazil. CS and CG thank the citizen scientists who provided data for the Danish citizen science platform Fangstjournalen. CG and CS received funding from the Danish Rod and Net Fish Licence funds (project 39122). CS, MSW and the German telephone survey have been cofounded by the European Commission's Data Collection Framework (DCF). WCL and HVS received financial support from the Federal Ministry of Education and Research of Germany in the framework of marEEshift (project no. 01LC1826B). WMP and KH were supported by the One Ocean Hub, an independent programme for collaborative research for development, funded by UK Research and Innovation (UKRI) through the Global Challenges Research Fund (GCRF). All authors contributed to the design of the work, the analysis and interpretation of data, all authors contributed to the drafting of the manuscript and approved the version that was submitted. The views expressed are those of the authors, not their parent organisations, but are supported by the U.S. Geological Survey. Any use of trade, firm, or product names is for descriptive purposes only and does not imply endorsement by the US Government.</t>
  </si>
  <si>
    <t>0960-3166</t>
  </si>
  <si>
    <t>1573-5184</t>
  </si>
  <si>
    <t>REV FISH BIOL FISHER</t>
  </si>
  <si>
    <t>Rev. Fish. Biol. Fish.</t>
  </si>
  <si>
    <t>10.1007/s11160-023-09784-5</t>
  </si>
  <si>
    <t>T7UI2</t>
  </si>
  <si>
    <t>WOS:000998178700001</t>
  </si>
  <si>
    <t>Foster-Dyer, RTN; Goetz, KT; Pinkerton, MH; Iwata, T; Holser, RR; Michael, SA; Pritchard, C; Childerhouse, S; Rotella, J; Federwisch, L; Costa, DP; LaRue, MA</t>
  </si>
  <si>
    <t>Foster-Dyer, Rose T. N.; Goetz, Kimberly T. T.; Pinkerton, Matthew H. H.; Iwata, Takashi; Holser, Rachel R. R.; Michael, Sarah A. A.; Pritchard, Craig; Childerhouse, Simon; Rotella, Jay; Federwisch, Luisa; Costa, Daniel P. P.; LaRue, Michelle A. A.</t>
  </si>
  <si>
    <t>First observations of Weddell seals foraging in sponges in Erebus Bay, Antarctica</t>
  </si>
  <si>
    <t>Animal behaviour; Animal-borne video; Foraging; Glass sponge; Rossellidae; Weddell seals</t>
  </si>
  <si>
    <t>LEPTONYCHOTES-WEDDELLII; 3-DIMENSIONAL MOVEMENTS; MCMURDO SOUND; DIVES; BEHAVIOR; DIET; ICE; CLASSIFICATION; IDENTIFICATION; DYNAMICS</t>
  </si>
  <si>
    <t>Attaching cameras to marine mammals allows for first-hand observation of underwater behaviours that may otherwise go unseen. While studying the foraging behaviour of 26 lactating Weddell seals (Leptonychotes weddellii) in Erebus Bay during the austral spring of 2018 and 2019, we witnessed three adults and one pup investigating the cavities of Rossellidae glass sponges, with one seal visibly chewing when she removed her head from the sponge. To our knowledge, this is the first report of such behaviour. While the prey item was not identifiable, some Trematomus fish (a known Weddell seal prey) use glass sponges for shelter and in which to lay their eggs. Three of the four sponge foraging observations occurred around 13:00 (NZDT). Two of the three sponge foraging adults had higher-than-average reproductive rates, and the greatest number of previous pups of any seal in our study population, each having ten pups in 12 years. This is far higher than the study population average of three previous pups (+/- 2.6 SD). This novel foraging strategy may have evolved in response to changes in prey availability, and could offer an evolutionary advantage to some individuals that exploit prey resources that others may not. Our observations offer new insight into the foraging behaviours of one of the world's most studied marine mammals. Further research on the social aspects of Weddell seal behaviour may increase our understanding of the extent and mechanisms of behavioural transfer between conspecifics. Research into the specific foraging behaviour of especially successful or experienced breeders is also warranted.</t>
  </si>
  <si>
    <t>[Foster-Dyer, Rose T. N.; LaRue, Michelle A. A.] Univ Canterbury, Sch Earth &amp; Environm, Gateway Antarct, Christchurch, New Zealand; [Goetz, Kimberly T. T.] NOAA, Alaska Fisheries Sci Ctr, Natl Marine Fisheries Serv, Marine Mammal Lab, Seattle, WA USA; [Goetz, Kimberly T. T.; Pinkerton, Matthew H. H.] Natl Inst Water &amp; Atmospher Res, Wellington, New Zealand; [Iwata, Takashi] Kobe Univ, Grad Sch Maritime Sci, Kobe, Japan; [Iwata, Takashi] Univ Tokyo, Atmosphere &amp; Ocean Res Inst, Tokyo, Japan; [Holser, Rachel R. R.; Costa, Daniel P. P.] Univ Calif Santa Cruz, Inst Marine Sci, St Cruz, CA USA; [Michael, Sarah A. A.] Massey Univ, Sch Vet Sci, Palmerston North, New Zealand; [Michael, Sarah A. A.] Dept Nat Resources &amp; Environm Tasmania, Hobart, Tas, Australia; [Pritchard, Craig] Wellington Zoo, Nest Te Kohanga, Wellington, New Zealand; [Pritchard, Craig] Ecovet Consulting, Wellington, New Zealand; [Childerhouse, Simon] Environm Law Initiat, Nelson, New Zealand; [Rotella, Jay] Montana State Univ, Dept Ecol, Bozeman, MT USA; [Federwisch, Luisa] Alfred Wegener Inst Helmholtz Ctr Polar &amp; Marine, Dept Bentho Pelag Proc, Bremerhaven, Germany; [Federwisch, Luisa] Univ Bremen, Fac Biol Chem 2, Bremen, Germany</t>
  </si>
  <si>
    <t>University of Canterbury; National Oceanic Atmospheric Admin (NOAA) - USA; National Institute of Water &amp; Atmospheric Research (NIWA) - New Zealand; Kobe University; University of Tokyo; University of California System; University of California Santa Cruz; Massey University; Montana State University System; Montana State University Bozeman; Helmholtz Association; Alfred Wegener Institute, Helmholtz Centre for Polar &amp; Marine Research; University of Bremen</t>
  </si>
  <si>
    <t>Foster-Dyer, RTN (corresponding author), Univ Canterbury, Sch Earth &amp; Environm, Gateway Antarct, Christchurch, New Zealand.</t>
  </si>
  <si>
    <t>rose.foster@pg.canterbury.ac.nz</t>
  </si>
  <si>
    <t>Iwata, Takashi/U-7234-2018; Holser, Rachel Rose/AAU-3014-2020; Foster-Dyer, Rose/IUO-9561-2023</t>
  </si>
  <si>
    <t>Iwata, Takashi/0000-0001-5492-9411; Holser, Rachel Rose/0000-0002-8668-3839; Federwisch, Luisa/0000-0002-4815-475X</t>
  </si>
  <si>
    <t>CAUL and its Member Institutions; MBIE Endeavour Fund [C01X1710]; NIWA SSIF (Coasts Ocean Centre); Ministry for Primary Industries NZ; NIWA CAPEX; Office of Naval Research [N00014-181-2822]; NSF Antarctic Polar Programs Award [1644256]; Kurita Water and Environment Foundation; Sydney Institute of Marine Science; Australian Antarctic Division; Moss Landing Marine Lab; Universite Pierre et Marie Curie; Alaska Sealife Centre, Alaska; Scripps Institution of Oceanography; University of Alaska, Anchorage; University of California, Santa Cruz; Woods Hole Oceanographic Institution; National Institute of Polar Research; Massey University; University of Canterbury; National Science Foundation, Office of Polar Programs [1640481, 2147553]; NSF</t>
  </si>
  <si>
    <t>CAUL and its Member Institutions; MBIE Endeavour Fund(New Zealand Ministry of Business, Innovation and Employment (MBIE)); NIWA SSIF (Coasts Ocean Centre); Ministry for Primary Industries NZ; NIWA CAPEX; Office of Naval Research(Office of Naval Research); NSF Antarctic Polar Programs Award; Kurita Water and Environment Foundation(Kurita Water and Environment Foundation); Sydney Institute of Marine Science; Australian Antarctic Division; Moss Landing Marine Lab; Universite Pierre et Marie Curie(Marie Curie Actions); Alaska Sealife Centre, Alaska; Scripps Institution of Oceanography(University of California System); University of Alaska, Anchorage; University of California, Santa Cruz(University of California System); Woods Hole Oceanographic Institution; National Institute of Polar Research(National Institute of Polar Research (NIPR) - Japan); Massey University; University of Canterbury; National Science Foundation, Office of Polar Programs(National Science Foundation (NSF)NSF - Directorate for Geosciences (GEO)); NSF(National Science Foundation (NSF))</t>
  </si>
  <si>
    <t>Open Access funding enabled and organized by CAUL and its Member Institutions. We thank our funding partners: MBIE Endeavour Fund C01X1710; NIWA SSIF (Coasts &amp; Ocean Centre, programme 4); Ministry for Primary Industries NZ; NIWA CAPEX; Office of Naval Research (grant no. N00014-18-1-2822); NSF Antarctic Polar Programs Award 1644256; Kurita Water and Environment Foundation; Sydney Institute of Marine Science; Australian Antarctic Division; Moss Landing Marine Lab; Universite Pierre et Marie Curie; Alaska Sealife Centre, Alaska; Scripps Institution of Oceanography; University of Alaska, Anchorage; University of California, Santa Cruz; Woods Hole Oceanographic Institution; National Institute of Polar Research; Massey University; and the University of Canterbury. Data collection on seal ages and breeding histories was supported by a series of grants from the National Science Foundation, Office of Polar Programs: Grant Nos. 1640481; 2147553 and prior NSF Grants to R. A. Garrott, J. J. Rotella, D. B. Siniff, and J. Ward Testa.</t>
  </si>
  <si>
    <t>10.1007/s00300-023-03149-1</t>
  </si>
  <si>
    <t>WOS:000998237100001</t>
  </si>
  <si>
    <t>Shimada, S; Aoki, K; Nakai, R; Miura, S; Komori, K; Kudoh, S; Imura, S; Ishii, Y; Tateda, K</t>
  </si>
  <si>
    <t>Shimada, Sho; Aoki, Kotaro; Nakai, Ryosuke; Miura, Shota; Komori, Kohji; Kudoh, Sakae; Imura, Satoshi; Ishii, Yoshikazu; Tateda, Kazuhiro</t>
  </si>
  <si>
    <t>Whole-Genome Sequences of Three Psychrotolerant Mycolicibacterium sp. Strains Isolated from Antarctic Soil</t>
  </si>
  <si>
    <t>IDENTIFICATION</t>
  </si>
  <si>
    <t>We report the whole-genome sequences of three psychrotolerant Mycolicibacterium strains, TUM20983, TUM20984, and TUM20985, isolated from Antarctic soils. Taxonomic analyses indicate that these strains are putative new species. These genome sequences may provide insight into the cold adaptation mechanisms of Mycolicibacterium spp. through future comparative genomic studies. We report the whole-genome sequences of three psychrotolerant Mycolicibacterium strains, TUM20983, TUM20984, and TUM20985, isolated from Antarctic soils. Taxonomic analyses indicate that these strains are putative new species. These genome sequences may provide insight into the cold adaptation mechanisms of Mycolicibacterium spp. through future comparative genomic studies.</t>
  </si>
  <si>
    <t>[Shimada, Sho; Aoki, Kotaro; Miura, Shota; Komori, Kohji; Ishii, Yoshikazu; Tateda, Kazuhiro] Toho Univ, Sch Med, Dept Microbiol &amp; Infect Dis, Tokyo, Japan; [Shimada, Sho] Tokyo Med &amp; Dent Univ TMDU, Dept Resp Med, Tokyo, Japan; [Nakai, Ryosuke] Natl Inst Adv Ind Sci &amp; Technol, Bioprod Res Inst, Sapporo, Hokkaido, Japan; [Kudoh, Sakae; Imura, Satoshi] Res Org Informat &amp; Syst, Natl Inst Polar Res, Tokyo, Japan; [Kudoh, Sakae; Imura, Satoshi] SOKENDAI Grad Univ Adv Studies, Sch Multidisciplinary Sci, Dept Polar Sci, Tokyo, Japan</t>
  </si>
  <si>
    <t>Shimada, S (corresponding author), Toho Univ, Sch Med, Dept Microbiol &amp; Infect Dis, Tokyo, Japan.;Shimada, S (corresponding author), Tokyo Med &amp; Dent Univ TMDU, Dept Resp Med, Tokyo, Japan.</t>
  </si>
  <si>
    <t>shi2pulm@tmd.ac.jp</t>
  </si>
  <si>
    <t>Nakai, Ryosuke/O-6217-2015</t>
  </si>
  <si>
    <t>Nakai, Ryosuke/0000-0002-3078-6695; Aoki, Kotaro/0000-0002-9237-1217; Shimada, Sho/0000-0001-8417-5577; Imura, Satoshi/0000-0002-6803-6996; Ishii, Yoshikazu/0000-0002-1943-4648</t>
  </si>
  <si>
    <t>[JP19H05683]; [JP19H05679]</t>
  </si>
  <si>
    <t>;</t>
  </si>
  <si>
    <t>ACKNOWLEDGMENTS We acknowledge the members of the 60th Japanese Antarctic Research Expedition (JARE), especially the terrestrial biology team members, for field support. This study was partially funded by a Grant-in-Aid for Scientific Research on the Innovative Area Post-Koch Ecology (MEXT KAKENHI numbers JP19H05683 and JP19H05679).</t>
  </si>
  <si>
    <t>10.1128/mra.00123-23</t>
  </si>
  <si>
    <t>J4CS1</t>
  </si>
  <si>
    <t>WOS:000997038900001</t>
  </si>
  <si>
    <t>Mishev, AL; Kodaira, S; Kitamura, H; Ploc, O; Ambrozová, I; Tolochek, RV; Kartsev, IS; Shurshakov, VA; Artamonov, AA; Inozemtsev, KO</t>
  </si>
  <si>
    <t>Mishev, A. L.; Kodaira, S.; Kitamura, H.; Ploc, O.; Ambrozova, I.; Tolochek, R. V.; Kartsev, I. S.; Shurshakov, V. A.; Artamonov, A. A.; Inozemtsev, K. O.</t>
  </si>
  <si>
    <t>Radiation environment in high-altitude Antarctic plateau: Recent measurements and model studies</t>
  </si>
  <si>
    <t>Antarctica; Personnel dosimetry; Passive detectors; Liulin dosimeter; High altitudes; Cosmic rays; Natural radiation background; Ground -level enhancement</t>
  </si>
  <si>
    <t>RAY INDUCED NEUTRONS; ENERGY-SPECTRUM; DOSE-EQUIVALENT; DOSIMETRY; LIULIN; ENHANCEMENT; PARTICLES; EXPOSURE; PROTONS; QUALITY</t>
  </si>
  <si>
    <t>Polar regions are the most exposed to secondary particles and radiation produced by primary cosmic rays in the atmo-sphere, because naturally they are with marginal geomagnetic shielding. In addition, the secondary particle flux con-tributing to the complex radiation field is enhanced at high-mountain altitudes compared to sea level because of the reduced atmospheric attenuation. At present, there are very few systematic experimental measurements of environmental dose at high southern latitudes, specifically at high-altitude region. Here, we report a campaign of mea-surements with different devices, that is passive and Liulin-type dosimeters, of the radiation background at high -mountain Antarctic station Vostok (3488 m above sea level, 78 &amp; DEG; 27 &amp; PRIME; S; 106 &amp; DEG; 50 &amp; PRIME; E). We compare the measurements with a Monte Carlo-based model for the propagation of the cosmic rays through the atmosphere and assessment of the radiation field in the atmosphere. We employed the model to estimate the radiation dose at Vostok station during the ground-level enhancement at 28 October 2021. As in previous studies by other teams, we show that the annual dose equivalent at high-altitude Antarctic facilities can significantly exceed the limit of 1 mSv established for the gen-eral population by the ICRP.</t>
  </si>
  <si>
    <t>[Mishev, A. L.] Univ Oulu, Space Phys &amp; Astron Res Unit, Oulu, Finland; [Mishev, A. L.] Univ Oulu, Sodankyla Geophys Observ, Oulu, Finland; [Kodaira, S.; Kitamura, H.] Natl Inst Quantum Sci &amp; Technol, Radiat Measurement Res Grp, 4-9-1 Anagawa, Inage, Chiba 2638555, Japan; [Ploc, O.; Ambrozova, I.] Czech Acad Sci, Nucl Phys Inst, Hlavni 130, Rez 25068, Czech Republic; [Tolochek, R. V.; Kartsev, I. S.; Shurshakov, V. A.; Artamonov, A. A.; Inozemtsev, K. O.] Russian Acad Sci IBMP RAS, Inst Biomed Problems, 76A Khoroshevskoye Shosse, Moscow 123007, Russia; [Tolochek, R. V.] Russian Acad Sci LPI RAS, PNLebedev Phys Inst, 53 Leninskiy Prospekt, Moscow 119991, Russia; [Kartsev, I. S.] LLC SNIIP Plus, 5 1 Raspletina, Moscow 123060, Russia</t>
  </si>
  <si>
    <t>University of Oulu; University of Oulu; National Institutes for Quantum Science &amp; Technology; Czech Academy of Sciences; Nuclear Physics Institute of the Czech Academy of Sciences; Russian Academy of Sciences; Institute of Biomedical Problems of the Russian Academy of Sciences; Russian Academy of Sciences</t>
  </si>
  <si>
    <t>Mishev, AL (corresponding author), Univ Oulu, Sodankyla Geophys Observ, Oulu, Finland.</t>
  </si>
  <si>
    <t>alexander.mishev@oulu.fi</t>
  </si>
  <si>
    <t>Kodaira, Satoshi/J-3399-2019</t>
  </si>
  <si>
    <t>Kodaira, Satoshi/0000-0003-4216-6984; Ambrozova, Iva/0000-0002-2329-5783; Kitamura, Hisashi/0000-0002-3449-7364</t>
  </si>
  <si>
    <t>Academy of Finland [321882 ESPERA]; European Structural and Investment Funds under the Operational Program Research, Development and Education [330063 QUASARE]; Quantum Medical Science Directorate of the National Institutes for Quantum and Radiological Science and Technology (QST-QMSD); QST Administration; [CZ.02.1.01/0.0/0.0/15 003/0000481]</t>
  </si>
  <si>
    <t>Academy of Finland(Research Council of Finland); European Structural and Investment Funds under the Operational Program Research, Development and Education; Quantum Medical Science Directorate of the National Institutes for Quantum and Radiological Science and Technology (QST-QMSD); QST Administration;</t>
  </si>
  <si>
    <t>This work was supported by the Academy of Finland (project 330063 QUASARE, 321882 ESPERA) .The work of NPI (I. Ambrozova and O. Ploc) was part of the research activities of the CRREAT (Research Center of Cosmic Rays and Radiation Events in the Atmosphere) project funded by the European Structural and Investment Funds under the Operational Program Research, Development and Education (CZ.02.1.01/0.0/0.0/15 003/0000481) .Dosimetric equipment was calibrated/tested at HIMAC facility (QST, Chiba, Japan) in the framework of Research Project with Heavy Ions at NIRS-HIMAC  , supported by Quantum Medical Science Directorate of the National Institutes for Quantum and Radiological Science and Technology (QST-QMSD) . The kind assistance and support from QST Administration and HIMAC Staff are highly appreciated.The Authors are grateful to Prof. Ts.P. Dachev (Space Research and Technology Institute, Bulgarian Academy of Sciences, Bulgaria) for the helpful advises on the development of Liulin-type silicone dosimeters.</t>
  </si>
  <si>
    <t>SEP 10</t>
  </si>
  <si>
    <t>10.1016/j.scitotenv.2023.164304</t>
  </si>
  <si>
    <t>L6YI7</t>
  </si>
  <si>
    <t>WOS:001024692700001</t>
  </si>
  <si>
    <t>Feizi, M; Naeeni, MR; Flury, J</t>
  </si>
  <si>
    <t>Feizi, Mohsen; Naeeni, Mehdi Raoofian; Flury, Jakob</t>
  </si>
  <si>
    <t>Antarctic Time-Variable Regional Gravity Field Model Derived from Satellite Line-of-Sight Gravity Differences and Spherical Cap Harmonic Analysis</t>
  </si>
  <si>
    <t>LGD; SCHA; time-variable gravity model; GFO; L2 JPL</t>
  </si>
  <si>
    <t>This study focuses on the development of a time-variable regional geo-potential model for Antarctica using the spherical cap harmonic analysis (SCHA) basis functions. The model is derived from line-of-sight gravity difference (LGD) measurements obtained from the GRACE-Follow-On (GFO) mission. The solution of a Laplace equation for the boundary values over a spherical cap is used to expand the geo-potential coefficients in terms of Legendre functions with a real degree and integer order suitable for regional modelling, which is used to constrain the geo-potential coefficients using LGD measurements. To validate the performance of the SCHA, it is first utilized with LGD data derived from a L2 JPL (Level 2 product of the Jet Propulsion Laboratory). The obtained LGD data are used to compute the local geo-potential model up to K-max = 20, corresponding to the SH degree and order up to 60. The comparison of the radial gravity on the Earth's surface map across Antarctica with the corresponding radial gravity components of the L2 JPL is carried out using local geo-potential coefficients. The results of this comparison provide evidence that these basis functions for K-max = 20 are valid across the entirety of Antarctica. Subsequently, the analysis proceeds using LGD data obtained from the Level 1B product of GFO by transforming these LGD data into the SCHA coordinate system and applying them to constrain the SCHA harmonic coefficients up to K-max = 20. In this case, several independent LGD profiles along the trajectories of the satellites are devised to verify the accuracy of the local model. These LGD profiles are not employed in the inverse problem of determining harmonic coefficients. The results indicate that using regional harmonic basis functions, specifically spherical cap harmonic analysis (SCHA) functions, leads to a close estimation of LGD compared to the L2 JPL. The regional harmonic basis function exhibits a root mean square error (RMSE) of 3.71 x 10(-4) mGal. This represents a substantial improvement over the RMSE of the L2 JPL, which is 6.36 x 10(-4) mGal. Thus, it can be concluded that the use of local geo-potential coefficients obtained from SCHA is a reliable method for extracting nearly the full gravitational signal within a spherical cap region, after validation of this method. The SCHA model provides significant realistic information as it addresses the mass gain and loss across various regions in Antarctica.</t>
  </si>
  <si>
    <t>[Feizi, Mohsen; Naeeni, Mehdi Raoofian] KN Toosi Univ Technol, Fac Geodesy &amp; Geomat Engn, Dept Geodesy, Tehran 1996715433, Iran; [Feizi, Mohsen; Flury, Jakob] Leibniz Univ Hannover, Inst Erdmessung, D-30167 Hannover, Germany; [Naeeni, Mehdi Raoofian] Univ Newcastle, Sch Engn, Callaghan, NSW 2308, Australia</t>
  </si>
  <si>
    <t>K. N. Toosi University of Technology; Leibniz University Hannover; University of Newcastle</t>
  </si>
  <si>
    <t>Feizi, M (corresponding author), KN Toosi Univ Technol, Fac Geodesy &amp; Geomat Engn, Dept Geodesy, Tehran 1996715433, Iran.;Feizi, M (corresponding author), Leibniz Univ Hannover, Inst Erdmessung, D-30167 Hannover, Germany.</t>
  </si>
  <si>
    <t>mohsen.feizi@stud.uni-hannover.de</t>
  </si>
  <si>
    <t>Raoofian Naeeni, Mehdi/S-4768-2019</t>
  </si>
  <si>
    <t>Raoofian Naeeni, Mehdi/0000-0001-6118-8228</t>
  </si>
  <si>
    <t>LUH's open-access publishing fund</t>
  </si>
  <si>
    <t>This research was funded by the LUH's open-access publishing fund.</t>
  </si>
  <si>
    <t>MAY 29</t>
  </si>
  <si>
    <t>10.3390/rs15112815</t>
  </si>
  <si>
    <t>I7SW9</t>
  </si>
  <si>
    <t>WOS:001004758500001</t>
  </si>
  <si>
    <t>Cobo, MC; McLaughlin, EL; Kocot, KM</t>
  </si>
  <si>
    <t>Cobo, M. Carmen; McLaughlin, Emily L.; Kocot, Kevin M.</t>
  </si>
  <si>
    <t>Four new Solenogastres (Mollusca, Aplacophora) from the South China Sea and paraphyly of Proneomeniidae Simroth, 1893</t>
  </si>
  <si>
    <t>INVERTEBRATE SYSTEMATICS</t>
  </si>
  <si>
    <t>barcoding; biodiversity; mitochondrial DNA; Mollusca; morphology; south-west Pacific; systematics; taxonomy</t>
  </si>
  <si>
    <t>DONDERSIIDAE MOLLUSCA; IBERIAN PENINSULA; CAVIBELONIA; PHYLOGENY; GENUS; SIMROTHIELLIDAE; POLYPLACOPHORA; DIVERSITY; ANATOMY; RADULA</t>
  </si>
  <si>
    <t>Solenogastres and Caudofoveata (Aplacophora) remain some of the least known molluscs, despite ubiquity in the marine environment and importance in understanding molluscan evolution. The use of new morphological techniques and development of DNA barcode libraries have helped make specimen identification easier. However, for solenogasters, using histology for identification and adequate description of species remains necessary in most cases. This, together with the facts that knowledge about solenogaster species distributions is biased and that most species were described from one or very few individuals, explains why many open questions about the actual distribution, intra-and interspecific variability, etc., remain. We performed an integrative taxonomic study of eight specimens of solenogasters from the South China Sea (West Pacific Ocean) thatresulted in the identification of four new species of Proneomeniidae. Species identification and description following the established diagnostic characters were straightforward. However, phylogenetic analysis of molecular data obtained from these specimens and other members of Proneomeniidae indicate that the family is polyphyletic. We recovered representatives of two other families, Epimeniidae (Epimenia) and Strophomeniidae (Anamenia), nested within Proneomeniidae with strong support. Ancestral character state reconstruction indicates that characters commonly used in solenogaster taxonomy, such as the radula and foregut glands, may be more evolutionarily labile in this group than previously known. Therefore our work fills knowledge gaps regarding the diversity and distribution of members of this family but raises important questions about solenogaster taxonomy and systematics that should be further assessed with additional markers and broader taxon sampling. ZooBank: urn:lsid:zoobank.org:pub:BCADACD6-9AD0-442A-AD64-031BA8D88599</t>
  </si>
  <si>
    <t>[Cobo, M. Carmen; McLaughlin, Emily L.; Kocot, Kevin M.] Univ Alabama, Dept Biol Sci, Tuscaloosa, AL 35487 USA; [Kocot, Kevin M.] Univ Alabama, Alabama Museum Nat Hist, Tuscaloosa, AL USA</t>
  </si>
  <si>
    <t>University of Alabama System; University of Alabama Tuscaloosa; University of Alabama System; University of Alabama Tuscaloosa</t>
  </si>
  <si>
    <t>Cobo, MC (corresponding author), Univ Alabama, Dept Biol Sci, Tuscaloosa, AL 35487 USA.</t>
  </si>
  <si>
    <t>mcobollovo@ua.edu</t>
  </si>
  <si>
    <t>; Kocot, Kevin/K-9087-2016</t>
  </si>
  <si>
    <t>McLaughlin, Emily/0009-0006-0297-2067; Kocot, Kevin/0000-0002-8673-2688; Cobo, M Carmen/0000-0002-8481-2086</t>
  </si>
  <si>
    <t>Fulbright Program (Ruth Lee Kennedy); Malacological Society of London (Early Career Research Grant 2018); Society of Systematic Biologists and the National Science Foundation [DEB-1846174]; ANR [ANR 12-ISV7-0005-01]; National Science Foundation [ANT-1043745]</t>
  </si>
  <si>
    <t>Fulbright Program (Ruth Lee Kennedy); Malacological Society of London (Early Career Research Grant 2018); Society of Systematic Biologists and the National Science Foundation; ANR(Agence Nationale de la Recherche (ANR)); National Science Foundation(National Science Foundation (NSF))</t>
  </si>
  <si>
    <t>This research was funded by the Fulbright Program (Ruth Lee Kennedy), the Malacological Society of London (Early Career Research Grant 2018), the Society of Systematic Biologists and the National Science Foundation (DEB-1846174). The French-Taiwanese deep-sea project TF-DeepEvo was funded by ANR and NSC (ANR 12-ISV7-0005-01). The Antarctic material was collected as part of the Icy Inverts cruises aboard the RV Lawrence M. Gould and RVIB Nathaniel B. Palmer funded by the National Science Foundation (ANT-1043745).</t>
  </si>
  <si>
    <t>1445-5226</t>
  </si>
  <si>
    <t>1447-2600</t>
  </si>
  <si>
    <t>INVERTEBR SYST</t>
  </si>
  <si>
    <t>Invertebr. Syst.</t>
  </si>
  <si>
    <t>10.1071/IS22062</t>
  </si>
  <si>
    <t>Evolutionary Biology; Zoology</t>
  </si>
  <si>
    <t>J8MU1</t>
  </si>
  <si>
    <t>WOS:001001065500001</t>
  </si>
  <si>
    <t>Verret, M; Trinh-Le, C; Dickinson, W; Norton, K; Lacelle, D; Christl, M; Levy, R; Naish, T</t>
  </si>
  <si>
    <t>Verret, Marjolaine; Trinh-Le, Cassandra; Dickinson, Warren; Norton, Kevin; Lacelle, Denis; Christl, Marcus; Levy, Richard; Naish, Tim</t>
  </si>
  <si>
    <t>Late Miocene onset of hyper-aridity in East Antarctica indicated by meteoric beryllium-10 in permafrost</t>
  </si>
  <si>
    <t>MCMURDO DRY VALLEYS; SIRIUS GROUP; ICE-SHEET; TABLE-MOUNTAIN; EARLY PLIOCENE; CLIMATE-CHANGE; FRIIS HILLS; SEDIMENT; CRYOSTRATIGRAPHY; TEMPERATURE</t>
  </si>
  <si>
    <t>Continental-scale ice sheets have covered Antarctica since an interval of global cooling near the Eocene-Oligocene boundary around 33.9 million years ago (Ma). However, the sequence of events that led to the emergence of the persistent ice sheet in modern East Antarctica remains disputed. The transition to permanent polar aridity in high elevations of East Antarctica is critical to our understanding of the threshold response of glacial systems in Antarctica to changes in surface temperature at lower elevations. Here we constrain the onset of the polar aridity-which was probably necessary for regional ice-sheet stability-by assessing meteoric beryllium-10 profiles in mid-Miocene and late Quaternary soils at three sites situated 1,200-1,800 metres above sea level in the McMurdo Dry Valleys. Interpreting these profiles as indicators of water infiltration, we find that meteoric beryllium-10 entered mid-Miocene soils as late as the late Miocene. Reconstructions based on palaeo-active-layer thickness and known thresholds of meteoric beryllium-10 mobility suggest late Miocene summer temperatures of 7-10 degrees C with annual precipitation &gt;10 mm. Therefore, the high elevations have probably been under a hyper-arid polar climate since the late Miocene (similar to 6 Ma) and not the middle Miocene (13.8-12.5 Ma) as indicated by some previous reconstructions. Together, our findings indicate that high elevations of the McMurdo Dry Valleys probably experienced warm and wet climatic intervals from similar to 14.0 to 6.0 Ma, which reconciles observations of coastal warmth and reduced ice in the Ross Embayment. This finding also suggests that the McMurdo Dry Valleys may be more susceptible to climate change than anticipated. The hyper-arid climate of modern East Antarctica only arose in the late Miocene, millions of years after the interval of rapid ice-sheet expansion, according to meteoric beryllium-10 concentrations within the permafrost.</t>
  </si>
  <si>
    <t>[Verret, Marjolaine; Dickinson, Warren; Levy, Richard; Naish, Tim] Victoria Univ Wellington, Antarctic Res Ctr, Wellington, New Zealand; [Verret, Marjolaine] Univ Ctr Svalbard, Dept Arctic Geol, Svalbard, Norway; [Verret, Marjolaine] Univ Ctr Svalbard, Dept Arctic Geol, Jan Mayen, Norway; [Trinh-Le, Cassandra; Norton, Kevin] Victoria Univ Wellington, Sch Geog Environm &amp; Earth Sci, Wellington, New Zealand; [Lacelle, Denis] Univ Ottawa, Dept Geog Environm &amp; Geomatics, Ottawa, ON, Canada; [Christl, Marcus] Swiss Fed Inst Technol, Dept Phys, Lab Ion Beam Phys, Zurich, Switzerland; [Levy, Richard] GNS Sci, Lower Hutt, New Zealand</t>
  </si>
  <si>
    <t>Victoria University Wellington; University Centre Svalbard (UNIS); University Centre Svalbard (UNIS); Victoria University Wellington; University of Ottawa; Swiss Federal Institutes of Technology Domain; ETH Zurich; GNS Science - New Zealand</t>
  </si>
  <si>
    <t>Verret, M (corresponding author), Victoria Univ Wellington, Antarctic Res Ctr, Wellington, New Zealand.;Verret, M (corresponding author), Univ Ctr Svalbard, Dept Arctic Geol, Svalbard, Norway.;Verret, M (corresponding author), Univ Ctr Svalbard, Dept Arctic Geol, Jan Mayen, Norway.</t>
  </si>
  <si>
    <t>marjolainv@unis.no</t>
  </si>
  <si>
    <t>Christl, Marcus/J-4769-2016; Norton, Kevin/F-1606-2011</t>
  </si>
  <si>
    <t>Christl, Marcus/0000-0002-3131-6652; Lacelle, Denis/0000-0002-6691-8717; Verret, Marjolaine/0000-0002-3857-526X; Norton, Kevin/0000-0002-7995-6464</t>
  </si>
  <si>
    <t>New Zealand Ministry of Business, Innovation and Employment [C05X1001]; Antarctic Science Platform [ANTA1801]; NASA-ASTEP grant; Antarctic Science International Ltd Bursary</t>
  </si>
  <si>
    <t>New Zealand Ministry of Business, Innovation and Employment(New Zealand Ministry of Business, Innovation and Employment (MBIE)); Antarctic Science Platform; NASA-ASTEP grant; Antarctic Science International Ltd Bursary</t>
  </si>
  <si>
    <t>The Friis Hills Drilling Project (austral summer 2016-2017) was funded by the New Zealand Ministry of Business, Innovation and Employment through the Past Antarctic Science Programme (C05X1001) and the Antarctic Science Platform (ANTA1801) to R.L. and T.N. The sampling at University Valley was funded by a NASA-ASTEP grant. Fieldwork at Friis Hills and Table Mountain was made possible with the logistical support of Antarctica New Zealand. We thank A. Pyne, R. Pyne, H. Chorley and Webster Drilling for retrieving the cores at Friis Hills. A special thank you to N. Bertler for allowing us to use the GNS Ice Core Facility to store and sample the permafrost cores. Laboratory work was made possible with the help of the technical staff at the Cosmogenic Nuclide Laboratory at the Victoria University of Wellington (L. Ashworth) and the Laboratory of Ion Beam Physics at ETH, Zuerich (P. Gautschi). AMS analysis was in part funded by an Antarctic Science International Ltd Bursary to M.V.</t>
  </si>
  <si>
    <t>10.1038/s41561-023-01193-4</t>
  </si>
  <si>
    <t>I9KA1</t>
  </si>
  <si>
    <t>WOS:000996888000001</t>
  </si>
  <si>
    <t>Vanková, I; Winberry, JP; Cook, S; Nicholls, KW; Greene, CA; Galton-Fenzi, BK</t>
  </si>
  <si>
    <t>Vankova, Irena; Winberry, J. Paul; Cook, Sue; Nicholls, Keith W.; Greene, Chad A.; Galton-Fenzi, Benjamin K.</t>
  </si>
  <si>
    <t>High Spatial Melt Rate Variability Near the Totten Glacier Grounding Zone Explained by New Bathymetry Inversion</t>
  </si>
  <si>
    <t>Totten; bathymetry; basal melt rate; ApRES; ice shelves; Antarctica</t>
  </si>
  <si>
    <t>C ICE SHELF; BENEATH; RADAR; FLUXES; BASE</t>
  </si>
  <si>
    <t>Totten Glacier is a fast-moving East Antarctic outlet with the potential for significant future sea-level contributions. We deployed four autonomous phase-sensitive radars on its ice shelf to monitor ice-ocean interactions near its grounding zone and made active source seismic observations to constrain gravity-derived bathymetry models. We observe an asymmetry in basal melting with mean melt rates along the grounding zone differing by up to 20 m/a. Our new bathymetry model reveals that this melt rate asymmetry coincides with an asymmetry in water column thickness and that the low-melting ice-shelf portion is shielded from the main cavity circulation. A 2-year record yields year-to-year melt rate variability of 7-9 m/a with no seasonal cycle. Our results highlight the key role of bathymetry near grounding lines for accurate modeling of ice-shelf melt, and the importance of sustained multi-year monitoring, especially at ice-shelf cavities where the dominant melt rate drivers vary primarily inter-annually.</t>
  </si>
  <si>
    <t>[Vankova, Irena] Los Alamos Natl Lab, Los Alamos, NM 87544 USA; [Vankova, Irena; Nicholls, Keith W.] British Antarctic Survey, Nat Environm Res Council, Cambridge, England; [Winberry, J. Paul] Cent Washington Univ, Dept Geol Sci, Ellensburg, WA USA; [Cook, Sue; Galton-Fenzi, Benjamin K.] Univ Tasmania, Inst Marine &amp; Antarctic Studies, Australian Antarctic Program Partnership, Hobart, Tas, Australia; [Greene, Chad A.] CALTECH, Jet Prop Lab, Pasadena, CA USA; [Galton-Fenzi, Benjamin K.] Australian Antarctic Div, Kingston, Tas, Australia</t>
  </si>
  <si>
    <t>United States Department of Energy (DOE); Los Alamos National Laboratory; UK Research &amp; Innovation (UKRI); Natural Environment Research Council (NERC); NERC British Antarctic Survey; Central Washington University; University of Tasmania; California Institute of Technology; National Aeronautics &amp; Space Administration (NASA); NASA Jet Propulsion Laboratory (JPL); Australian Antarctic Division</t>
  </si>
  <si>
    <t>Vanková, I (corresponding author), Los Alamos Natl Lab, Los Alamos, NM 87544 USA.;Vanková, I (corresponding author), British Antarctic Survey, Nat Environm Res Council, Cambridge, England.</t>
  </si>
  <si>
    <t>vankova@lanl.gov</t>
  </si>
  <si>
    <t>Greene, Chad/HTQ-9931-2023; Winberry, Paul/E-5557-2011; Cook, Sue/E-8390-2018</t>
  </si>
  <si>
    <t>Greene, Chad/0000-0001-6710-6297; Galton-Fenzi, Benjamin Keith/0000-0003-1404-4103; Cook, Sue/0000-0001-9878-4218</t>
  </si>
  <si>
    <t>Australian Government; Australian Research Council's Special Research Initiative for Antarctic Gateway Partnership [SR140300001]; Australian Antarctic Science Program [4436]; European Union [790062]; Laboratory Directed Research and Development program of Los Alamos National Laboratory [20220812PRD4]; National Science Foundation [OPP-1914767]; Marie Curie Actions (MSCA) [790062] Funding Source: Marie Curie Actions (MSCA)</t>
  </si>
  <si>
    <t>Australian Government(Australian Government); Australian Research Council's Special Research Initiative for Antarctic Gateway Partnership(Australian Research Council); Australian Antarctic Science Program; European Union(European Union (EU)); Laboratory Directed Research and Development program of Los Alamos National Laboratory; National Science Foundation(National Science Foundation (NSF)); Marie Curie Actions (MSCA)(Marie Curie Actions)</t>
  </si>
  <si>
    <t>This project received grant funding from the Australian Government as part of the Antarctic Science Collaboration Initiative program and the Australian Research Council's Special Research Initiative for Antarctic Gateway Partnership (Project ID SR140300001). Field activities were supported through the Australian Antarctic Science Program Grant 4436. I.V. received funding for this work from the European Union's Horizon 2020 research and innovation programme under the Marie Sklodowska-Curie Grant agreement No. 790062 and from the Laboratory Directed Research and Development program of Los Alamos National Laboratory under project number 20220812PRD4. J.P.W. received partial support from National Science Foundation Grant OPP-1914767. Some of the seismic instrumentation was provided by the Incorporated Research Institutions for Seismology (IRIS) through the PASSCAL Polar Support Services. We thank Reinhard Drews and an anonymous reviewer for their input that improved the paper.</t>
  </si>
  <si>
    <t>MAY 28</t>
  </si>
  <si>
    <t>e2023GL102960</t>
  </si>
  <si>
    <t>10.1029/2023GL102960</t>
  </si>
  <si>
    <t>I0OC6</t>
  </si>
  <si>
    <t>WOS:000999844800001</t>
  </si>
  <si>
    <t>Hu, SJ; Lin, SY; Feng, Q; He, XQ; Xu, HW; Chen, L; Sun, N</t>
  </si>
  <si>
    <t>Hu, Shengjie; Lin, Songyi; Feng, Qi; He, Xueqing; Xu, Haowei; Chen, Lei; Sun, Na</t>
  </si>
  <si>
    <t>Iron Complexes with Antarctic Krill-Derived Peptides Show Superior Effectiveness to Their Original Protein-Iron Complexes in Mice with Iron Deficiency Anemia</t>
  </si>
  <si>
    <t>NUTRIENTS</t>
  </si>
  <si>
    <t>IDA mice; Antarctic krill peptide-iron; iron-regulated genes; iron bioavailability; in vivo antioxidant capacity</t>
  </si>
  <si>
    <t>BINDING-CAPACITY; BIOAVAILABILITY; RATS; INFLAMMATION; TRANSFERRIN; ABSORPTION; MECHANISMS</t>
  </si>
  <si>
    <t>Antarctic krill protein-iron complex and peptide-iron complex were acquired to investigate their iron bioavailability, expression of iron-regulated genes, and in vivo antioxidant capacity. Results indicated that the Antarctic krill peptide-iron complex significantly increased the hemoglobin (Hb), serum iron (SI), and iron contents in the liver and spleen in iron-deficiency anemia (IDA) mice (p &lt; 0.05) compared with those of the Antarctic krill protein-iron complex. Despite the gene expressions of the divalent metal transporter 1(DMT1), the transferrin (Tf), and the transferrin receptor (TfR) being better regulated by both Antarctic krill peptide-iron complex and protein-iron complex, the relative iron bioavailability of the Antarctic krill peptide-iron complex group (152.53 +/- 21.05%) was significantly higher than that of the protein-iron complex group (112.75 +/- 9.60%) (p &lt; 0.05). Moreover, Antarctic krill peptide-iron complex could enhance the antioxidant enzyme activities of superoxidase dismutase (SOD) and glutathione peroxidase (GSH-Px), reduce the malondialdehyde (MDA) level in IDA mice compared with the protein-iron complex, and reduce the cell damage caused by IDA. Therefore, these results indicated that Antarctic krill peptide-iron complex could be used as a highly efficient and multifunctional iron supplement.</t>
  </si>
  <si>
    <t>[Hu, Shengjie; Lin, Songyi; Feng, Qi; He, Xueqing; Xu, Haowei; Chen, Lei; Sun, Na] Dalian Polytech Univ, Natl Engn Res Ctr Seafood, Sch Food Sci &amp; Technol, Dalian 116034, Peoples R China; [Lin, Songyi; Sun, Na] Dalian Polytech Univ, State Key Lab Marine Food Proc &amp; Safety Control, Dalian 116034, Peoples R China</t>
  </si>
  <si>
    <t>hushengjie657@126.com; linsongyi730@163.com; fq010118@163.com; hexueqing1229@163.com; xuhaowei98@163.com; chenleisst@163.com; sunna1215@126.com</t>
  </si>
  <si>
    <t>liu, peng/JSL-1931-2023; Wang, Chao/JHT-6081-2023; Hu, shengjie/JCP-5531-2023; Zhao, Yi/JFA-7988-2023; WANG, YANG/JFA-8821-2023; WANG, HUI/JFA-9683-2023; Chen, Yu/JLL-0171-2023; He, Xueqing/AAF-4037-2021; Wang, lingyu/JLM-2013-2023</t>
  </si>
  <si>
    <t>Hu, Shengjie/0000-0002-9374-3131</t>
  </si>
  <si>
    <t>National Natural Science Foundation of China [31972008]; LiaoNing Revitalization Talents Program of China [XLYC2007078]</t>
  </si>
  <si>
    <t>National Natural Science Foundation of China(National Natural Science Foundation of China (NSFC)); LiaoNing Revitalization Talents Program of China</t>
  </si>
  <si>
    <t>This work was financially supported by the National Natural Science Foundation of China (No. 31972008) and the LiaoNing Revitalization Talents Program of China (XLYC2007078).</t>
  </si>
  <si>
    <t>2072-6643</t>
  </si>
  <si>
    <t>Nutrients</t>
  </si>
  <si>
    <t>10.3390/nu15112510</t>
  </si>
  <si>
    <t>I6DR2</t>
  </si>
  <si>
    <t>WOS:001003674400001</t>
  </si>
  <si>
    <t>Ferola, AI; Cotroneo, Y; Wadhams, P; Fusco, G; Falco, P; Budillon, G; Aulicino, G</t>
  </si>
  <si>
    <t>Ferola, A. I.; Cotroneo, Y.; Wadhams, P.; Fusco, G.; Falco, P.; Budillon, G.; Aulicino, G.</t>
  </si>
  <si>
    <t>The Role of the Pacific-Antarctic Ridge in Establishing the Northward Extent of Antarctic Sea-Ice</t>
  </si>
  <si>
    <t>sea ice; Pacific Antarctic Ridge; eddies; southern ocean; Antarctic circumpolar current</t>
  </si>
  <si>
    <t>SOUTHERN-OCEAN; CIRCUMPOLAR CURRENT; VARIABILITY; TOPOGRAPHY; EDDIES; TRENDS; TRANSPORT; FRONTS; STRESS; MODELS</t>
  </si>
  <si>
    <t>Monitoring the Antarctic sea-ice is essential for improving our knowledge of the Southern Ocean. We used satellite sea-ice concentration data for the 2002-2020 period to retrieve the sea-ice extent (SIE) and analyze its variability in the Pacific sector of the Southern Ocean. Results provide observational evidence of the recurring formation of a sea-ice protrusion that extends to 60 degrees S at 150 degrees W during the winter season. Furthermore, we discuss how the Pacific-Antarctic Ridge (PAR) influences this phenomenon. Our findings show that the northward deflection of the southern Antarctic Circumpolar Current front is driven by the PAR and is associated with the enhanced sea-ice advance. The PAR also constrains eddy trajectories, limiting their interaction with the sea-ice edge. These factors, within the 160 degrees W-135 degrees W sector, cause an average SIE increase of 61,000 km(2) and 46,293 km(2) per year more than the upstream and downstream areas, respectively.</t>
  </si>
  <si>
    <t>[Ferola, A. I.; Cotroneo, Y.; Fusco, G.; Budillon, G.; Aulicino, G.] Univ Napoli Parthenope, Dept Sci &amp; Technol, Naples, Italy; [Wadhams, P.; Falco, P.] Marche Polytech Univ, Dept Life &amp; Environm Sci, Ancona, Italy</t>
  </si>
  <si>
    <t>Parthenope University Naples; Marche Polytechnic University</t>
  </si>
  <si>
    <t>Cotroneo, Y; Aulicino, G (corresponding author), Univ Napoli Parthenope, Dept Sci &amp; Technol, Naples, Italy.</t>
  </si>
  <si>
    <t>yuri.cotroneo@uniparthenope.it; giuseppe.aulicino@uniparthenope.it</t>
  </si>
  <si>
    <t>Cotroneo, Yuri/M-4010-2019; Budillon, Giorgio/O-5348-2014</t>
  </si>
  <si>
    <t>Cotroneo, Yuri/0000-0002-0099-0142; Budillon, Giorgio/0000-0003-1756-2221; FUSCO, Giannetta/0000-0003-1769-2456; Falco, Pierpaolo/0000-0002-5130-5440; Aulicino, Giuseppe/0000-0001-6406-8715; Ferola, Antonino Ian/0000-0003-3953-415X</t>
  </si>
  <si>
    <t>Sea-ice-Wave Interaction Monitoring for Marginal Ice NaviGation (SWIMMING) [PNRA18_00298]; Antarctic Circumpolar Current Eddies Survey and Simulations (ACCESS) [PNRA19_00032]</t>
  </si>
  <si>
    <t>Sea-ice-Wave Interaction Monitoring for Marginal Ice NaviGation (SWIMMING); Antarctic Circumpolar Current Eddies Survey and Simulations (ACCESS)</t>
  </si>
  <si>
    <t>This work was undertaken within the framework of the PON R &amp; I 2014-2020 AIM-Attraction and International Mobility at Universita degli Studi di Napoli Parthenope. It was carried out thanks to financial support from the Sea-ice-Wave Interaction Monitoring for Marginal Ice NaviGation (SWIMMING -Grant PNRA18_00298) and the Antarctic Circumpolar Current Eddies Survey and Simulations (ACCESS-Grant PNRA19_00032) projects of the Italian National Program for Research in Antarctica (PNRA). Additionally, we would like to thank Dr Christopher J. Roach, two additional anonymous referees and the academic editor for their helpful and careful comments.</t>
  </si>
  <si>
    <t>e2023GL104373</t>
  </si>
  <si>
    <t>10.1029/2023GL104373</t>
  </si>
  <si>
    <t>I0OW9</t>
  </si>
  <si>
    <t>WOS:000999865300001</t>
  </si>
  <si>
    <t>Fei, YY; Wang, Q; Lu, JG; Ouyang, LY; Li, W; Hu, RQ; Chen, LB</t>
  </si>
  <si>
    <t>Fei, Yueyue; Wang, Qin; Lu, Jigang; Ouyang, Linyue; Li, Wei; Hu, Ruiqin; Chen, Liangbiao</t>
  </si>
  <si>
    <t>Identification of antibacterial activity of LEAP2 from Antarctic icefish Chionodraco hamatus</t>
  </si>
  <si>
    <t>Antarctic icefish; antibacterial activity; LEAP2</t>
  </si>
  <si>
    <t>ZEBRAFISH DANIO-RERIO; ANTIMICROBIAL PEPTIDE; MOLECULAR CHARACTERIZATION; FUNCTIONAL-ANALYSIS; TRYPTOPHAN-RICH; GENES; HEPCIDIN; IMMUNITY; EXPRESSION; EVOLUTION</t>
  </si>
  <si>
    <t>Liver-expressed antimicrobial peptide 2 (LEAP2) is a small peptide, which is consisted of signal peptide, pro-peptide and the bioactive mature peptide. Mature LEAP2 is an antibacterial peptide with four highly conserved cysteines forming two intramolecular disulfide bonds. Chionodraco hamatus, an Antarctic notothenioid fish that lives in the coldest water, has white blood unlike most fish of the world. In this study, the LEAP2 coding sequence was cloned from C. hamatus, including a 29 amino acids signal peptide and mature peptide of 46 amino acids. High levels of LEAP2 mRNA were detected in the skin and liver. Mature peptide was obtained by chemical synthesis in vitro, displayed selective antimicrobial activities against Escherichia coli, Aeromonas hydrophila, Staphylococcus aureus and Streptococcus agalactiae. Liver-expressed antimicrobial peptide 2 showed bactericidal activity by destroying the cell membrane integrity and robustly combined with bacterial genomic DNA. In addition, overexpression of the Tol-LEAP2-EGFP in zebrafish larva showed stronger antimicrobial activity in C. hamatus than in zebrafish, accompanied by lower bacterial load and expression of pro-inflammatory factors. This is the first demonstration of the antimicrobial activity of LEAP2 from C. hamatus, which is of useful value in improving resistance to pathogens.</t>
  </si>
  <si>
    <t>[Fei, Yueyue; Wang, Qin; Lu, Jigang; Ouyang, Linyue; Li, Wei; Hu, Ruiqin; Chen, Liangbiao] Shanghai Ocean Univ, Key Lab Explorat &amp; Utilizat Aquat Genet Resources, Minist Educ, Shanghai, Peoples R China; [Fei, Yueyue; Wang, Qin; Lu, Jigang; Ouyang, Linyue; Li, Wei; Hu, Ruiqin; Chen, Liangbiao] Shanghai Ocean Univ, Int Res Ctr Marine Biosci, Minist Sci &amp; Technol, Shanghai, Peoples R China; [Chen, Liangbiao] Shanghai Ocean Univ, Coll Fisheries &amp; Life Sci, Shanghai 201306, Peoples R China</t>
  </si>
  <si>
    <t>Shanghai Ocean University; Shanghai Ocean University; Shanghai Ocean University</t>
  </si>
  <si>
    <t>Chen, LB (corresponding author), Shanghai Ocean Univ, Coll Fisheries &amp; Life Sci, Shanghai 201306, Peoples R China.</t>
  </si>
  <si>
    <t>lbchen@shou.edu.cn</t>
  </si>
  <si>
    <t>, liangbiao/0000-0002-0717-8536</t>
  </si>
  <si>
    <t>National Key Research and Development Program of China [2018YFD0900601]</t>
  </si>
  <si>
    <t>National Key Research and Development Program of China</t>
  </si>
  <si>
    <t>National Key Research and Development Program of China, Grant/Award Number: 2018YFD0900601</t>
  </si>
  <si>
    <t>10.1111/jfd.13797</t>
  </si>
  <si>
    <t>O3RG6</t>
  </si>
  <si>
    <t>WOS:000996073600001</t>
  </si>
  <si>
    <t>Reusen, JM; Steffen, R; Steffen, H; Root, BC; van der Wal, W</t>
  </si>
  <si>
    <t>Reusen, J. M.; Steffen, R.; Steffen, H.; Root, B. C.; van der Wal, W.</t>
  </si>
  <si>
    <t>Simulating horizontal crustal motions of glacial isostatic adjustment using compressible Cartesian models</t>
  </si>
  <si>
    <t>Loading of the Earth; Glaciology; Mechanics; theory and modelling; Finite element method</t>
  </si>
  <si>
    <t>LATERAL VISCOSITY VARIATIONS; FINITE-ELEMENT PACKAGES; VISCOELASTIC RELAXATION; EARTH; DEFORMATION; GIA; UPLIFT; PERTURBATIONS; STABILITY; ADVECTION</t>
  </si>
  <si>
    <t>Significant land uplift and horizontal motions have been recorded with Global Navigation Satellite Systems (GNSS) in areas such as Alaska, Iceland and the Northern Antarctic Peninsula (NAP) as a result of Glacial Isostatic Adjustment (GIA) due to ice melt after the Little Ice Age. Here, analysis of horizontal displacement rates can be of extra importance, as they are more sensitive to Earth properties in shallower layers than vertical displacement rates. Proper modelling of horizontal displacement rates with dedicated GIA models requires a spherical Earth with compressible rheology. However, in these small areas, the used GIA models are often incompressible using a Cartesian geometry to ease computation and in some cases allow for lateral viscosity changes or more complex rheology. We investigate the validity of modelled horizontal displacement rates using different approximations, that is using spherical or Cartesian Earth structures, and incompressible, material compressible or compressible rheology. Although the lack of self-gravity and sphericity compensate each other in the vertical, this is less the case for the horizontal. For a disc ice sheet with a radius just over 200 km and a thickness of 1000 m, differences due to sphericity are minimal and the modelled horizontal displacement rates of compressible Cartesian models differ from those simulated by a compressible spherical model by 0.63 mm a(-1). Thus, compressible Cartesian GIA models can be applied for modelling horizontal displacement rates of small ice sheets like those in Alaska, Iceland and NAP. Unfortunately, the implementation of compressibility in Abaqus that we use here cannot be extended to spherical models as gravity can not be specified for a spherical body. Other modelling approaches are recommended in such cases.</t>
  </si>
  <si>
    <t>[Reusen, J. M.; Root, B. C.; van der Wal, W.] Delft Univ Technol, Fac Aerosp Engn, NL-2628 CD Delft, Netherlands; [Steffen, R.; Steffen, H.] Lantmateriet, Geodata Div, Lantmaterigatan 2C, S-80264 Gavle, Sweden</t>
  </si>
  <si>
    <t>Reusen, JM (corresponding author), Delft Univ Technol, Fac Aerosp Engn, NL-2628 CD Delft, Netherlands.</t>
  </si>
  <si>
    <t>J.M.Reusen@tudelft.nl</t>
  </si>
  <si>
    <t>Steffen, Holger/B-7782-2008</t>
  </si>
  <si>
    <t>Steffen, Holger/0000-0001-6682-6209; Root, Bart/0000-0001-7742-1434; Reusen, Jesse/0000-0002-1669-9771</t>
  </si>
  <si>
    <t>NWO Science domain [ALW.GO.2017.035]; Svenska Rymdstyrelsen (Swedish National Space Agency) [2018-00140]</t>
  </si>
  <si>
    <t>NWO Science domain; Svenska Rymdstyrelsen (Swedish National Space Agency)</t>
  </si>
  <si>
    <t>Acknowledgement We thank the editor Duncan Agnew and Volker Klemann and one anonymous reviewer for the constructive comments which helped to improve the paper. We wish to acknowledge Pingping Huang for insightful discussions. This research was (partially) funded by NWO Science domain (NWO-ENW), project ALW.GO.2017.035. RS is supported by a project grant from Svenska Rymdstyrelsen (Swedish National Space Agency; grant number 2018-00140).</t>
  </si>
  <si>
    <t>MAY 27</t>
  </si>
  <si>
    <t>10.1093/gji/ggad232</t>
  </si>
  <si>
    <t>J8KX5</t>
  </si>
  <si>
    <t>WOS:001012068500003</t>
  </si>
  <si>
    <t>Roffman, J; Gomez, N; Yousefi, M; Han, HK; Nowicki, S</t>
  </si>
  <si>
    <t>Roffman, Jeremy; Gomez, Natalya; Yousefi, Maryam; Han, Holly Kyeore; Nowicki, Sophie</t>
  </si>
  <si>
    <t>Spatial and temporal variability of 21st century sea level changes</t>
  </si>
  <si>
    <t>Earth rotation variations; Loading of the Earth; Sea level change; Antarctica</t>
  </si>
  <si>
    <t>ANTARCTIC ICE-SHEET; GLACIAL ISOSTATIC-ADJUSTMENT; EARTH; RISE; COLLAPSE; MODELS; MELT</t>
  </si>
  <si>
    <t>Mass loss from polar ice sheets is becoming the dominant contributor to current sea level changes, as well as one of the largest sources of uncertainty in sea level projections. The spatial pattern of sea level change is sensitive to the geometry of ice sheet mass changes, and local sea level changes can deviate from the global mean sea level change due to gravitational, Earth rotational and deformational (GRD) effects. The pattern of GRD sea level change associated with the melting of an ice sheet is often considered to remain relatively constant in time outside the vicinity of the ice sheet. For example, in the sea level projections from the most recent IPCC sixth assessment report (AR6), the geometry of ice sheet mass loss was treated as constant during the 21st century. However, ice sheet simulations predict that the geometry of ice mass changes across a given ice sheet and the relative mass loss from each ice sheet will vary during the coming century, producing patters of global sea level changes that are spatiotemporally variable. We adopt a sea level model that includes GRD effects and shoreline migration to calculate time-varying sea level patterns associated with projections of the Greenland and Antarctic Ice Sheets during the coming century. We find that in some cases, sea level changes can be substantially amplified above the global mean early in the century, with this amplification diminishing by 2100. We explain these differences by calculating the contributions of Earth rotation as well as gravitational and deformational effects to the projected sea level changes separately. We find in one case, for example, that ice gain on the Antarctic Peninsula can cause an amplification of up to 2.9 times the global mean sea level equivalent along South American coastlines due to positive interference of GRD effects. To explore the uncertainty introduced by differences in predicted ice mass geometry, we predict the sea level changes following end-member mass loss scenarios for various regions of the Antarctic Ice Sheet from the ISMIP6 model ensemblely, and find that sea level amplification above the global mean sea level equivalent differ by up to 1.9 times between different ice mass projections along global coastlines outside of Greenland and Antarctica. This work suggests that assessments of future sea level hazard should consider not only the integrated mass changes of ice sheets, but also temporal variations in the geometry of the ice mass changes across the ice sheets. As well, this study highlights the importance of constraining the relative timing of ice mass changes between the Greenland and Antarctic Ice Sheets.</t>
  </si>
  <si>
    <t>[Roffman, Jeremy; Gomez, Natalya; Yousefi, Maryam; Han, Holly Kyeore] McGill Univ, Dept Earth &amp; Planetary Sci, Montreal, PQ H2X 3P9, Canada; [Han, Holly Kyeore] Los Alamos Natl Lab, Fluid Dynam &amp; Solid Mech Grp, Los Alamos, NM 87545 USA; [Nowicki, Sophie] SUNY Buffalo, Dept Geol, Buffalo, NY 14260 USA</t>
  </si>
  <si>
    <t>McGill University; United States Department of Energy (DOE); Los Alamos National Laboratory; State University of New York (SUNY) System; State University of New York (SUNY) Buffalo</t>
  </si>
  <si>
    <t>Roffman, J (corresponding author), McGill Univ, Dept Earth &amp; Planetary Sci, Montreal, PQ H2X 3P9, Canada.</t>
  </si>
  <si>
    <t>jeremy.roffman@mail.mcgill.ca</t>
  </si>
  <si>
    <t>Natural Sciences and Engineering Research Council of Canada [RGPIN-2016-05159]; Canada Research Chairs program [241814]; National Science Foundation [1744901]; CMIP5; CMIP6; ESGF</t>
  </si>
  <si>
    <t>Natural Sciences and Engineering Research Council of Canada(Natural Sciences and Engineering Research Council of Canada (NSERC)CGIAR); Canada Research Chairs program(Canada Research Chairs); National Science Foundation(National Science Foundation (NSF)); CMIP5; CMIP6; ESGF</t>
  </si>
  <si>
    <t>JR, NG and HKH were supported by the Natural Sciences and Engineering Research Council of Canada (Grant No. RGPIN-2016-05159) and the Canada Research Chairs program (Grant No. 241814) and MY was supported by National Science Foundation Grant No. 1744901. We thank the Climate and Cryosphere (CliC) effort, which provided support for ISMIP6 through sponsoring of workshops, hosting the ISMIP6 website and wiki, and promoted ISMIP6. We acknowledge the World Climate Research Programme, which, through its Working Group on Coupled Modelling, coordinated and promoted CMIP5 and CMIP6. We thank the climate modelling groups for producing and making available their model output, the Earth System Grid Federation (ESGF) for archiving the CMIP data and providing access, the University at Buffalo for ISMIP6 data distribution and upload, and the multiple funding agencies who support CMIP5 and CMIP6 and ESGF. We thank the ISMIP6 steering committee, the ISMIP6 model selection group and ISMIP6 dataset preparation group for their continuous engagement in defining ISMIP6. This is ISMIP6 contribution No. 29. While pursuing this research we became aware of an independent and complementary effort to explore sea level projections across the 21st century. That work, by Cederberg et al., which the authors kindly shared with us, appears in the same issue of GJI.</t>
  </si>
  <si>
    <t>10.1093/gji/ggad170</t>
  </si>
  <si>
    <t>I8IA7</t>
  </si>
  <si>
    <t>WOS:001005155200001</t>
  </si>
  <si>
    <t>Cederberg, G; Jaeger, N; Kiam, L; Powell, R; Stoller, P; Valencic, N; Latychev, K; Lickley, M; Mitrovica, JX</t>
  </si>
  <si>
    <t>Cederberg, Gabriel; Jaeger, Nicholas; Kiam, Lia; Powell, Robert; Stoller, Posy; Valencic, Natasha; Latychev, Konstantin; Lickley, Megan; Mitrovica, Jerry X.</t>
  </si>
  <si>
    <t>Consistency in the fingerprints of projected sea level change 2015-2100CE</t>
  </si>
  <si>
    <t>Sea level fingerprints; 21st Century sea level projections; Glaciology; Earth rotation variations; Loading of the Earth; Sea level change</t>
  </si>
  <si>
    <t>MASS-BALANCE</t>
  </si>
  <si>
    <t>A large ensemble of ice sheet projections to the end of the 21st century have been compiled within community-based initiatives. These ensembles allow for assessment of uncertainties in projections associated with climate forcing and a wide range of parameters governing ice sheet and shelf dynamics, including ice-ocean interactions. Herein, we compute geographically variable sea level 'fingerprints' associated with similar to 320 simulations of polar ice sheet projections included in the Ice Sheet Model Intercomparison Project for CMIP6 and similar to 180 projections of glacier mass changes from the Glacier Model Intercomparison Project. We find a strong correlation (coefficient &gt; 0.97) between all fingerprints of Greenland Ice Sheet projections when considering a global region outside the near field of the ice sheet. Consistency in the fingerprints for the Antarctic Ice Sheet (AIS) projections is much weaker, though correlation coefficients &gt; 0.80 were found for all projections with global mean sea level (GMSL) greater than 10 cm. The far-field variability in the fingerprints associated with the AIS is due in large part to the sea level change driven by Earth rotation changes. The size and position of the AIS on the south pole makes the rotational component of the sea level fingerprint highly sensitive to the geometry of the ice mass flux, a geometry that becomes more consistent as the GMSL associated with the ice sheet projection increases. Finally, the fingerprints of glacier mass flux show an intermediate level of consistency, with contributions from Antarctic glaciers being the primary driver of decorrelation.</t>
  </si>
  <si>
    <t>[Cederberg, Gabriel; Jaeger, Nicholas; Kiam, Lia; Stoller, Posy; Valencic, Natasha; Latychev, Konstantin; Mitrovica, Jerry X.] Harvard Univ, Dept Earth &amp; Planetary Sci, Cambridge, MA 02138 USA; [Powell, Robert] Univ Oxford, Sch Geog &amp; Environm, South Parks Rd, Oxford OX1 3QY, England; [Lickley, Megan] Georgetown Univ, Edmund A Walsh Sch Foreign Serv, Washington, DC 20057 USA</t>
  </si>
  <si>
    <t>Harvard University; University of Oxford; Georgetown University</t>
  </si>
  <si>
    <t>Mitrovica, JX (corresponding author), Harvard Univ, Dept Earth &amp; Planetary Sci, Cambridge, MA 02138 USA.</t>
  </si>
  <si>
    <t>jxm@eps.harvard.edu</t>
  </si>
  <si>
    <t>Mac Arthur Foundation; Harvard University</t>
  </si>
  <si>
    <t>This work was supported by the Mac Arthur Foundation and Harvard University.</t>
  </si>
  <si>
    <t>10.1093/gji/ggad214</t>
  </si>
  <si>
    <t>WOS:001005155200002</t>
  </si>
  <si>
    <t>Kim, J; Kang, D; Lee, MI; Jin, EK; Kug, JS; Lee, WS</t>
  </si>
  <si>
    <t>Kim, Jihae; Kang, Daehyun; Lee, Myong-In; Jin, Emilia Kyung; Kug, Jong-Seong; Lee, Won Sang</t>
  </si>
  <si>
    <t>Remote Influences of ENSO and IOD on the Interannual Variability of the West Antarctic Sea Ice</t>
  </si>
  <si>
    <t>ENSO; IOD; West Antarctic; Sea ice</t>
  </si>
  <si>
    <t>SPLIT JET; IMPACTS; OCEAN; SNOW</t>
  </si>
  <si>
    <t>West Antarctica exhibits a pronounced sea ice variability in interannual timescale, and 20%-30% of the total variance can be explained by the El Nino-Southern Oscillation (ENSO) and the Indian Ocean Dipole (IOD) during austral spring. The sea ice variation is primarily linked with anomalous atmospheric circulation in the Amundsen-Bellingshausen Sea (ABS) that modulates poleward atmospheric temperature advection and radiative forcing. With a co-varying relationship between ENSO and IOD, isolating their remote impacts on Antarctica has been limited in observations. An idealized experiment using the atmospheric model with a dry dynamical core suggests that the anticyclonic circulation anomaly in the ABS is primarily contributed by the ENSO in the Pacific Ocean, while the contribution of the IOD in the Indian Ocean is only one-third large. This study implies that atmospheric teleconnection through the southern Pacific Ocean is crucial for understanding the West Antarctic sea ice concentration variability.Plain Language Summary Antarctic sea ice, which affects the Earth's climate system, has gained considerable attention in recent years. Previous studies have shown that the El Nino-Southern Oscillation (ENSO) and the Indian Ocean Dipole (IOD) in the tropics affect the sea ice variation in West Antarctica through atmospheric teleconnections at interannual timescale. Unfortunately, due to the high positive correlation between these two climate modes, it is unclear how each phenomenon contributes to the West Antarctic sea ice variation. Therefore, this study investigates the underlying mechanisms related to the sea ice changes caused by ENSO and IOD during austral spring and quantifies the effect of each phenomenon on the West Antarctic sea ice through an idealized model experiment. It is found that the ENSO and the IOD account for 20%-30% of sea ice variance during austral spring, which is primarily contributed by the dynamic and thermodynamic mechanisms associated with atmospheric circulation in the Amundsen-Bellingshausen Sea (ABS). In addition, we confirm through the model experiments that the effect of ENSO in the Pacific Ocean on the atmospheric circulation patterns of ABS is about three times stronger than that of IOD in the Indian Ocean.</t>
  </si>
  <si>
    <t>[Kim, Jihae; Lee, Myong-In] Ulsan Natl Inst Sci &amp; Technol, Dept Urban &amp; Environm Engn, Ulsan, South Korea; [Kang, Daehyun] Korea Inst Sci &amp; Technol, Ctr Sustainable Environm Res, Seoul, South Korea; [Jin, Emilia Kyung; Lee, Won Sang] Korea Polar Res Inst, Div Glacial Environm Res, Incheon, South Korea; [Kug, Jong-Seong] Pohang Univ Sci &amp; Technol POSTECH, Sch Environm Sci &amp; Engn, Pohang, South Korea</t>
  </si>
  <si>
    <t>Ulsan National Institute of Science &amp; Technology (UNIST); Korea Institute of Science &amp; Technology (KIST); Korea Polar Research Institute (KOPRI); Pohang University of Science &amp; Technology (POSTECH)</t>
  </si>
  <si>
    <t>Lee, MI (corresponding author), Ulsan Natl Inst Sci &amp; Technol, Dept Urban &amp; Environm Engn, Ulsan, South Korea.</t>
  </si>
  <si>
    <t>milee@unist.ac.kr</t>
  </si>
  <si>
    <t>KUG, JONG-SEONG/A-8053-2013; Lee, Myong-In/F-3578-2010</t>
  </si>
  <si>
    <t>Kang, Daehyun/0000-0003-3284-1245; Lee, Won Sang/0000-0002-1074-7672; Lee, Myong-In/0000-0001-8983-8624; KUG, JONG-SEONG/0000-0003-2251-2579</t>
  </si>
  <si>
    <t>Korea Institute of Marine Science &amp; Technology Promotion (KIMST) - Ministry of Oceans and Fisheries, Korea [20190361]; Sejong Science Fellowship - National Research Foundation of Korea [NRF-2021R1C1C2004621]</t>
  </si>
  <si>
    <t>Korea Institute of Marine Science &amp; Technology Promotion (KIMST) - Ministry of Oceans and Fisheries, Korea(Korea Institute of Marine Science &amp; Technology Promotion (KIMST)); Sejong Science Fellowship - National Research Foundation of Korea(National Research Foundation of Korea)</t>
  </si>
  <si>
    <t>This research was supported by Korea Institute of Marine Science &amp; Technology Promotion (KIMST) funded by the Ministry of Oceans and Fisheries, Korea (20190361). D. Kang was supported by Sejong Science Fellowship funded by the National Research Foundation of Korea (NRF-2021R1C1C2004621).</t>
  </si>
  <si>
    <t>e2022JD038313</t>
  </si>
  <si>
    <t>10.1029/2022JD038313</t>
  </si>
  <si>
    <t>I1CG2</t>
  </si>
  <si>
    <t>WOS:001000215900001</t>
  </si>
  <si>
    <t>Yang, QY; Zhu, GP</t>
  </si>
  <si>
    <t>Yang, Qingyuan; Zhu, Guoping</t>
  </si>
  <si>
    <t>Biochemical tracers in spiny icefish (Chaenodraco wilsoni) as indicators of variability in the diet of Antarctic krill (Euphausia superba) in a highly dynamic environment</t>
  </si>
  <si>
    <t>Bransfield Strait; Fatty acids; Stable isotope; Diet; Icefish; Krill; Trophic niche</t>
  </si>
  <si>
    <t>FATTY-ACID COMPOSITION; SOUTH SHETLAND ISLANDS; STABLE-ISOTOPE RATIOS; SEA-ICE ALGAE; BRANSFIELD STRAIT; ORGANIC-MATTER; WEDDELL SEA; TROPHIC MARKERS; ATLANTIC SECTOR; DEMERSAL FISH</t>
  </si>
  <si>
    <t>Spiny icefish (Chaenodraco wilsoni), a common high-Antarctic ichthyofauna icefish, exhibits variable feeding habits in regions around the Southern Ocean. In the Bransfield Strait (BS), C. wilsoni has received considerable attention as it preys predominantly on krill. Antarctic krill (Euphausia superba), the keystone species in the Southern Ocean, has a versatile feeding strategy, particularly in a highly dynamic environment. The central basin of the BS is a highly dynamic environment, providing an ideal place to explore the application of biochemical tracers in a specialist predator to reveal the diet of its prey. In this study, fatty acid and stable isotopic data demonstrated that the trophic niche of C. wilsoni expanded from late austral summer to early fall, which was primarily reflected in variability in the food availability of krill, i.e., herbivorous features were weakened, benthic-feeding features were strengthened, and omnivorous features showed no significant difference. A highly dynamic hydrography, coupled with an unusual diatom bloom in the BS during 2016, may have resulted in krill's prolonged filtering on diatoms in the water column, which was further reflected in the difference in biochemical tracers of C. wilsoni from late austral summer to early fall. The study demonstrated that biochemical tracers can be used to reflect the variability in the diet of prey, particularly in a highly dynamic environment.</t>
  </si>
  <si>
    <t>[Yang, Qingyuan; Zhu, Guoping] Shanghai Ocean Univ, Coll Marine Sci, Shanghai, Peoples R China; [Yang, Qingyuan; Zhu, Guoping] Shanghai Ocean Univ, Ctr Polar Res, Shanghai, Peoples R China; [Zhu, Guoping] Natl Engn Res Ctr Ocean Fisheries, Shanghai, Peoples R China; [Zhu, Guoping] Shanghai Ocean Univ, Key Lab Sustainable Exploitat Ocean Fisheries Reso, Polar Marine Ecosyst Grp, Minist Educ, Shanghai, Peoples R China; [Zhu, Guoping] Shanghai Ocean Univ, Coll Marine Sci, Shanghai 201306, Peoples R China</t>
  </si>
  <si>
    <t>Shanghai Ocean University; Shanghai Ocean University; National Engineering Research Center for Oceanic Fisheries; Shanghai Ocean University; Shanghai Ocean University</t>
  </si>
  <si>
    <t>Zhu, GP (corresponding author), Shanghai Ocean Univ, Coll Marine Sci, Shanghai, Peoples R China.;Zhu, GP (corresponding author), Shanghai Ocean Univ, Coll Marine Sci, Shanghai 201306, Peoples R China.</t>
  </si>
  <si>
    <t>International Science and Technology Cooperation Key Special Project of the National Key Research and Development Program [2022YFE0130100]; Chinese-Australian Young Scientist Exchange Program of China Association for Science and Technology, China (Cooperative Research in Antarctic Ecosystem [2020ZZGJB060926]; Latin America of Chinese Scholarship Council [2021-109]</t>
  </si>
  <si>
    <t>International Science and Technology Cooperation Key Special Project of the National Key Research and Development Program; Chinese-Australian Young Scientist Exchange Program of China Association for Science and Technology, China (Cooperative Research in Antarctic Ecosystem; Latin America of Chinese Scholarship Council</t>
  </si>
  <si>
    <t>We are grateful to the captains of large-scale trawler Longteng and the scientific observers under the Commission for the Conservation of Ant-arctic Marine Living Resources (CCAMLR) Scheme of International Scientific Observation (SISO) program onboard those vessels for C. wilsoni sampling and processing. Team members of the Polar Marine Ecosystem Laboratory, Shanghai Ocean University deserve special recognition for their efforts in the laboratory. We also thank the College of Marine Sciences at Shanghai Ocean University for providing the facilities in the laboratory, which made this study happen. We thank the comments from anonymous referees, Dr. Keith Reid at the Ross Analytics and Jiuyang Zhu at the Shanghai Ocean University to improve significantly the previous versions of this manuscript. This project was supported by the International Science and Technology Cooperation Key Special Project of the National Key Research and Development Program (grant number 2022YFE0130100 to GPZ), Chinese-Australian Young Scientist Exchange Program of China Association for Science and Technology, China (Cooperative Research in Antarctic Ecosystem, grant number 2020ZZGJB060926 to GPZ) and the Promote Scientific Research Cooperation and High-level Talent Training Projects with Canada, Australia, New Zealand and Latin America of Chinese Scholarship Council (grant number 2021-109 to GPZ).</t>
  </si>
  <si>
    <t>10.1016/j.jmarsys.2023.103907</t>
  </si>
  <si>
    <t>K0JZ5</t>
  </si>
  <si>
    <t>WOS:001013410600001</t>
  </si>
  <si>
    <t>Wang, XD; Guo, Z; Zhang, HW; Zhao, YC; Wang, YH</t>
  </si>
  <si>
    <t>Wang, Xingdong; Guo, Zhi; Zhang, Haowei; Zhao, Yanchuang; Wang, Yuhua</t>
  </si>
  <si>
    <t>Snowmelt detection on the Antarctic ice sheet and ice Shelves based on AMSR2 89 GHz channels</t>
  </si>
  <si>
    <t>Antarctic Ice Sheet; 89 GHz data; Microwave radiometer; Snowmelt</t>
  </si>
  <si>
    <t>SSM/I DATA; MICROWAVE; THICKNESS; ALGORITHM; WATER</t>
  </si>
  <si>
    <t>Currently, the spatial resolution of snowmelt detection based on low-frequency brightness temperature data (less than or equal to 36 GHz) from the Advanced Microwave Scanning Radiometer 2 (AMSR2) is low, which inhibits the determination of accurate snowmelt changes. The spatial resolution of the AMSR2 89 GHz data is at least twice that of other microwave channels, but liquid water in clouds seriously affects the propagation of the highfrequency microwave signal. In order to apply microwave radiometer AMSR-2 89 GHz data with high spatial resolution but easily disturbed by clouds and water vapor to Antarctic ice-sheet near-surface snowmelt detection, this paper builds a screening model and correction model for 89 GHz data with large interference based on the high reliability of AMSR-2 36 GHz data and the high spatial resolution of 89 GHz data and the internal relationship between the two data. The method proposed in this paper was compared with the cross-polarised gradient ratio (XPGR) algorithm and six automatic weather stations. The average detection accuracy of the proposed method and the XPGR algorithm is 97% and 95%, respectively. The experimental results show that the snowmelt detection method proposed in this paper can more accurately detect the snowmelt on the Antarctic Ice Sheet and Ice Shelves.</t>
  </si>
  <si>
    <t>[Wang, Xingdong; Guo, Zhi; Zhang, Haowei; Zhao, Yanchuang; Wang, Yuhua] Henan Univ Technol, Coll Informat Sci &amp; Engn, Zhengzhou 450001, Peoples R China</t>
  </si>
  <si>
    <t>Open Fund of State Key Laboratory of Remote Sensing Science [OFSLRSS201810]; Cultivation Programme for Young Backbone Teachers in Henan Uni- versity of Technology [21420070]; Key Projects of Science and Technology Research of Henan Province [202102310334]</t>
  </si>
  <si>
    <t>Open Fund of State Key Laboratory of Remote Sensing Science; Cultivation Programme for Young Backbone Teachers in Henan Uni- versity of Technology; Key Projects of Science and Technology Research of Henan Province</t>
  </si>
  <si>
    <t>Funding This research was supported by Open Fund of State Key Laboratory of Remote Sensing Science (Grant No. OFSLRSS201810) , in part by the Cultivation Programme for Young Backbone Teachers in Henan Uni- versity of Technology under Grant 21420070, and in part by the Key Projects of Science and Technology Research of Henan Province under Grant 202102310334.</t>
  </si>
  <si>
    <t>10.1016/j.ecolind.2023.110403</t>
  </si>
  <si>
    <t>J7CC4</t>
  </si>
  <si>
    <t>WOS:001011150600001</t>
  </si>
  <si>
    <t>Zhang, P; Duan, AM</t>
  </si>
  <si>
    <t>Zhang, Ping; Duan, Anmin</t>
  </si>
  <si>
    <t>Connection between the Tropical Pacific and Indian Ocean and Temperature Anomaly across West Antarctic</t>
  </si>
  <si>
    <t>IN-SITU OBSERVATIONS; CLIMATE VARIABILITY; SEA-ICE; SURFACE; IMPACTS; MODE; CIRCULATION; ATMOSPHERE; PENINSULA; DIPOLE</t>
  </si>
  <si>
    <t>West Antarctic and the Antarctic Peninsula have experienced dramatic warming in austral spring since the 1970s. Using observations and the Community Atmosphere Model version 4 (CAM4), this study explores the physical mechanism by which the tropical Pacific and Indian Ocean temperature anomaly mode (PIM) affects the dipolar surface air temperature (SAT) anomalies across the West Antarctic in austral spring. The positive phase of the PIM, characterized by positive sea surface temperature anomalies (SSTAs) in the tropical central-eastern Pacific and western Indian Ocean and negative SSTAs in the Maritime Continent, can generate two branches of stationary Rossby wave trains propagating from the tropical central Pacific and southeastern Indian Ocean to the West Antarctic, with an anticyclonic anomaly appearing over the Amundsen Sea. The northerlies advect warmer air to the Ross-Amundsen Seas, but southerlies advect colder air to the Antarctic Peninsula-Weddell Sea, resulting in the dipole of SAT anomalies over the West Antarctic. In this process, the role of tropical central-eastern Pacific SSTAs dominate, and it is amplified by the SSTAs around the Maritime Continent. The SSTAs in the western Indian Ocean combined with the SSTAs over the Maritime Continent further contribute to the western pole of the SAT. Only simulation that includes a prescribed PIM forcing can exactly reproduce the observations of the dipolar SAT response across the West Antarctic, indicating the need to treat the tropical Pacific and Indian Oceans as a unified whole.</t>
  </si>
  <si>
    <t>[Zhang, Ping; Duan, Anmin] Chinese Acad Sci, Inst Atmospher Phys, State Key Lab Numer Modeling Atmospher Sci &amp; Geoph, Beijing, Peoples R China; [Zhang, Ping; Duan, Anmin] Univ Chinese Acad Sci, Coll Earth Sci, Beijing, Peoples R China; [Duan, Anmin] Xiamen Univ, Coll Ocean &amp; Earth Sci, State Key Lab Marine Environm Sci, Xiamen, Peoples R China</t>
  </si>
  <si>
    <t>Duan, AM (corresponding author), Chinese Acad Sci, Inst Atmospher Phys, State Key Lab Numer Modeling Atmospher Sci &amp; Geoph, Beijing, Peoples R China.;Duan, AM (corresponding author), Univ Chinese Acad Sci, Coll Earth Sci, Beijing, Peoples R China.;Duan, AM (corresponding author), Xiamen Univ, Coll Ocean &amp; Earth Sci, State Key Lab Marine Environm Sci, Xiamen, Peoples R China.</t>
  </si>
  <si>
    <t>National Natural Science Foundation of China [42030602, 41725018, 91937302]</t>
  </si>
  <si>
    <t>AcknowledgementsThis work was jointly supported by the National Natural Science Foundation of China (Grant Nos. 42030602, 41725018, and 91937302).</t>
  </si>
  <si>
    <t>10.1038/s41612-023-00381-8</t>
  </si>
  <si>
    <t>H4OT7</t>
  </si>
  <si>
    <t>WOS:000995781300005</t>
  </si>
  <si>
    <t>Balza, U; Lois, NA; Pizzarello, G; Lopez, ME; Lois-Milevicich, J; Raya-Rey, A</t>
  </si>
  <si>
    <t>Balza, Ulises; Lois, Nicolas A.; Pizzarello, Gimena; Lopez, Maria Eugenia; Lois-Milevicich, Jimena; Raya-Rey, Andrea</t>
  </si>
  <si>
    <t>Variation in nest-site occupancy and breeding outcome in a threatened Subantarctic raptor</t>
  </si>
  <si>
    <t>IBIS</t>
  </si>
  <si>
    <t>birds of prey; breeding success; Capra hircus; Cervus elaphus; Falconiformes; floaters; point pattern analysis; sex ratio; vulnerability</t>
  </si>
  <si>
    <t>CARACARAS PHALCOBOENUS-AUSTRALIS; STRIATED CARACARAS; TERRITORY QUALITY; FALKLAND ISLANDS; STATEN-ISLAND; SEX-RATIOS; POPULATION; HABITAT; GRASSLAND; PREDATION</t>
  </si>
  <si>
    <t>Breeding outcome in birds can be influenced by both intrinsic and extrinsic factors, which may contribute differentially to each stage of the breeding cycle. Island raptors are relatively threatened species that rely on simplified food webs and usually co-occur with invasive species. Here, we studied a population of Striated Caracara Phalcoboenus australis in Isla de los Estados (Argentina) to understand the relative contribution of food availability, topographical features and territoriality to breeding parameters. Caracaras in the area depend on the short seasonal (i.e. pulsed) availability of seabirds for feeding their chicks. On the other hand, the recent introduction of non-native ungulates may have led to a suboptimal breeding environment by reducing Caracara nest-site availability within the seabird colonies via disturbance of the grassland. Using data from seven breeding seasons we analyse the abundance, the proportion of breeding individuals, the spatial structure of breeding events and the population-level breeding performance, including chick sex ratio, to study whether the breeding ecology of this species is still shaped by marine food web pulses or could be associated with invasive herbivore disturbance. The breeding adults represented only 6-15% of the population. The spatial pattern of nest-sites did not differ from random arrangement after considering the heterogeneous distribution of food availability. Territory identity accounted for most of the variation in clutch size and productivity, and penguin availability explained part of the variability in territory occupancy and hatching rate. The chick sex ratio was biased towards females and varied according to brood size, with the more productive territories producing 91% of males. The breeding cycle of this population is still mainly dependent upon the Rockhopper Penguin Eudyptes chrysocome food pulse and presents mixed evidence of being disrupted by invasive herbivores. The studied factors contributed differentially to the output of each reproductive stage, with territory identity accounting for most of the variation. Our results suggest that individual-level, long-term data could be relevant to understanding the dynamics of this species in the Fuegian archipelago, and thus a broad-scale research programme is warranted to assess the conservation status and propose future management scenarios for this species.</t>
  </si>
  <si>
    <t>[Balza, Ulises; Lopez, Maria Eugenia; Raya-Rey, Andrea] Ctr Austral Invest Cient CAD CONICET, 200, Ushuaia, Argentina; [Lois, Nicolas A.] Inst Invest Biodivers &amp; Medioambiente INIBIOMA CON, RA-1250 San Carlos De Bariloche, Argentina; [Lois, Nicolas A.] Univ Buenos Aires DEGE FCEyN UBA, Fac Ciencias Exactas &amp; Nat, Dept Ecol Genet &amp; Evoluc, Buenos Aires, Argentina; [Pizzarello, Gimena] Univ Nacl Ctr Prov Buenos Aires, Inst Multidisciplinario Ecosistemas &amp; Desarrollo S, CICPBA, Tandil, Argentina; [Lois-Milevicich, Jimena] Consejo Nacl Invest Cient &amp; Tecn IEGEBA CONICET, Inst Ecol Genet &amp; Evoluc Buenos Aires, Buenos Aires, Argentina; [Raya-Rey, Andrea] Univ Nacl Tierra Fuego, Antartida Islas Atlant Sur Fuegia Basket, 251, Ushuaia, Argentina; [Raya-Rey, Andrea] WCS Representac Argentina, RA-1595 Buenos Aires, Argentina</t>
  </si>
  <si>
    <t>Comision Nacional de Energia Atomica (CNEA)</t>
  </si>
  <si>
    <t>Balza, U (corresponding author), Ctr Austral Invest Cient CAD CONICET, 200, Ushuaia, Argentina.</t>
  </si>
  <si>
    <t>ulisesbalza@gmail.com</t>
  </si>
  <si>
    <t>Lois, Nicolas A./0000-0001-5664-0486</t>
  </si>
  <si>
    <t>Agencia Nacional de Promocion Cientifica y Tecnologica (PICT 2014) [1870]; Wildlife Conservation Society; Antarctic Research Trust</t>
  </si>
  <si>
    <t>Agencia Nacional de Promocion Cientifica y Tecnologica (PICT 2014); Wildlife Conservation Society; Antarctic Research Trust</t>
  </si>
  <si>
    <t>This work was funded by the Agencia Nacional de Promocion Cientifica y Tecnologica (PICT 2014 No. 1870), The Wildlife Conservation Society and The Antarctic Research Trust.</t>
  </si>
  <si>
    <t>0019-1019</t>
  </si>
  <si>
    <t>1474-919X</t>
  </si>
  <si>
    <t>Ibis</t>
  </si>
  <si>
    <t>10.1111/ibi.13234</t>
  </si>
  <si>
    <t>MA6D9</t>
  </si>
  <si>
    <t>WOS:000995863700001</t>
  </si>
  <si>
    <t>Azarian, C; Bopp, L; Pietri, A; Sallée, JB; d'Ovidio, F</t>
  </si>
  <si>
    <t>Azarian, Clara; Bopp, Laurent; Pietri, Alice; Sallee, Jean-Baptiste; d'Ovidio, Francesco</t>
  </si>
  <si>
    <t>Current and projected patterns of warming and marine heatwaves in the Southern Indian Ocean</t>
  </si>
  <si>
    <t>Global climate models; Ocean warming; Ocean extremes; Southern Indian Ocean</t>
  </si>
  <si>
    <t>ANTARCTIC CIRCUMPOLAR CURRENT; SEA-SURFACE TEMPERATURE; EARTH SYSTEM MODEL; CLIMATE-CHANGE; HEAT UPTAKE; FRONTAL STRUCTURE; CURRENT TRANSPORT; FAWN TROUGH; VARIABILITY; CONSERVATION</t>
  </si>
  <si>
    <t>The Southern Indian Ocean (20-120 degrees E, 70-30 degrees S) hosts an exceptional biodiversity that contributed to the inscription of the French and Australian natural reserves on the UNESCO World Heritage List. This region is a hot spot for ocean heat uptake and already experiences intense marine heat waves (MHW), as evidenced in 2011/2012 over the Kerguelen Plateau. In the coming decades, this region is also expected to face supplemental anthropogenic warming, depending on future greenhouse gas emissions, with unknown consequences for its marine ecosystems. Here, we present a regional analysis of ocean warming and MHW based on the analyses of historical observations and Coupled Model Intercomparison Project Phase 6 (CMIP6) climate projections. Consistent with observations over the last decades, we find an intensification through the 21st century of surface warming and MHW over a band located between 40 degrees S and 55 degrees S within the Antarctic Circumpolar Current region. CMIP6 models also project much faster climate velocities (i.e. the speed and direction at which isotherms drift in the wake of climate change) in the mesopelagic (200-1000 m) than at the surface (0-200 m). Lastly, a comparison between the two Shared Socioeconomic Pathways (SSP1-2.6 and SSP2-4.5) analysed in this study shows much larger changes in the second half of the 21st century for the higher emission scenario. These results suggest that the subantarctic islands will probably be mostly affected by warming and MHW under both scenarios, although committing to SSP1-2.6 could substantially alleviate the pressure on ecosystems in the long term. This study also highlights the need to consider a tri-dimensional environment that may evolve at different paces when designing efficient conservation measures.</t>
  </si>
  <si>
    <t>[Azarian, Clara; Sallee, Jean-Baptiste; d'Ovidio, Francesco] Sorbonne Univ, CNRS, IRD, MNHN,Lab Oceanog &amp; Climat Experimentat &amp; Approches, Paris, France; [Azarian, Clara] Ecole Natl Ponts &amp; Chaussees ENPC, Champs Sur Marne, France; [Bopp, Laurent] Univ PSL, Sorbonne Univ, Ecole Normale Super, Ecole Polytech,CNRS,Lab Meteorol Dynam LMD IPSL, Paris, France; [Pietri, Alice] Inst Mar Peru IMARPE, Callao, Peru</t>
  </si>
  <si>
    <t>Sorbonne Universite; Centre National de la Recherche Scientifique (CNRS); Museum National d'Histoire Naturelle (MNHN); Institut de Recherche pour le Developpement (IRD); Centre National de la Recherche Scientifique (CNRS); Universite PSL; Ecole Normale Superieure (ENS); Sorbonne Universite; Ecole des Ponts ParisTech; Instituto del Mar del Peru</t>
  </si>
  <si>
    <t>Azarian, C (corresponding author), Sorbonne Univ, CNRS, IRD, MNHN,Lab Oceanog &amp; Climat Experimentat &amp; Approches, Paris, France.</t>
  </si>
  <si>
    <t>clara.azarian@locean.ipsl.fr</t>
  </si>
  <si>
    <t>SALLEE, Jean baptiste/HDO-5355-2022</t>
  </si>
  <si>
    <t>d'Ovidio, Francesco/0000-0002-9664-7778</t>
  </si>
  <si>
    <t>CNES, France; Program LEFE led by CNRS-INSU, France; French Ministry of Ecological Transition; Project Concytec - World Bank; European Union [820989]</t>
  </si>
  <si>
    <t>CNES, France(Centre National D'etudes Spatiales); Program LEFE led by CNRS-INSU, France; French Ministry of Ecological Transition; Project Concytec - World Bank; European Union(European Union (EU))</t>
  </si>
  <si>
    <t>We acknowledge the World Climate Research Programme's Working Group on Coupled Modelling, that is responsible for CMIP. The authors also thank the IPSL modelling group for the software infrastructure, which facilitated CMIP analysis. We acknowledge funding support from CNES, France and from the program LEFE led by CNRS-INSU, France (projects KERTREND and KERTREND-SAT) . C.A. was financially supported by the French Ministry of Ecological Transition. A.P. acknowledges the financial support of the Project Concytec - World Bank Characterization and forecast of extreme events in the Peruvian sea using an operational system of oceanic information, through its executing unit Fondo Nacional de Desarrollo Cientifico, Tecnologico y de Innovacion Tecnologica (Fondecyt) . L.B. acknowledges funding from the European Union's Horizon 2020 research and innovation program under grant agreement no. 820989 (project COMFORT) .</t>
  </si>
  <si>
    <t>10.1016/j.pocean.2023.103036</t>
  </si>
  <si>
    <t>FF1B1</t>
  </si>
  <si>
    <t>WOS:001144245500001</t>
  </si>
  <si>
    <t>Juáres, MA; Rios, A; Albarrán, K; Silvestro, AM; Perchivale, P; Casaux, R; Santos, MM</t>
  </si>
  <si>
    <t>Juares, Mariana A.; Rios, Ayelen; Albarran, Katya; Silvestro, Anahi M.; Perchivale, Pablo; Casaux, Ricardo; Santos, M. Mercedes</t>
  </si>
  <si>
    <t>Records of king penguins at Stranger Point and Esperanza/Hope Bay, Antarctica</t>
  </si>
  <si>
    <t>Aptenodytes patagonicus; Molting adult; Breeding events; Climate change; Distribution</t>
  </si>
  <si>
    <t>APTENODYTES-PATAGONICUS; SOUTH SHETLAND; RANGE; POPULATIONS</t>
  </si>
  <si>
    <t>The king penguin (Aptenodytes patagonicus) is a subantarctic species, but breeders were recently reported in Antarctica. Stranger Point (South Shetland Islands) represents the southernmost breeding site recorded so far. Here, we report the observations of king penguins molting and attempting to breed at Stranger Point during 11 consecutive years, and the first record of a molting individual at Esperanza/Hope Bay (tip of the Antarctic Peninsula). From 2011/2012, breeding attempts occurred every year at Stranger Point, except in 2021/2022. Only during 2014/2015 and 2016/2017, a chick hatched and survived until 5 months and 1 month old, respectively. In the remaining seasons, the egg was abandoned before hatching. In mid-February 2018, a dead adult king penguin was found, and then only a female adult was observed there. Strikingly, during 2017/2018 and 2018/2019, a second egg was laid some days after the first egg was abandoned. Unfortunately, the pair was not able to establish itself at Stranger Point, and no further sightings of molting king penguins were recorded at Esperanza/Hope Bay since the 2018/2019 season. Notwithstanding this, our observations highlight the importance of reporting all records of king penguins in Antarctica, thus providing fundamental information to assess future climate-driven shifts in the bio-geographic range of this species and the status of the population.</t>
  </si>
  <si>
    <t>[Juares, Mariana A.; Perchivale, Pablo; Santos, M. Mercedes] Inst Antartico Argentino, Dept Biol Predadores Tope, 25 Mayo 1143,B1650CSP, Buenos Aires, DF, Argentina; [Juares, Mariana A.] Consejo Nacl Invest Cient &amp; Tecn, Godoy Cruz 2290,C1425FQB, Buenos Aires, Argentina; [Juares, Mariana A.; Rios, Ayelen; Perchivale, Pablo] Univ Nacl La Plata, Fac Ciencias Nat &amp; Museo, Labs Anexos, Calle 64 3,B1904AMA, Buenos Aires, DF, Argentina; [Albarran, Katya] Ctr Publ Educ Media, 97 Gobierno Prov Neuquen,Cordillera Viento S-N, Varvarco, Neuquen, Argentina; [Silvestro, Anahi M.; Casaux, Ricardo] Ctr Invest Esquel Montana &amp; Estepa Patagon CONICE, Roca 780, RA-9200 Esquel, Chubut, Argentina</t>
  </si>
  <si>
    <t>Instituto Antartico Argentino; Consejo Nacional de Investigaciones Cientificas y Tecnicas (CONICET); National University of La Plata</t>
  </si>
  <si>
    <t>Juáres, MA (corresponding author), Inst Antartico Argentino, Dept Biol Predadores Tope, 25 Mayo 1143,B1650CSP, Buenos Aires, DF, Argentina.;Juáres, MA (corresponding author), Consejo Nacl Invest Cient &amp; Tecn, Godoy Cruz 2290,C1425FQB, Buenos Aires, Argentina.;Juáres, MA (corresponding author), Univ Nacl La Plata, Fac Ciencias Nat &amp; Museo, Labs Anexos, Calle 64 3,B1904AMA, Buenos Aires, DF, Argentina.</t>
  </si>
  <si>
    <t>marianajuares@hotmail.com</t>
  </si>
  <si>
    <t>Juares, Mariana A./0000-0002-6763-0416; Silvestro, Anahi Mariel/0000-0002-8134-9815</t>
  </si>
  <si>
    <t>10.1007/s00300-023-03151-7</t>
  </si>
  <si>
    <t>WOS:000993332600001</t>
  </si>
  <si>
    <t>Fierro-Arcos, D; Corney, S; Meyer, A; Hayashida, H; Kiss, AE; Heil, P</t>
  </si>
  <si>
    <t>Fierro-Arcos, Denisse; Corney, Stuart; Meyer, Amelie; Hayashida, Hakase; Kiss, Andrew E.; Heil, Petra</t>
  </si>
  <si>
    <t>Analysis of ecologically relevant sea ice and ocean variables for the Southern Ocean using a high-resolution model to inform ecosystem studies</t>
  </si>
  <si>
    <t>Environmental status and trends; Southern Ocean; Climate change; Sea ice; Ocean; Marine Ecosystem Assessment for the Southern; Model; Ecology</t>
  </si>
  <si>
    <t>MIXED-LAYER DEPTH; CLIMATE-CHANGE; SEASONAL CYCLE; PROJECTIONS; IMPACTS</t>
  </si>
  <si>
    <t>Southern Ocean organisms are uniquely adapted to the extreme environmental conditions that characterise this region, making them especially vulnerable to climate change. Alterations to the physical environment have already been linked to alterations in the structure and functioning of entire ecosystems, and ecological disruptions are expected to continue to occur. Although our understanding of the physical processes driving ecological change in the Southern Ocean has improved in recent years, significant knowledge gaps remain largely as a result of insufficient observational data being available. High resolution ocean models are an important tool that can help us overcome data scarcity. However, models generally contain biases that may affect their ability to accurately represent environmental conditions in the region of interest. Thus, their outputs must be evaluated to understand if and how model outputs can be used to answer questions about ecological impacts. Here, we examined the suitability of ACCESS-OM2-01, a high-resolution coupled ocean- sea ice model, for ecological applications. Our results highlight the heterogeneous nature of the mean state of the environmental variables examined and their trends across the Southern Ocean. Our assessment shows that the ACCESS-OM2-01 model simulated well the observed seasonal cycle and broad baseline climatological conditions of the mixed layer depth and sea ice variables for the Southern Ocean over the past 50 years. However, the model performance varies across regions and at seasonal time scales: the model simulated much deeper winter mixed layer depth in the Weddell Sea and within the Antarctic Circumpolar Current, and the climatological sea-ice concentration for summer was lower in the model compared to available observations. Finally, we provide detailed Python-based scripts with all the code and steps for this analysis, which can be used as reference material to reapply elsewhere and evaluate the suitability of other model outputs for ecological applications.</t>
  </si>
  <si>
    <t>[Fierro-Arcos, Denisse; Corney, Stuart; Meyer, Amelie; Hayashida, Hakase; Kiss, Andrew E.] Univ Tasmania, Inst Marine &amp; Antarctic Studies, 20 Castray Esplanade, Battery Point, Tas 7004, Australia; [Fierro-Arcos, Denisse; Meyer, Amelie; Hayashida, Hakase; Kiss, Andrew E.] Australian Res Council, Ctr Excellence Climate Extremes, Canberra, ACT, Australia; [Corney, Stuart] Australian Antarctic Program Partnership, 20 Castray Esplanade, Battery Point, Tas 7004, Australia; [Hayashida, Hakase] Japan Agcy Marine Earth Sci &amp; Technol, Applicat Lab, Yokohama, Kanagawa, Japan; [Kiss, Andrew E.] Australian Natl Univ, Res Sch Earth Sci, Bldg 142 Mills Rd, Acton, ACT 2601, Australia; [Heil, Petra] Australian Antarctic Div, 203 Channel Highway, Kingston, Tas 7050, Australia</t>
  </si>
  <si>
    <t>University of Tasmania; Japan Agency for Marine-Earth Science &amp; Technology (JAMSTEC); Australian National University; Australian Antarctic Division</t>
  </si>
  <si>
    <t>Fierro-Arcos, D (corresponding author), Univ Tasmania, Inst Marine &amp; Antarctic Studies, 20 Castray Esplanade, Battery Point, Tas 7004, Australia.</t>
  </si>
  <si>
    <t>lilian.fierroarcos@utas.edu.au</t>
  </si>
  <si>
    <t>Hayashida, Hakase/AAY-4151-2020; Kiss, Andrew/E-7733-2016</t>
  </si>
  <si>
    <t>Hayashida, Hakase/0000-0002-6349-4947; Kiss, Andrew/0000-0001-8960-9557; Heil, Petra/0000-0003-2078-0342; Fierro Arcos, Denisse/0000-0002-5039-6272</t>
  </si>
  <si>
    <t>Australian Government [LP160100073]; Australian Government; ARC [LP200100406, 4541]; ARC [LP200100406, 4541]; Australian Government's Australian Antarctic Science Program [4496, 4506, 4593, CE170100023]; Australian Research Council Centre of Excellence in Climate Extremes [DE20010041]; Australian Research Council Discovery Early Career Research Award [501]; International Space Science Institute; [ASCI000002]; Australian Research Council [LP200100406, CE170100023] Funding Source: Australian Research Council</t>
  </si>
  <si>
    <t>Australian Government(Australian Government); Australian Government(Australian Government); ARC(Australian Research Council); ARC(Australian Research Council); Australian Government's Australian Antarctic Science Program; Australian Research Council Centre of Excellence in Climate Extremes(Australian Research Council); Australian Research Council Discovery Early Career Research Award(Australian Research Council); International Space Science Institute; ; Australian Research Council(Australian Research Council)</t>
  </si>
  <si>
    <t>Authors acknowledge support from the Australian Government as part of the Antarctic Science Collaboration Initiative program (project ID ASCI000002) . We thank the Consortium for Ocean-Sea Ice Modelling in Australia (COSIMA, http:// www.cosima.org.au) for making the simulation outputs of the ACCESS-OM2 suite of models available through the National Computational Infrastructure (NCI) . This project was undertaken with the assistance of resources and services from NCI, which is supported by the Australian Government. DFA wishes to thank Michael Sumner for providing code upon which sea ice seasonality calculations were based, Will Hobbs, Stephy Libera, COSIMA group members and CLEX's Computational Modelling Systems (CMS) team for help with troubleshooting code. AEK and PH were supported by ARC grants LP160100073 and LP200100406, and the Australian Government's Australian Antarctic Science Program grant 4541. DFA, AK, HH, and AM thank the support from the Australian Research Council Centre of Excellence in Climate Extremes (CE170100023) . AM was supported by the Australian Research Council Discovery Early Career Research Award project DE20010041. PH was supported by the Australian Government's Australian Antarctic Science Program grant 4496, 4506 and 4593, and by the International Space Science Institute award #501.</t>
  </si>
  <si>
    <t>10.1016/j.pocean.2023.103049</t>
  </si>
  <si>
    <t>Q2US8</t>
  </si>
  <si>
    <t>WOS:001056123500001</t>
  </si>
  <si>
    <t>Bouttes, N; Lhardy, F; Quiquet, A; Paillard, D; Goosse, H; Roche, DM</t>
  </si>
  <si>
    <t>Bouttes, Nathaelle; Lhardy, Fanny; Quiquet, Aurelien; Paillard, Didier; Goosse, Hugues; Roche, Didier M.</t>
  </si>
  <si>
    <t>Deglacial climate changes as forced by different ice sheet reconstructions</t>
  </si>
  <si>
    <t>LAST GLACIAL MAXIMUM; EARTH SYSTEM MODEL; SEA-LEVEL; SIMULATION; CIRCULATION; COMPLEXITY; EVOLUTION; COLLAPSE</t>
  </si>
  <si>
    <t>During the last deglaciation, the climate evolves from a cold state at the Last Glacial Maximum (LGM) at 21 ka (thousand years ago) with large ice sheets to the warm Holocene at similar to 9 ka with reduced ice sheets. The deglacial ice sheet melt can impact the climate through multiple ways: changes of topography and albedo, bathymetry and coast-lines, and freshwater fluxes (FWFs). In the PMIP4 (Paleoclimate Modelling Intercomparison Project - Phase 4) protocol for deglacial simulations, these changes can be accounted for or not depending on the modelling group choices. In addition, two ice sheet reconstructions are available (ICE-6G_C and GLAC-1D). In this study, we evaluate all these effects related to ice sheet changes on the climate using the iLOVE-CLIM model of intermediate complexity. We show that the two reconstructions yield the same warming to a first order but with a different amplitude (global mean temperature of 3.9 degrees C with ICE-6G_C and 3.8 degrees C with GLAC-1D) and evolution. We obtain a stalling of temperature rise during the Antarctic Cold Reversal (ACR, from similar to 14 to similar to 12 ka) similar to proxy data only with the GLAC-1D ice sheet reconstruction. Accounting for changes in bathymetry in the simulations results in a cooling due to a larger sea ice extent and higher surface albedo. Finally, freshwater fluxes result in Atlantic meridional overturning circulation (AMOC) draw-down, but the timing in the simulations disagrees with proxy data of ocean circulation changes. This questions the causal link between reconstructed freshwater fluxes from ice sheet melt and recorded AMOC weakening.</t>
  </si>
  <si>
    <t>[Bouttes, Nathaelle; Lhardy, Fanny; Quiquet, Aurelien; Paillard, Didier; Roche, Didier M.] Univ Paris Saclay, Lab Sci Climat &amp; Environm LSCE, IPSL, CEA CNRS UVSQ, Gif Sur Yvette, France; [Lhardy, Fanny] Max Planck Inst Meteorol, Hamburg, Germany; [Quiquet, Aurelien] Univ Grenoble Alpes, CNRS, IRD, Grenoble INP,IGE, Grenoble, France; [Goosse, Hugues] Catholic Univ Louvain, Earth &amp; Life Inst, Louvain La Neuve, Belgium; [Roche, Didier M.] Vrije Univ Amsterdam, Fac Sci, Earth &amp; Climate Cluster, Amsterdam, Netherlands</t>
  </si>
  <si>
    <t>CEA; Centre National de la Recherche Scientifique (CNRS); Universite Paris Saclay; Universite Paris Cite; Max Planck Society; Centre National de la Recherche Scientifique (CNRS); Communaute Universite Grenoble Alpes; Institut National Polytechnique de Grenoble; Universite Grenoble Alpes (UGA); Institut de Recherche pour le Developpement (IRD); Universite Catholique Louvain; Vrije Universiteit Amsterdam</t>
  </si>
  <si>
    <t>Bouttes, N (corresponding author), Univ Paris Saclay, Lab Sci Climat &amp; Environm LSCE, IPSL, CEA CNRS UVSQ, Gif Sur Yvette, France.</t>
  </si>
  <si>
    <t>nathaelle.bouttes@lsce.ipsl.fr</t>
  </si>
  <si>
    <t>Roche, Didier M./C-9875-2010; Quiquet, Aurelien/P-6180-2014</t>
  </si>
  <si>
    <t>Roche, Didier M./0000-0001-6272-9428; Quiquet, Aurelien/0000-0001-6207-3043; Lhardy, Fanny/0000-0001-6694-8695</t>
  </si>
  <si>
    <t>French National Programme LEFE (Les Enveloppes Fluides etl'Environnement)</t>
  </si>
  <si>
    <t>This research has been supported by the French National Programme LEFE (Les Enveloppes Fluides etl'Environnement)</t>
  </si>
  <si>
    <t>MAY 26</t>
  </si>
  <si>
    <t>10.5194/cp-19-1027-2023</t>
  </si>
  <si>
    <t>H3WB9</t>
  </si>
  <si>
    <t>WOS:000995292900001</t>
  </si>
  <si>
    <t>Ausems, ANMA; Kuepper, ND; Archuby, D; Braun, C; Gebczynski, AK; Gladbach, A; Hahn, S; Jadwiszczak, P; Kraemer, P; Libertelli, MM; Lorenz, S; Richter, B; Russ, A; Schmoll, T; Thorn, S; Turner, J; Wojczulanis-Jakubas, K; Jakubas, D; Quillfeldt, P</t>
  </si>
  <si>
    <t>Ausems, A. N. M. A.; Kuepper, N. D.; Archuby, D.; Braun, C.; Gebczynski, A. K.; Gladbach, A.; Hahn, S.; Jadwiszczak, P.; Kraemer, P.; Libertelli, M. M.; Lorenz, S.; Richter, B.; Russ, A.; Schmoll, T.; Thorn, S.; Turner, J.; Wojczulanis-Jakubas, K.; Jakubas, D.; Quillfeldt, P.</t>
  </si>
  <si>
    <t>Where have all the petrels gone? Forty years (1978-2020) of Wilson's Storm Petrel (Oceanites oceanicus) population dynamics at King George Island (Isla 25 de Mayo, Antarctica) in a changing climate</t>
  </si>
  <si>
    <t>Antarctic seabird; Long-term data; Climate change; Breeding success; Procellariiformes</t>
  </si>
  <si>
    <t>KRILL EUPHAUSIA-SUPERBA; SOUTH SHETLAND ISLANDS; SEA-ICE EXTENT; BREEDING SUCCESS; LIFE-HISTORY; FORAGING BEHAVIOR; STABLE-ISOTOPES; SEABIRDS; SURVIVAL; GROWTH</t>
  </si>
  <si>
    <t>Numerous seabird species are experiencing population declines, and this trend is expected to continue or even accelerate in the future. To understand the effects of environmental change on seabird populations, long-term studies are vital, but rare. Here, we present over four decades (1978-2020) of population dynamic and reproductive performance data of Wilson's Storm Petrels (Oceanites oceanicus) from King George Island (Isla 25 de Mayo), Antarctica. We determined temporal trends in population size, breeding output, and chick growth rates, and related interannual variation in these variables to various environmental variables. Our study revealed a decline of 90% in population size of Wilson's Storm Petrels in two colonies, and considerable changes in breeding output and chick growth rates. Temporal changes in breeding demographics were linked to interannual environmental variation, either causing changes in food availability (particularly Antarctic krill, Euphausia superba) or in nest burrow accessibility due to snow blocking the entrance. With the expected rise in air and sea surface temperatures, the predicted increases in precipitation over the Antarctic Peninsula will likely lead to increased snowstorm prevalence. Additionally, the rising temperatures will likely reduce food availability due to reduced sea ice cover in the wintering grounds of Antarctic krill, or by changing phyto- and zooplankton community compositions. The ongoing environmental changes may thus lead to a further population decline, or at the very least will not allow the population to recover. Monitoring the population dynamics of Antarctic seabirds is vital to increase our understanding of climate change-induced changes in polar food webs.</t>
  </si>
  <si>
    <t>[Ausems, A. N. M. A.; Kuepper, N. D.; Kraemer, P.; Richter, B.; Thorn, S.; Quillfeldt, P.] Justus Liebig Univ Giessen, Dept Anim Ecol &amp; Systemat, Heinrich Buff Ring 26, D-35392 Giessen, Germany; [Ausems, A. N. M. A.; Wojczulanis-Jakubas, K.; Jakubas, D.] Univ Gdansk, Dept Vertebrate Ecol &amp; Zool, ul Wita Stwosza 59, PL-80308 Gdansk, Poland; [Archuby, D.; Libertelli, M. M.] Inst Antart Argentino, Dept Biol Top Predators, Ave 25 Mayo, Buenos Aires, Buenos Aires, Argentina; [Archuby, D.] Univ Nacl La Plata, Fac Ciencias Nat &amp; Museo, La Plata, Argentina; [Braun, C.; Gladbach, A.; Hahn, S.; Lorenz, S.; Russ, A.; Schmoll, T.; Quillfeldt, P.] Friedrich Schiller Univ Jena, Inst Ecol &amp; Evolut, Polar &amp; Bird Ecol Grp, Dornburger Str 159, D-07743 Jena, Germany; [Gebczynski, A. K.; Jadwiszczak, P.] Univ Bialystok, Fac Biol, Ciolkowskiego 1J, PL-15245 Bialystok, Poland; [Gladbach, A.] Bayer AG, Crop Sci Div, D-40789 Monheim, Germany; [Hahn, S.] Swiss Ornithol Inst, Bird Migrat Res, Seerose 1, CH-6204 Sempach, Switzerland; [Lorenz, S.] Julius Kuhn Inst JKI, Inst Ecol Chem Plant Anal &amp; Stored Prod Protect, Konigin Luise Str 19, D-14195 Berlin, Germany; [Russ, A.] Tier3 Solut GmbH, Kolberger Str 61-63, D-51381 Leverkusen, Germany; [Schmoll, T.] Bielefeld Univ, Evolutionary Biol, Konsequenz 45, D-33615 Bielefeld, Germany; [Thorn, S.] Hessian Agcy Nat Conservat Environm &amp; Geol, Biodivers Ctr, Europastr 10, D-35394 Giessen, Germany; [Turner, J.] British Antarctic Survey, Nat Environm Res Council, Cambridge, England</t>
  </si>
  <si>
    <t>Justus Liebig University Giessen; Fahrenheit Universities; University of Gdansk; Instituto Antartico Argentino; National University of La Plata; Museo La Plata; Friedrich Schiller University of Jena; University of Bialystok; Bayer AG; Swiss Ornithological Institute; Julius Kuhn-Institut; University of Bielefeld; UK Research &amp; Innovation (UKRI); Natural Environment Research Council (NERC); NERC British Antarctic Survey</t>
  </si>
  <si>
    <t>Ausems, ANMA (corresponding author), Justus Liebig Univ Giessen, Dept Anim Ecol &amp; Systemat, Heinrich Buff Ring 26, D-35392 Giessen, Germany.;Ausems, ANMA (corresponding author), Univ Gdansk, Dept Vertebrate Ecol &amp; Zool, ul Wita Stwosza 59, PL-80308 Gdansk, Poland.</t>
  </si>
  <si>
    <t>anne.ausems@gmail.com</t>
  </si>
  <si>
    <t>Wojczulanis-Jakubas, Katarzyna/AAO-4126-2021; Jakubas, Dariusz/N-3680-2019; Ausems, Anne N.M.A./AAP-6725-2021</t>
  </si>
  <si>
    <t>Wojczulanis-Jakubas, Katarzyna/0000-0001-6230-0509; Jakubas, Dariusz/0000-0002-1879-4342; Ausems, Anne N.M.A./0000-0002-6683-6674; Libertelli, Marcela Monica/0000-0002-9642-4849; Gebczynski, Andrzej/0000-0003-1711-2175; Jadwiszczak, Piotr/0000-0002-5263-1125</t>
  </si>
  <si>
    <t>Deutsche Forschungsgemeinschaft (DFG) [Qu 148/12-1, Qu 148/18-1, Qu 148/32-1, PE 454/1 ff]; Polish National Science Center [2015/19/B/NZ8/01981]; Erasmus + program for a traineeship; Deutscher Akademischer Austauschdienst (DAAD)</t>
  </si>
  <si>
    <t>Deutsche Forschungsgemeinschaft (DFG)(German Research Foundation (DFG)); Polish National Science Center; Erasmus + program for a traineeship; Deutscher Akademischer Austauschdienst (DAAD)(Deutscher Akademischer Austausch Dienst (DAAD))</t>
  </si>
  <si>
    <t>This work was supported by the Deutsche Forschungsgemeinschaft (DFG) in the framework of the priority program SPP 1158 Ant-arctic Research with comparative investigations in Arctic ice areas by the following grants: Qu 148/12-1, Qu 148/18-1, Qu 148/32-1, and by personal grants PE 454/1 ff. The work was further funded by a grant from the Polish National Science Center: 2015/19/B/NZ8/01981. AA additionally received funding from the Erasmus + program for a traineeship and SH received funding from the Deutscher Akademischer Austauschdienst (DAAD).</t>
  </si>
  <si>
    <t>10.1007/s00300-023-03154-4</t>
  </si>
  <si>
    <t>WOS:000995321100001</t>
  </si>
  <si>
    <t>Phillips, RA; Waluda, CM; Miller, AK</t>
  </si>
  <si>
    <t>Phillips, Richard A.; Waluda, Claire M.; Miller, Allison K.</t>
  </si>
  <si>
    <t>Distribution, hosts and long-term decline in abundance of the Patagonian lamprey inferred from diet assessment of albatrosses</t>
  </si>
  <si>
    <t>Anadromy; Baleen whale; Biogeography; Diet determination; Geotria macrostoma parasitism; South Georgia stomach contents</t>
  </si>
  <si>
    <t>GREY-HEADED ALBATROSSES; STABLE-ISOTOPES REVEAL; PARASITIC SEA LAMPREY; SOUTHERN RIGHT WHALE; PETROMYZON-MARINUS; WANDERING ALBATROSSES; DIOMEDEA-MELANOPHRIS; EUBALAENA-AUSTRALIS; BIRD-ISLAND; SCOTIA SEA</t>
  </si>
  <si>
    <t>Knowledge of lampreys during their marine phase is limited, and for the southern hemisphere species was gleaned from their predators (albatrosses) in the 1970s. Taking advantage of new methodologies and long-term data on predator diet and distributions, we infer diverse aspects of lamprey distribution and ecology. DNA analyses indicated that albatrosses at South Georgia prey on Patagonian lamprey Geotria macrostoma, originating from Argentina. Their core pelagic distribution when free swimming appears to be the Antarctic Polar Frontal zone (APFZ), and not South Georgia waters as assumed previously. If so, the APFZ would be the first known hotspot in abundance of an anadromous lamprey in oceanic waters. We could not identify a teleost fish that would be a likely host. Instead, we infer that the lamprey may prey on baleen whales, based on comparison of stable isotope ratios in lamprey with candidate host species, timing of appearance in albatross diets coincident with whale migrations, and circumstantial evidence (unexplained scarring recorded during the whaling era). We suggest that the lamprey do not tolerate cold Antarctic waters, and detach from southerly-migrating whales at the thermal boundary of the APFZ, where they become accessible to albatrosses in surface waters. Given strong evidence that relative importance of prey in seabird diets reflects availability in foraging areas, the steep decrease in the annual consumption of lamprey by albatrosses at South Georgia from &gt; 550 tonnes in 1975-1976 and 1986, to very low levels in most years since 2012, is likely to indicate a major population decrease. Despite our unconventional means of assessing the population trend, there is a compelling case for listing of Patagonian lamprey at least as Near threatened by the International Union for the Conservation of Nature, and an urgent need to better understand anthropogenic threats in Argentina.</t>
  </si>
  <si>
    <t>[Phillips, Richard A.; Waluda, Claire M.] NERC, British Antarctic Survey, Cambridge CB3 0ET, England; [Miller, Allison K.] Univ Otago, Anat Dept, Otago, New Zealand</t>
  </si>
  <si>
    <t>UK Research &amp; Innovation (UKRI); Natural Environment Research Council (NERC); NERC British Antarctic Survey; University of Otago</t>
  </si>
  <si>
    <t>Phillips, RA (corresponding author), NERC, British Antarctic Survey, Cambridge CB3 0ET, England.</t>
  </si>
  <si>
    <t>raphil@bas.ac.uk</t>
  </si>
  <si>
    <t>Natural Environment Research Council; University of Otago Doctoral Scholarship; National Institutes of Health Minority Health International Research Training Programme run through the University of California Santa Cruz; Fisheries Society of the British Isles (FSBI) Small Research Grant</t>
  </si>
  <si>
    <t>Natural Environment Research Council(UK Research &amp; Innovation (UKRI)Natural Environment Research Council (NERC)); University of Otago Doctoral Scholarship; National Institutes of Health Minority Health International Research Training Programme run through the University of California Santa Cruz; Fisheries Society of the British Isles (FSBI) Small Research Grant</t>
  </si>
  <si>
    <t>We would like to thank all the field assistants at Bird Island who collected and analysed diet samples from albatrosses over the years. Diet sampling was approved by the British Antarctic Survey Animal Welfare and Ethics Committee and carried out with permission of the Government of South Georgia and the South Sandwich Islands. AKM would like to thank Neil Gemmell for his supervision and support, as well as the Gemmell Lab members and the Genetic Analysis Services team (Joanne Gillum and Patricia Fuentes-Cross). The project benefited from discussions or comments on the manuscript from Mark Belchier, Paul Brickle, Danny Buss, Martin Collins, Jen Jackson, Carla Riva-Rossi and Jose Xavier, and helpful comments from the handling editor and three reviewers. This work represents a contribution to the Ecosystems component of the British Antarctic Survey Polar Science for Planet Earth Programme, funded by the Natural Environment Research Council. AKM was funded by a University of Otago Doctoral Scholarship, a National Institutes of Health Minority Health International Research Training Programme run through the University of California Santa Cruz, and a Fisheries Society of the British Isles (FSBI) Small Research Grant.</t>
  </si>
  <si>
    <t>10.1007/s11160-023-09786-3</t>
  </si>
  <si>
    <t>WOS:000995328000002</t>
  </si>
  <si>
    <t>Bracci, A; Sato, K; Baldini, L; Porcù, F; Okamoto, H</t>
  </si>
  <si>
    <t>Bracci, Alessandro; Sato, Kaori; Baldini, Luca; Porcu, Federico; Okamoto, Hajime</t>
  </si>
  <si>
    <t>Development of a methodology for evaluating spaceborne W-band Doppler radar by combined use of Micro Rain Radar and a disdrometer in Antarctica</t>
  </si>
  <si>
    <t>Remote sensing; Snowfall; Antarctica; MRR; Radar; Disdrometer; Satellite validation; CloudSat; EarthCare; K2W</t>
  </si>
  <si>
    <t>DISCRETE-DIPOLE APPROXIMATION; SIZE DISTRIBUTION; FALL SPEEDS; SNOWFALL; CLOUDSAT; PRECIPITATION; LIDAR; DEPOLARIZATION; REFLECTIVITY; RETRIEVAL</t>
  </si>
  <si>
    <t>Ground-based snowfall observations over Antarctica are rare due to the harsh environment and high logistical, equipment maintenance, and operational costs. Satellite measurements are crucial to provide continent-wide precipitation estimates, and this highlights the importance of validating the satellite estimates with measurements collected by ground-based Antarctic stations. The NASA CloudSat satellite, launched in 2006, is equipped with a 94 GHz (W-band) Cloud Profiling Radar (CPR) that provides measurements of reflectivity profiles of clouds and precipitation, whereas the incoming ESA/JAXA EarthCARE mission will add Doppler capability to a 94 GHz radar. This study explores how the synergy between two instruments available at most Antarctic stations, i.e., Micro Rain Radar (24 GHz, K-band) and laser disdrometer, can be used to validate satellite-borne W-band radar measurements, including Doppler estimates. A new validation methodology (K2W) was proposed to combine these instruments for simulating the 94 GHz reflectivity and Doppler measurements from Micro Rain Radar spectra. Assessment of the proposed K2W conversion methodology showed that the CloudSat Ze profiles can be simulated by the method with 0.2 dB mean difference at the lowest satellite radar range bin when time lag within +/- 12.5 min and the distance within 25 km around the CloudSat overpass were considered. With the K2W method, the 94 GHz Doppler velocity below 1 km altitude that would be observed by EarthCARE was obtained, and the standard deviation of the simulated Doppler velocity was found to be smaller than about 0.2 m s-1. The simulated 94 GHz Doppler radar profile information, which is less affected by attenuation compared to groundbased 94 GHz radar, will significantly improve the quantification of precipitation over Antarctica. This methodology will be applied to further assess the EarthCARE CPR Doppler velocity measurement accuracy as well as the Level 2 standard products for precipitation in Antarctica and at many other ground observation sites.</t>
  </si>
  <si>
    <t>[Bracci, Alessandro; Baldini, Luca] CNR, Inst Atmospher Sci &amp; Climate ISAC, Rome, Italy; [Bracci, Alessandro; Porcu, Federico] Alma Mater Studiorum Univ Bologna, Dept Phys &amp; Astron Augusto Righi, Bologna, Italy; [Sato, Kaori; Okamoto, Hajime] Kyushu Univ, Res Inst Appl Mech, 6-1 Kasuga Koen, Kasuga, Fukuoka 8168580, Japan</t>
  </si>
  <si>
    <t>Consiglio Nazionale delle Ricerche (CNR); Istituto di Scienze dell'Atmosfera e del Clima (ISAC-CNR); University of Bologna; Kyushu University</t>
  </si>
  <si>
    <t>Sato, K (corresponding author), Kyushu Univ, Res Inst Appl Mech, 6-1 Kasuga Koen, Kasuga, Fukuoka 8168580, Japan.</t>
  </si>
  <si>
    <t>a.bracci@isac.cnr.it; sato@riam.kyushu-u.ac.jp; l.baldini@isac.cnr.it; federico.porcu@unibo.it; okamoto@riam.kyushu-u.ac.jp</t>
  </si>
  <si>
    <t>APP (Antarctic Precipitation Properties) project - Italian National Antarctic Research Program (PNRA); Japan Aerospace Exploration Agency [EORA3]; JSPS [KAKENHI] [JP22K03721, JP17H06139]; Shiseido Female Researcher Science Grant; Initiative for Realizing Diversity in the Research Environment; Collaborative Research Program of the Research Institute for Applied Mechanics, Kyushu University (Fukuoka, Japan)</t>
  </si>
  <si>
    <t>APP (Antarctic Precipitation Properties) project - Italian National Antarctic Research Program (PNRA); Japan Aerospace Exploration Agency; JSPS [KAKENHI](Ministry of Education, Culture, Sports, Science and Technology, Japan (MEXT)Japan Society for the Promotion of ScienceGrants-in-Aid for Scientific Research (KAKENHI)); Shiseido Female Researcher Science Grant(Shiseido Company, Limited); Initiative for Realizing Diversity in the Research Environment; Collaborative Research Program of the Research Institute for Applied Mechanics, Kyushu University (Fukuoka, Japan)</t>
  </si>
  <si>
    <t>This work is partly supported by the APP (Antarctic Precipitation Properties) project funded by the Italian National Antarctic Research Program (PNRA). K.S. was supported by The Japan Aerospace Exploration Agency [EORA3]; JSPS [KAKENHI grant JP22K03721, JP17H06139]; Shiseido Female Researcher Science Grant; Initiative for Realizing Diversity in the Research Environment; Collaborative Research Program of the Research Institute for Applied Mechanics, Kyushu University (Fukuoka, Japan).</t>
  </si>
  <si>
    <t>10.1016/j.rse.2023.113630</t>
  </si>
  <si>
    <t>J6PR5</t>
  </si>
  <si>
    <t>WOS:001010823000001</t>
  </si>
  <si>
    <t>Pearce, E; Booth, AD; Rost, S; Sava, P; Konuk, T; Brisbourne, A; Hubbard, B; Jones, I</t>
  </si>
  <si>
    <t>Pearce, Emma; Booth, Adam D. D.; Rost, Sebastian; Sava, Paul; Konuk, Tugrul; Brisbourne, Alex; Hubbard, Bryn; Jones, Ian</t>
  </si>
  <si>
    <t>Characterising ice slabs in firn using seismic full waveform inversion, a sensitivity study</t>
  </si>
  <si>
    <t>Glacier geophysics; ice thickness measurements; polar firn; seismics; seismology</t>
  </si>
  <si>
    <t>GLACIER; SHELF; RADAR; SNOW; DENSIFICATION; CONVERGENCE; ANTARCTICA; GRADIENT; RISE; THIN</t>
  </si>
  <si>
    <t>The density structure of firn has implications for hydrological and climate modelling, and ice-shelf stability. The structure of firn can be evaluated from depth models of seismic velocity, widely obtained with Herglotz-Wiechert inversion (HWI), an approach that considers the slowness of refracted seismic arrivals. However, HWI is strictly appropriate only for steady-state firn profiles and the inversion accuracy can be compromised where firn contains ice layers. In these cases, full waveform inversion (FWI) may yield more success than HWI. FWI extends HWI capabilities by considering the full seismic waveform and incorporates reflected arrivals. Using synthetic firn density profiles, assuming both steady- and non-steady-state accumulation, we show that FWI outperforms HWI for detecting ice slab boundaries (5-80 m thick, 5-80 m deep) and velocity anomalies within firn. FWI can detect slabs thicker than one wavelength (here, 20 m, assuming a maximum frequency of 60 Hz) but requires the starting velocity model to be accurate to +/- 2.5%. We recommend for field practice that the shallowest layers of velocity models are constrained with ground-truth data. Nonetheless, FWI shows advantages over established methods, and should be considered when the characterisation of firn ice slabs is the goal of the seismic survey.</t>
  </si>
  <si>
    <t>[Pearce, Emma; Booth, Adam D. D.; Rost, Sebastian] Univ Leeds, Sch Earth &amp; Environm, Leeds, England; [Pearce, Emma] Inst Terre &amp; Environm Strasbourg, Ecole &amp; Observ Sci Terre, Strasbourg, France; [Sava, Paul; Konuk, Tugrul] Colorado Sch Mines, Dept Geophys, Golden, CO USA; [Brisbourne, Alex] NERC, British Antarctic Survey, Cambridge, England; [Hubbard, Bryn] Aberystwyth Univ, Dept Geog &amp; Earth Sci, Aberystwyth, Wales; [Jones, Ian] BrightSkies Geosci, Maadi, Egypt</t>
  </si>
  <si>
    <t>University of Leeds; Colorado School of Mines; UK Research &amp; Innovation (UKRI); Natural Environment Research Council (NERC); NERC British Antarctic Survey; Aberystwyth University</t>
  </si>
  <si>
    <t>Pearce, E (corresponding author), Univ Leeds, Sch Earth &amp; Environm, Leeds, England.;Pearce, E (corresponding author), Inst Terre &amp; Environm Strasbourg, Ecole &amp; Observ Sci Terre, Strasbourg, France.</t>
  </si>
  <si>
    <t>epearce@unistra.fr</t>
  </si>
  <si>
    <t>; Brisbourne, Alex/E-6198-2013</t>
  </si>
  <si>
    <t>Pearce, Emma/0000-0001-5696-8465; Hubbard, Bryn/0000-0002-3565-3875; Booth, Adam/0000-0002-8166-9608; Brisbourne, Alex/0000-0002-9887-7120</t>
  </si>
  <si>
    <t>Natural Environment Research Council of the UK, under Industrial CASE Studentship [NE/P009429/1]; CASE funding from ION-GXT; International Association of Mathematical Geoscientists</t>
  </si>
  <si>
    <t>Natural Environment Research Council of the UK, under Industrial CASE Studentship; CASE funding from ION-GXT; International Association of Mathematical Geoscientists</t>
  </si>
  <si>
    <t>This research was funded by the Natural Environment Research Council of the UK, under Industrial CASE Studentship NE/P009429/1 with CASE funding from ION-GXT. Additional support was obtained from The International Association of Mathematical Geoscientists. Roger Clark and Emma Smith are thanked for their constructive discussion and support with this research and manuscript. Comments from three anonymous reviewers greatly benefitted the preparation of the manuscript.</t>
  </si>
  <si>
    <t>PII S0022143023000308</t>
  </si>
  <si>
    <t>10.1017/jog.2023.30</t>
  </si>
  <si>
    <t>WOS:001007714000001</t>
  </si>
  <si>
    <t>Chetverikov, YO; Ezhov, VF; Glukhov, MS; Ivankova, EM; Loshachenko, AS; Kalganov, VD; Yakubovich, OV</t>
  </si>
  <si>
    <t>Chetverikov, Y. O.; Ezhov, V. F.; Glukhov, M. S.; Ivankova, E. M.; Loshachenko, A. S.; Kalganov, V. D.; Yakubovich, O. V.</t>
  </si>
  <si>
    <t>Extraterrestrial dust flux monitoring at Antarctic Vostok station: New collection of extraterrestrial spherules fallen from May to September 2017</t>
  </si>
  <si>
    <t>PLATINUM-GROUP NUGGETS; EAST ANTARCTICA; ACCRETION RATE; COSMIC DUST; MICROMETEORITES; SNOW; ACCUMULATION; MINERALOGY; TRANSPORT; PETROLOGY</t>
  </si>
  <si>
    <t>Dust particles obtained by filtering fresh snow collected from May to September 2017 in the vicinity of Vostok station in Antarctica were examined using a scanning electron microscope. The collection of dust particles contains 197 spherules ranging from 0.5 to 117 mu m in diameter, the most abundant ones (n = 188) by far being iron oxide spherules. Analyses of meteorological and human activity data suggest an extraterrestrial origin of most of the spherical particles. The particle size distribution histogram showed a smooth increase in their number with decreasing size and a dramatic drop at sizes smaller than 3 mu m. The number of spherical particles has an uneven distribution over time, with an intense peak in July 27-28, 2017 which correlates by dates with the peak of the Southern Delta Aquariids meteor shower. The size distribution of the particles collected during the same period indicates the presence of a mechanism that accelerates their fall to the Earth. We propose that they are effective centers of condensation of ice crystals in stratospheric clouds. Our data indicate that collection of micrometeorites with sizes of several microns from the fresh snow is possible, opening a new way for sampling micrometeorites, including separate meteor showers.</t>
  </si>
  <si>
    <t>[Chetverikov, Y. O.; Ezhov, V. F.] Natl Res Ctr, Petersburg Nucl Phys Inst named BP Konstantinov, Kurchatov Inst, 1 Mkr Orlova Roscha, Gatchina 188300, Leningradskaya, Russia; [Ezhov, V. F.; Loshachenko, A. S.; Kalganov, V. D.; Yakubovich, O. V.] St Petersburg State Univ, St Petersburg, Russia; [Glukhov, M. S.] Kazan Fed Univ, Kazan, Russia; [Glukhov, M. S.] Russian Acad Sci, Zavaritsky Inst Geol &amp; Geochem, Ural Branch, Ekaterinburg, Russia; [Ivankova, E. M.] Russian Acad Sci, Inst Macromol Cpds, St Petersburg, Russia; [Ivankova, E. M.] Kirov Mil Med Acad, St Petersburg, Russia; [Yakubovich, O. V.] Russian Acad Sci, Inst Precambrian Geol &amp; Geochronol, St Petersburg, Russia</t>
  </si>
  <si>
    <t>National Research Centre - Kurchatov Institute; Saint Petersburg State University; Kazan Federal University; Russian Academy of Sciences; Russian Academy of Sciences; Institute of Macromolecular Compounds of the Russian Academy of Sciences; Russian Academy of Sciences; Institute of Precambrian Geology &amp; Geochronology of the Russian Academy of Sciences</t>
  </si>
  <si>
    <t>Chetverikov, YO (corresponding author), Natl Res Ctr, Petersburg Nucl Phys Inst named BP Konstantinov, Kurchatov Inst, 1 Mkr Orlova Roscha, Gatchina 188300, Leningradskaya, Russia.</t>
  </si>
  <si>
    <t>chetverikov_yo@pnpi.nrcki.ru</t>
  </si>
  <si>
    <t>Chetverikov, Yuriy/JOZ-2546-2023; Ivan'kova, Elena/I-4717-2018; Yakubovich, Olga/G-1063-2014; Glukhov, Mikhail/A-9385-2019; Loshachenko, Anton/I-4886-2013</t>
  </si>
  <si>
    <t>Ivan'kova, Elena/0000-0002-4823-0695; Yakubovich, Olga/0000-0001-7435-3149; Chetverikov, Yuriy/0000-0003-0144-7456; kalganov, Vladimir/0000-0001-9370-7408; Glukhov, Mikhail/0000-0002-5075-7066; Ezhov, Victor/0000-0002-8794-7138; Loshachenko, Anton/0000-0002-1058-3452</t>
  </si>
  <si>
    <t>R&amp;D thematic plan of NRC Kurchatov Institute-PNPI; Kazan Federal University [0671-2020-0048, 075-00216-20-05]; State Task of the~IPGG RAS [FMNU-2022-0003]</t>
  </si>
  <si>
    <t>R&amp;D thematic plan of NRC Kurchatov Institute-PNPI; Kazan Federal University; State Task of the~IPGG RAS</t>
  </si>
  <si>
    <t>Authors are grateful to Russian Antarctic Expedition and for helpful and constructive comments and suggestions done by Matthew Genge, Susan Taylor, and Donald Brownlee. Discussions with Alexey Ekaykin and My Reibe are also appreciated. Authors are grateful to Alexandra Ostroverkhova and Kristina Sukhanova for assistance. This work was carried out within the framework of the R&amp;D thematic plan of NRC Kurchatov Institute-PNPI. Research was made possible by the subsidy allocated to Kazan Federal University for the state assignment in the sphere of scientific activities (Project No. 0671-2020-0048 of State Assignment No. 075-00216-20-05 of 04.06.2020 (Part II Section 1)), and by State Task of the IPGG RAS (FMNU-2022-0003). SEM studies were performed at the Interdisciplinary Center for Nanotechnology of Research Park of St. Petersburg State University.</t>
  </si>
  <si>
    <t>10.1111/maps.13991</t>
  </si>
  <si>
    <t>J0XY2</t>
  </si>
  <si>
    <t>WOS:000994561700001</t>
  </si>
  <si>
    <t>de Lavergne, C</t>
  </si>
  <si>
    <t>de Lavergne, Casimir</t>
  </si>
  <si>
    <t>Slowing of the ocean's deep breath</t>
  </si>
  <si>
    <t>The deepest reaches of the ocean are ventilated by sinking of cold and relatively saline seawater around Antarctica. Observations from the Australian sector of the Southern Ocean reveal a decline in sinking and abyssal ventilation, linked to dropping ocean salinity on the Antarctic shelf.</t>
  </si>
  <si>
    <t>[de Lavergne, Casimir] Sorbonne Univ, LOCEAN Lab, CNRS, IRD,MNHM, Paris, France</t>
  </si>
  <si>
    <t>Museum National d'Histoire Naturelle (MNHN); Institut de Recherche pour le Developpement (IRD); Centre National de la Recherche Scientifique (CNRS); Sorbonne Universite</t>
  </si>
  <si>
    <t>de Lavergne, C (corresponding author), Sorbonne Univ, LOCEAN Lab, CNRS, IRD,MNHM, Paris, France.</t>
  </si>
  <si>
    <t>casimir.delavergne@locean.ipsl.fr</t>
  </si>
  <si>
    <t>de Lavergne, Casimir/0000-0001-9267-7390</t>
  </si>
  <si>
    <t>10.1038/s41558-023-01662-z</t>
  </si>
  <si>
    <t>I7VQ0</t>
  </si>
  <si>
    <t>WOS:000995255800003</t>
  </si>
  <si>
    <t>Gunn, KL; Rintoul, SR; England, MH; Bowen, MM</t>
  </si>
  <si>
    <t>Gunn, Kathryn L.; Rintoul, Stephen R.; England, Matthew H.; Bowen, Melissa M.</t>
  </si>
  <si>
    <t>Recent reduced abyssal overturning and ventilation in the Australian Antarctic Basin</t>
  </si>
  <si>
    <t>BOTTOM WATER; ADELIE LAND; ROSS SEA; VARIABILITY; TRANSPORT; SLOWDOWN; DENSITY; FLOW</t>
  </si>
  <si>
    <t>Antarctic bottom water (AABW), a key component of ocean circulation, provides oxygen to the deep ocean. This work shows that AABW transport reduced over the past decades in the Australian Antarctic Basin, weakening the abyssal overturning circulation and decreasing deep ocean oxygen. Dense water formed near Antarctica, known as Antarctic bottom water (AABW), drives deep ocean circulation and supplies oxygen to the abyssal ocean. Observations show that AABW has freshened and contracted since the 1960s, yet the drivers of these changes and their impact remain uncertain. Here, using observations from the Australian Antarctic Basin, we show that AABW transport reduced by 4.0 Sv between 1994 and 2009, during a period of strong freshening on the continental shelf. An increase in shelf water salinity between 2009 and 2018, previously linked to transient climate variability, drove a partial recovery (2.2 Sv) of AABW transport. Over the full period (1994 to 2017), the net slowdown of -0.8 +/- 0.5 Sv decade(-1) thinned well-oxygenated layers, driving deoxygenation of -3 +/- 2 mu mol kg(-1) decade(-1). These findings demonstrate that freshening of Antarctic shelf waters weakens the lower limb of the abyssal overturning circulation and reduces deep ocean oxygen content.</t>
  </si>
  <si>
    <t>[Gunn, Kathryn L.; Rintoul, Stephen R.] CSIRO Environm, Hobart, Tas, Australia; [Gunn, Kathryn L.] Univ Southampton, Sch Ocean &amp; Earth Sci, Southampton, England; [Rintoul, Stephen R.] Univ Tasmania, Australian Antarctic Program Partnership, Hobart, Tas, Australia; [England, Matthew H.] Univ New South Wales, Climate Change Res Ctr CCRC, Sydney, NSW, Australia; [England, Matthew H.] Univ New South Wales, Australian Ctr Excellence Antarctic Sci ACEAS, Sydney, NSW, Australia; [Bowen, Melissa M.] Univ Auckland, Sch Environm Climate Syst Lab, Auckland, New Zealand</t>
  </si>
  <si>
    <t>NERC National Oceanography Centre; University of Southampton; University of Tasmania; University of New South Wales Sydney; University of New South Wales Sydney; University of Auckland</t>
  </si>
  <si>
    <t>Gunn, KL (corresponding author), CSIRO Environm, Hobart, Tas, Australia.;Gunn, KL (corresponding author), Univ Southampton, Sch Ocean &amp; Earth Sci, Southampton, England.</t>
  </si>
  <si>
    <t>k.gunn@soton.ac.uk</t>
  </si>
  <si>
    <t>England, Matthew/A-7539-2011</t>
  </si>
  <si>
    <t>England, Matthew/0000-0001-9696-2930; Gunn, Kathryn/0000-0003-2397-5364</t>
  </si>
  <si>
    <t>Centre for Southern Hemisphere Oceans Research; Antarctic Science Collaboration Initiative, through the Australian Antarctic Program Partnership; Australian Research Council including the ARC Australian Centre for Excellence in Antarctic Science (ARC); New Zealand Strategic Science Investment Fund: Antarctic Science Platform Contract [SR200100008]; CSIRO Library Services; [ANT1801]</t>
  </si>
  <si>
    <t>Centre for Southern Hemisphere Oceans Research(Commonwealth Scientific &amp; Industrial Research Organisation (CSIRO)); Antarctic Science Collaboration Initiative, through the Australian Antarctic Program Partnership; Australian Research Council including the ARC Australian Centre for Excellence in Antarctic Science (ARC)(Australian Research Council); New Zealand Strategic Science Investment Fund: Antarctic Science Platform Contract; CSIRO Library Services;</t>
  </si>
  <si>
    <t>We thank the crews and science parties of the voyages used in this manuscript as well as B. Huber, A. Gordon and S. Dye for collecting high-quality, open-access hydrographic and mooring data. We thank the Consortium for Ocean-Sea Ice Modelling in Australia (https://cosima.org.au/) for making the ACCESS-OM2 suite of models available. K.L.G., S.R.R. and M.H.E. are supported by the Centre for Southern Hemisphere Oceans Research. S.R.R. also receives support from the Antarctic Science Collaboration Initiative, through the Australian Antarctic Program Partnership. M.H.E. also receives support from the Australian Research Council, including the ARC Australian Centre for Excellence in Antarctic Science (ARC grant no. SR200100008). M.M.B. is supported by the New Zealand Strategic Science Investment Fund: Antarctic Science Platform Contract ANT1801. Open access funding provided by CSIRO Library Services.</t>
  </si>
  <si>
    <t>10.1038/s41558-023-01667-8</t>
  </si>
  <si>
    <t>WOS:000995255800005</t>
  </si>
  <si>
    <t>Zamora, G; Pierlé, SA; Loncopan, J; Araos, L; Verdugo, F; Rojas-Fuentes, C; Krüger, L; Gaggero, A; Barriga, GP</t>
  </si>
  <si>
    <t>Zamora, Gabriel; Pierle, Sebastian Aguilar; Loncopan, Johana; Araos, Loreto; Verdugo, Francisco; Rojas-Fuentes, Cecilia; Kruger, Lucas; Gaggero, Aldo; Barriga, Gonzalo P.</t>
  </si>
  <si>
    <t>Scavengers as Prospective Sentinels of Viral Diversity: the Snowy Sheathbill Virome as a Potential Tool for Monitoring Virus Circulation, Lessons from Two Antarctic Expeditions</t>
  </si>
  <si>
    <t>surveillance; emerging viruses; Antarctica; snowy sheathbill; zoonosis</t>
  </si>
  <si>
    <t>NEWCASTLE-DISEASE VIRUS; KING GEORGE ISLAND; AVIAN INFLUENZA; PATHOGENS; PENGUINS; CONSERVATION; CHALLENGES; BIRDS; RNA</t>
  </si>
  <si>
    <t>Antarctica is a unique environment due to its extreme meteorological and geological conditions. In addition to this, its relative isolation from human influences has kept it undisturbed. This renders our limited understanding of its fauna and its associated microbial and viral communities a relevant knowledge gap to fill. This includes members of the order Charadriiformes such as snowy sheathbills. They are opportunistic predator/scavenger birds distributed on Antarctic and sub-Antarctic islands that are in frequent contact with other bird and mammal species. This makes them an interesting species for surveillance studies due to their high potential for the acquisition and transport of viruses. In this study, we performed whole-virome and targeted viral surveillance for coronaviruses, paramyxoviruses, and influenza viruses in snowy sheathbills from two locations, the Antarctic Peninsula and South Shetland. Our results suggest the potential role of this species as a sentinel for this region. We highlight the discovery of two human viruses, a member of the genus Sapovirus GII and a gammaherpesvirus, and a virus previously described in marine mammals. Here, we provide insight into a complex ecological picture. These data highlight the surveillance opportunities provided by Antarctic scavenger birds.IMPORTANCE This article describes whole-virome and targeted viral surveillance for coronaviruses, paramyxoviruses, and influenza viruses in snowy sheathbills from the Antarctic Peninsula and South Shetland. Our results suggest an important role of this species as a sentinel for this region. This species' RNA virome showcased a diversity of viruses likely tied to its interactions with assorted Antarctic fauna. We highlight the discovery of two viruses of likely human origin, one with an intestinal impact and another with oncogenic potential. Analysis of this data set detected a variety of viruses tied to various sources (from crustaceans to nonhuman mammals), depicting a complex viral landscape for this scavenger species. This article describes whole-virome and targeted viral surveillance for coronaviruses, paramyxoviruses, and influenza viruses in snowy sheathbills from the Antarctic Peninsula and South Shetland. Our results suggest an important role of this species as a sentinel for this region.</t>
  </si>
  <si>
    <t>[Zamora, Gabriel; Loncopan, Johana; Araos, Loreto; Verdugo, Francisco; Barriga, Gonzalo P.] Univ Chile, Inst Biomed Sci, Fac Med, Virol Program,Lab Emerging Viruses, Santiago, Chile; [Pierle, Sebastian Aguilar] Pepiniere Paris St Cochin, Inorevia, Paris, France; [Rojas-Fuentes, Cecilia; Gaggero, Aldo] Univ Chile, Inst Biomed Sci, Fac Med, Lab Environm Virol,Virol Program, Santiago, Chile; [Kruger, Lucas] Inst Antartico Chileno, Punta Arenas, Chile; [Kruger, Lucas] Fdn Inst Biodivers Ecosist Antarticos &amp; Subantart, Santiago, Chile; [Rojas-Fuentes, Cecilia] Univ Bernardo OHiggins, Fac Ciencias Salud, Programa Magister Ciencias Quim Biol, Santiago, Chile</t>
  </si>
  <si>
    <t>Universidad de Chile; Assistance Publique Hopitaux Paris (APHP); Universite Paris Cite; Hopital Universitaire Cochin - APHP; Universidad de Chile; Universidad Bernardo O'Higgins</t>
  </si>
  <si>
    <t>Barriga, GP (corresponding author), Univ Chile, Inst Biomed Sci, Fac Med, Virol Program,Lab Emerging Viruses, Santiago, Chile.</t>
  </si>
  <si>
    <t>gonzalo.barriga@uchile.cl</t>
  </si>
  <si>
    <t>Kruger, Lucas/O-8912-2015</t>
  </si>
  <si>
    <t>Kruger, Lucas/0000-0003-4637-5302; Rojas-Fuentes, Cecilia Francis/0009-0003-0011-151X; Barriga, Gonzalo/0000-0003-2792-197X</t>
  </si>
  <si>
    <t>Instituto Antartico Chileno (INACH) [RT_35-19]; ANID Chile, through Fondecyt [11200228]; INACH's Programa Areas Marinas Protegidas [AMP 24 03 052]; Instituto Milenio Base [ICN_2021_002]</t>
  </si>
  <si>
    <t>Instituto Antartico Chileno (INACH); ANID Chile, through Fondecyt; INACH's Programa Areas Marinas Protegidas; Instituto Milenio Base</t>
  </si>
  <si>
    <t>We are supported by Instituto Antartico Chileno (INACH) RT_35-19 (GB-P), ANID Chile, through Fondecyt grant number 11200228 (G.P.B.). L.K. is supported by INACH's Programa Areas Marinas Protegidas (AMP 24 03 052) and the Instituto Milenio Base (ICN_2021_002). We thank the Chilean Army for help on the field trip. Conceptualization, G.P.B. Data curation, A.G., S.A.P., C.R.-F., and G.P.B. Formal analysis, G.Z. and G.P.B. Funding acquisition, G.P.B. Investigation, F.V., G.Z., J.L., and G.P.B. Methodology, S.A.P., A.G., and G.P.B. Project administration, G.P.B. Sample collection, J.L., L.A., L.K., and G.P.B. Supervision, G.P.B. Validation, G.Z., C.R.-F., and S.A.P. Visualization, G.P.B. Writing - original draft, G.P.B., S.A.P., A.G., and L.K. Writing - review and editing, S.A.P., A.G., L.K., and G.P.B. All authors approved the final version of the manuscript. We declare that there are no conflicts of interest associated with this work. G.P.B. had full access to all data in this study and takes complete responsibility for the integrity of the data and the accuracy of the data analysis. G.P.B. affirms that the manuscript is an honest, accurate, and transparent account of the study being reported; that no important aspects of the study have been omitted; and that any discrepancies from the study as planned have been explained.</t>
  </si>
  <si>
    <t>10.1128/spectrum.03302-22</t>
  </si>
  <si>
    <t>L4IY3</t>
  </si>
  <si>
    <t>WOS:000994548400001</t>
  </si>
  <si>
    <t>Roldán, DM; Menes, RJ</t>
  </si>
  <si>
    <t>Roldan, Diego M.; Menes, Rodolfo Javier</t>
  </si>
  <si>
    <t>Characterisation of 'Candidatus Methylobacter titanis' sp. nov., a putative novel species of Methylobacter clade 2 and their distribution in sediments of freshwater lakes in maritime Antarctica</t>
  </si>
  <si>
    <t>ANTONIE VAN LEEUWENHOEK INTERNATIONAL JOURNAL OF GENERAL AND MOLECULAR MICROBIOLOGY</t>
  </si>
  <si>
    <t>Antarctica; Methane; Methane-oxidizing bacteria; Methanotrophs; Methylobacter clade 2; Methylococcaceae; Polar lakes</t>
  </si>
  <si>
    <t>METHYLACIDIPHILUM-FUMARIOLICUM SOLV; COMMUNITY STRUCTURE; METHANE OXIDATION; I METHANOTROPH; GEN-NOV; DIVERSITY; METHYLOCOCCUS; TEMPERATURE; SEQUENCES; BACTERIUM</t>
  </si>
  <si>
    <t>Global warming has a strong impact on the polar regions, in particular, the Antarctic Peninsula and nearby islands. Methane (CH4) is a major factor in climate change and mitigation of CH4 emissions can be accomplished through microbial oxidation by methanotrophic bacteria. Understanding this biological process is crucial given the shortage of research carried out in this geographical area. The aim of this study was to characterise psychrophilic enrichment cultures of aerobic methanotrophs obtained from lake sediments of the Fildes Peninsula (King George Island, South Shetland Islands) and revealing the distribution of the genus Methylobacter in different lake sediments of the peninsula. Four stable methanotrophic enrichment cultures were obtained and analysed by metagenome-assembled genomes (MAGs). The phylogeny of methanotroph MAGs recovered from these enrichment cultures based on the 16S rRNA gene showed that K-2018 MAG008 and D1-2020 MAG004(Ts) clustered within the Methylobacter clade 2, with high similarity to Methylobacter tundripaludum SV96(T) (97.88 and 98.56% respectively). However, the average nucleotide identity (ANI) and digital DNA-DNA hybridization (dDDH) values with M. tundripaludum were &lt; 95% (84.8 and 85.0%, respectively) and &lt; 70% (30.2 and 30.3%, respectively), suggesting that they represent a putative novel species for which the name 'Ca. Methylobacter titanis' is proposed. This is the first species of clade 2 of the genus Methylobacter obtained from Antarctica. The bacterial diversity assessed by 16S rRNA gene sequencing of 21 samples of different lakes (water column and sediments) revealed 54 ASVs associated with methanotrophs and the genus Methylobacter as the most abundant. These results suggest that aerobic methanotrophs belonging to the Methylobacter clade 2 would be the main responsible for CH4 oxidation in these sediments.</t>
  </si>
  <si>
    <t>[Roldan, Diego M.; Menes, Rodolfo Javier] Univ Republica, Fac Quim, Lab Ecol Microbiana Medioambiental Microbiol, Montevideo, Uruguay; [Roldan, Diego M.; Menes, Rodolfo Javier] Univ Republica, Fac Ciencias, Unidad Asociada Inst Quim Biol, Lab Microbiol, Montevideo, Uruguay</t>
  </si>
  <si>
    <t>Universidad de la Republica, Uruguay; Universidad de la Republica, Uruguay</t>
  </si>
  <si>
    <t>Menes, RJ (corresponding author), Univ Republica, Fac Quim, Lab Ecol Microbiana Medioambiental Microbiol, Montevideo, Uruguay.</t>
  </si>
  <si>
    <t>jmenes@fq.edu.uy</t>
  </si>
  <si>
    <t>Roldan, Diego M./0000-0002-8900-9815; Menes, Rodolfo/0000-0001-8968-6149</t>
  </si>
  <si>
    <t>ANII (Agencia Nacional de Investigacion e Innovacion), Uruguay [POS_ NAC_2021_1_169845]; CAP-Universidad de la Republica</t>
  </si>
  <si>
    <t>ANII (Agencia Nacional de Investigacion e Innovacion), Uruguay; CAP-Universidad de la Republica</t>
  </si>
  <si>
    <t>This work was partially supported by ANII (Agencia Nacional de Investigacion e Innovacion), Proyecto de Iniciacion a la Investigacion 2021-CSIC (Comision Sectorial de Investigacion Cientifica). DMR was supported by a scholarship from CAP-Universidad de la Republica and ANII (POS_ NAC_2021_1_169845), Uruguay. DMR and RJM are members of the National Research System (SNI-ANII); RJM was member of PEDECIBA.</t>
  </si>
  <si>
    <t>0003-6072</t>
  </si>
  <si>
    <t>1572-9699</t>
  </si>
  <si>
    <t>ANTON LEEUW INT J G</t>
  </si>
  <si>
    <t>Antonie Van Leeuwenhoek</t>
  </si>
  <si>
    <t>10.1007/s10482-023-01840-1</t>
  </si>
  <si>
    <t>I3DO9</t>
  </si>
  <si>
    <t>WOS:000994744800003</t>
  </si>
  <si>
    <t>Fu, DW; Tian, Y; Wang, ZH; Li, JZ; Zhou, DY; Zhu, BW; Song, L</t>
  </si>
  <si>
    <t>Fu, Dong-wen; Tian, Ye; Wang, Zi-han; Li, Jin-zhe; Zhou, Da-yong; Zhu, Bei-wei; Song, Liang</t>
  </si>
  <si>
    <t>Development of an Antarctic krill oil based self-microemulsion drug delivery system and its enhancement of bioaccessibility for curcumin</t>
  </si>
  <si>
    <t>FOOD BIOSCIENCE</t>
  </si>
  <si>
    <t>Phospholipid reverse micelle; Organogels; Self-microemulsifying drug delivery systems; Microemulsion; Curcumin; Bioaccessibility</t>
  </si>
  <si>
    <t>FREEZE-THAW STABILITY</t>
  </si>
  <si>
    <t>Self-microemulsion drug delivery systems (SMEDDS) have great potential for use in food applications, but their adoption has been limited due to the high proportion of non-edible surfactants. To address this limitation, we developed a novel surfactant-free SMEDDS by utilizing phospholipids (40.4%) and triglycerides (54.7%) from Antarctic krill oil (KO) as the intrinsic surfactant and oil phase, respectively, and incorporating glycerol as an edible co-surfactant. The formation mechanism of the KO-based SMEDDS and their potential to deliver curcumin were investigated. The results demonstrated that glycerol facilitated the formation of organogels by the phos-pholipids in krill oil, and homogenization effectively disrupted the organogels to form SMEDDS. The resulting microemulsion was stable under various conditions and significantly improved the bioaccessibility of curcumin in vitro, increasing it by 13.96-fold compared to curcumin powder. Our approach of using marine lipid-based SMEDDS provides insights into their formation and expands their application in foods that contain hydropho-bic active ingredients. This sustainable and potentially healthier option offers a promising solution for enhancing the bioavailability of active ingredients in food applications.</t>
  </si>
  <si>
    <t>[Fu, Dong-wen; Tian, Ye; Wang, Zi-han; Li, Jin-zhe; Zhou, Da-yong; Zhu, Bei-wei; Song, Liang] Dalian Polytech Univ, Sch Food Sci &amp; Technol, 1 Qinggongyuan, Dalian 116034, Peoples R China; [Zhou, Da-yong; Zhu, Bei-wei; Song, Liang] Natl Engn Res Ctr Seafood, 1 Qinggongyuan, Dalian 116034, Peoples R China; [Zhou, Da-yong; Zhu, Bei-wei] State Key Lab Marine Food Proc &amp; Safety Control, Dalian 116034, Peoples R China</t>
  </si>
  <si>
    <t>Zhu, BW; Song, L (corresponding author), Dalian Polytech Univ, Sch Food Sci &amp; Technol, 1 Qinggongyuan, Dalian 116034, Peoples R China.</t>
  </si>
  <si>
    <t>beiweizhu@163.com; ryo.song@foxmail.com</t>
  </si>
  <si>
    <t>Key Program of National Natural Science Foundation of China [32230080]; Dalian Science and Technology Innovation Fund [2022JJ11CG008]; National Key R&amp;D Program of China [2018YFC1406806]</t>
  </si>
  <si>
    <t>Key Program of National Natural Science Foundation of China(National Natural Science Foundation of China (NSFC)); Dalian Science and Technology Innovation Fund; National Key R&amp;D Program of China</t>
  </si>
  <si>
    <t>Acknowledgements This work was financially supported by Key Program of National Natural Science Foundation of China (Grant No.32230080) , Dalian Science and Technology Innovation Fund (Grant No.2022JJ11CG008) , National Key R&amp;D Program of China, grant number (Grant No. 2018YFC1406806) .</t>
  </si>
  <si>
    <t>2212-4292</t>
  </si>
  <si>
    <t>2212-4306</t>
  </si>
  <si>
    <t>FOOD BIOSCI</t>
  </si>
  <si>
    <t>Food Biosci.</t>
  </si>
  <si>
    <t>10.1016/j.fbio.2023.102762</t>
  </si>
  <si>
    <t>J5EM8</t>
  </si>
  <si>
    <t>WOS:001009848400001</t>
  </si>
  <si>
    <t>Mo, AH; Park, K; Park, J; Hahm, D; Kim, K; Ko, YH; Iriarte, JL; Choi, JO; Kim, TW</t>
  </si>
  <si>
    <t>Mo, Ahra; Park, Keyhong; Park, Jisoo; Hahm, Doshik; Kim, Kitae; Ko, Young Ho; Iriarte, Jose Luis; Choi, Jung-Ok; Kim, Tae-Wook</t>
  </si>
  <si>
    <t>Assessment of austral autumn air-sea CO2 exchange in the Pacific sector of the Southern Ocean and dominant controlling factors</t>
  </si>
  <si>
    <t>Southern Ocean; surface CO2 partial pressure (pCO(2)); carbon cycle; air-sea CO2 flux; western Antarctic Peninsula</t>
  </si>
  <si>
    <t>NORTHERN ANTARCTIC PENINSULA; DISSOLVED ORGANIC-CARBON; NET COMMUNITY PRODUCTION; ROSS SEA; AMUNDSEN SEA; VERTICAL DISTRIBUTIONS; BRANSFIELD STRAIT; GERLACHE STRAITS; SUMMER; VARIABILITY</t>
  </si>
  <si>
    <t>The factors that control the partial pressure of carbon dioxide (pCO(2)) in the Pacific sector of the Southern Ocean were investigated in April 2018, onboard the icebreaker, ARAON. The mean (+/- 1 sigma) of the sea surface pCO(2) was estimated to be 431 +/- 6 mu atm in the north of the Ross Sea (NRS), 403 +/- 18 mu atm in the Amundsen-Bellingshausen Sea (ABS), and 426 +/- 16 mu atm in the western Antarctic Peninsula and Weddell Sea (WAP/WS). The controlling factors for pCO(2) in the NRS appeared to be meridionally different based on the southern boundary of the Antarctic Circumpolar Current (SB; similar to 62.5 degrees S in the Ross Sea). The sea surface pCO(2) exhibited a strong correlation with salinity and the difference between the O-2/Ar (Delta O-2/Ar) values of the sample and air-saturated water in the north and south of the SB, respectively. The pCO(2) in the ABS and western WAP/WS displayed a strong correlation with salinity. Furthermore, Delta O-2/Ar and sea ice formation appear to be the dominant factors that control pCO(2) in the Confluence Zone (CZ) and northern parts of WAP/WS. The estimated air-sea CO2 fluxes (positive and negative values indicate the source and sink for atmospheric CO2, respectively) range from 3.1 to 18.8 mmol m(-2) d(-1) in the NRS, -12.7 to 17.3 mmol m(-2) d(-1) in the ABS, and -59.4 to 140.8 mmol m(-2) d(-1) in the WAP/WS. In addition, biology-driven large variations in the air-sea CO2 flux were observed in the CZ. Our results are the most recent observation data acquired in austral autumn in the Southern Ocean.</t>
  </si>
  <si>
    <t>[Mo, Ahra; Park, Keyhong; Park, Jisoo; Choi, Jung-Ok] Korea Polar Res Inst, Div Ocean Sci, Incheon, South Korea; [Hahm, Doshik] Pusan Natl Univ, Dept Oceanog, Busan, South Korea; [Kim, Kitae] Korea Polar Res Inst, Res Unit Cryogen Novel Mat, Incheon, South Korea; [Ko, Young Ho; Kim, Tae-Wook] Korea Univ, OJEong Resilience Inst, Seoul, South Korea; [Iriarte, Jose Luis] Univ Austral Chile, Inst Acuicultura, Los Lagos, Chile; [Kim, Tae-Wook] Korea Univ, Div Environm Sci &amp; Ecol Engn, Seoul, South Korea</t>
  </si>
  <si>
    <t>Korea Polar Research Institute (KOPRI); Pusan National University; Korea Polar Research Institute (KOPRI); Korea University; Universidad Austral de Chile; Korea University</t>
  </si>
  <si>
    <t>Park, K (corresponding author), Korea Polar Res Inst, Div Ocean Sci, Incheon, South Korea.;Kim, TW (corresponding author), Korea Univ, OJEong Resilience Inst, Seoul, South Korea.;Kim, TW (corresponding author), Korea Univ, Div Environm Sci &amp; Ecol Engn, Seoul, South Korea.</t>
  </si>
  <si>
    <t>keyhongpark@kopri.re.kr; kimtwk@korea.ac.kr</t>
  </si>
  <si>
    <t>Ko, Young Ho/HGE-2606-2022; Kim, Tae-Wook/E-9611-2011</t>
  </si>
  <si>
    <t>Ko, Young Ho/0000-0001-5379-2820;</t>
  </si>
  <si>
    <t>Korea Polar Research Institute (KOPRI) [PE23110, PE23120, PE17900]; National Research Foundation of Korea [2019R1A2C2089994]</t>
  </si>
  <si>
    <t>Korea Polar Research Institute (KOPRI)(Korea Polar Research Institute of Marine Research Placement (KOPRI)); National Research Foundation of Korea(National Research Foundation of Korea)</t>
  </si>
  <si>
    <t>This work was supported by the Carbon Cycle Change and Ecosystem Response under the Southern Ocean Warming (PE23110), Investigation of ice microstructure properties for developing low-temperature purification and environment/energy materials (PE23120), and Polar Academic Program (PE17900) funded by the Korea Polar Research Institute (KOPRI). Also, AM, YK, and TK acknowledges funding from the Mid-Career Researcher Program (2019R1A2C2089994) funded by the National Research Foundation of Korea.</t>
  </si>
  <si>
    <t>MAY 24</t>
  </si>
  <si>
    <t>10.3389/fmars.2023.1192959</t>
  </si>
  <si>
    <t>I4QY3</t>
  </si>
  <si>
    <t>WOS:001002654100001</t>
  </si>
  <si>
    <t>Bond, I; Mortensen, J</t>
  </si>
  <si>
    <t>Bond, Isabelle; Mortensen, James</t>
  </si>
  <si>
    <t>The changing value of Antarctica to Australia's security policy</t>
  </si>
  <si>
    <t>AUSTRALIAN JOURNAL OF INTERNATIONAL AFFAIRS</t>
  </si>
  <si>
    <t>Antarctica; intelligence; climate change; science; security</t>
  </si>
  <si>
    <t>CLIMATE-CHANGE; EXPANSION</t>
  </si>
  <si>
    <t>Antarctica is a crucial regulator of the world's climate, and as environmental security permeates global security, using Antarctic science to better understand climate is becoming increasingly pressing. Although the Australian Government has recognised that climate change poses 'a current and existential national security' threat and has acknowledged Antarctica's importance regarding the earth's global climate system, the focus of Australia's intelligence community pertaining to Antarctica currently remains restricted to upholding the military-security and diplomatic goals of the Antarctic Treaty System (ATS). This current focus aims to hedge against the possibility of conflict on, or over, the frozen continent via 'working the ATS', however, this paper argues that Antarctic climate science holds a greater capacity to deliver security outcomes for Australia. Antarctic climate science offers opportunities regarding intelligence for Antarctica, that is, securing Australia's Antarctic interests, as well as regarding intelligence from Antarctica; by enhancing natural disaster preparedness, bolstering broader strategic planning, as well as furthering diplomacy and the legitimisation of Australia's leadership on, and over, the frozen continent. It is recommended that the Commonwealth Government establish a climate intelligence working group to ensure the utility of climate science to security and intelligence is realised.</t>
  </si>
  <si>
    <t>[Bond, Isabelle; Mortensen, James] Australian Natl Univ, Natl Secur Coll, Canberra, Australia</t>
  </si>
  <si>
    <t>Australian National University</t>
  </si>
  <si>
    <t>Bond, I (corresponding author), Australian Natl Univ, Natl Secur Coll, Canberra, Australia.</t>
  </si>
  <si>
    <t>Isabelle.Bond@anu.edu.au</t>
  </si>
  <si>
    <t>1035-7718</t>
  </si>
  <si>
    <t>1465-332X</t>
  </si>
  <si>
    <t>AUST J INT AFF</t>
  </si>
  <si>
    <t>Aust. J. Int. Aff.</t>
  </si>
  <si>
    <t>MAY 4</t>
  </si>
  <si>
    <t>10.1080/10357718.2023.2216139</t>
  </si>
  <si>
    <t>International Relations</t>
  </si>
  <si>
    <t>L3NK9</t>
  </si>
  <si>
    <t>WOS:000994689200001</t>
  </si>
  <si>
    <t>Pedrana, J; Gorosábel, A; Pütz, K; Bernad, L</t>
  </si>
  <si>
    <t>Pedrana, Julieta; Gorosabel, Antonella; Putz, Klemens; Bernad, Lucia</t>
  </si>
  <si>
    <t>First assessment on the influence of wind farms and high-voltage networks on ruddy-headed goose Chloephaga rubidiceps migration in Patagonia, Argentina</t>
  </si>
  <si>
    <t>Kernel density analyses; Ruddy-headed goose; Chloephaga rubidiceps; High-risk areas; Energy infrastructure; Patagonia</t>
  </si>
  <si>
    <t>ANSER-BRACHYRHYNCHUS; BIRD COLLISIONS; HABITAT USE; GEESE; SHELDGEESE; MORTALITY; TURBINES; POPULATIONS; PICTA; CONSERVATION</t>
  </si>
  <si>
    <t>Ruddy-headed goose Chloephaga rubidiceps has a migratory population that overwinters mainly in the Pampas region, Argentina, and breeds in Southern Patagonia. This population has decreased considerably, with less than 800 individuals remaining to date. We conducted the first assessment on the influence of environmental and anthropogenic-impact (wind farms and high-voltage networks) variables on ruddy-headed goose migration pathways across the Patagonian coast by applying kernel density analyses and statistical procedures. We used satellite tracking data obtained from six ruddy-headed geese during their migration pathways between 2015 and 2018. Five core distribution areas were identified during migration. During autumn migration, core areas were associated with high primary productivity and low elevation areas, while during spring migration they were located in the proximity of watercourses and waterbodies. We found that more than 30% of the grid cells included in the influence area of high-voltage networks overlapped with high-density areas for ruddy-headed geese during both migrations. Around 30% of the grid cells included in the influence zone of wind farms overlapped with high-density areas for ruddy-headed goose during autumn migration; while this applied to only 13% during spring migration.We highlight areas of high-risk along the distributional range of the species where large-scale patterns of collision mortality are likely to occur and mitigation measures should be prioritized. We suggest proactive measures that could mitigate future collisions with energy infrastructure because, given their threatened status, a few deaths may have a large effect on the small remnant population.</t>
  </si>
  <si>
    <t>[Pedrana, Julieta] Univ Tecnol Nacl, Fac Reg Mar Del Plata, Consejo Nacl Invest Cient &amp; Tecn CONICET, Dept Medio Ambiente, Av Dorrego 281, RA-7600 Mar Del Plata, Argentina; [Gorosabel, Antonella; Bernad, Lucia] Inst Innovac Prod Agr &amp; Desarrollo Sostenible IPA, Estn Expt Agr INTA Balcarce, INTA, CONICET, Ruta 226 Km 73,5, RA-7620 Balcarce, Buenos Aires, Argentina; [Putz, Klemens] Antarctic Res Trust, Oste Hamme Kanal 10, D-27432 Bremervorde, Germany</t>
  </si>
  <si>
    <t>Consejo Nacional de Investigaciones Cientificas y Tecnicas (CONICET); Consejo Nacional de Investigaciones Cientificas y Tecnicas (CONICET); Instituto Nacional de Tecnologia Agropecuaria (INTA)</t>
  </si>
  <si>
    <t>Pedrana, J (corresponding author), Univ Tecnol Nacl, Fac Reg Mar Del Plata, Consejo Nacl Invest Cient &amp; Tecn CONICET, Dept Medio Ambiente, Av Dorrego 281, RA-7600 Mar Del Plata, Argentina.</t>
  </si>
  <si>
    <t>jpedrana@gmail.com</t>
  </si>
  <si>
    <t>10.1007/s00300-023-03153-5</t>
  </si>
  <si>
    <t>WOS:000992756600001</t>
  </si>
  <si>
    <t>Brandini, FP; Silver, AM; Gangopadhyay, A</t>
  </si>
  <si>
    <t>Brandini, F. P.; Silver, A. M.; Gangopadhyay, A.</t>
  </si>
  <si>
    <t>Wind-driven advection across temperature gradients enhances iron-induced phytoplankton blooms in the Antarctic Polar Front</t>
  </si>
  <si>
    <t>Phytoplankton blooms; Antarctic Polar Front; iron; Temperature effect</t>
  </si>
  <si>
    <t>CIRCUMPOLAR CURRENT; OCEAN FRONTS; GROWTH; DIATOMS; LIGHT; TRANSPORT; SEA; PHOTOSYNTHESIS; 170-DEGREES-W; PRODUCTIVITY</t>
  </si>
  <si>
    <t>We demonstrate how the wind-driven Ekman transport enhances the advection and mixing of cells from the colder waters of the Surface Antarctic Waters from the south to the warmer waters of the northern Polar Front (PF) belt. This mechanism provides cells a mean ambient temperature near optimum levels for specific species and, ultimately, for community growth rates high enough to develop blooms under non-light limiting macronutrients and iron conditions. A Lagrangian trajectory model was constructed for tracking plankton cells as tracers forced by winds and surface currents. Depending on the region along the circumpolar front, increased winds can enhance this process across temperature gradients, and further accelerate such temperature-controlled growth. These results indicate that favorable temperature may enhance the growth rate even further when iron is sufficiently available, and thus have far-reaching implications for increased productivity in a future warming climate.</t>
  </si>
  <si>
    <t>[Brandini, F. P.] Univ Sao Paulo, Inst Oceanog, Sao Paulo, Brazil; [Silver, A. M.; Gangopadhyay, A.] Univ Massachusetts, Sch Marine Sci &amp; Technol, Dept Estuarine &amp; Ocean Sci, Dartmouth, MA USA; [Silver, A. M.] Woods Hole Oceanog Inst, Woods Hole, MA 02543 USA</t>
  </si>
  <si>
    <t>Universidade de Sao Paulo; University of Massachusetts System; University Massachusetts Dartmouth; Woods Hole Oceanographic Institution</t>
  </si>
  <si>
    <t>Brandini, FP (corresponding author), Univ Sao Paulo, Inst Oceanog, Sao Paulo, Brazil.</t>
  </si>
  <si>
    <t>brandini@usp.br; asilver@umassd.edu; avijit.gangopadhyay@umassd.edu</t>
  </si>
  <si>
    <t>Gangopadhyay, Avijit/JFB-2402-2023</t>
  </si>
  <si>
    <t>Brandini, Frederico/0000-0002-3177-4274; Gangopadhyay, Avijit/0000-0002-7412-7325</t>
  </si>
  <si>
    <t>Brazilian Ministry of Education and Culture [88881.313390/2019-01]</t>
  </si>
  <si>
    <t>Brazilian Ministry of Education and Culture</t>
  </si>
  <si>
    <t>F.B. was supported by the grant no. 88881.313390/2019-01 from the Brazilian Ministry of Education and Culture.</t>
  </si>
  <si>
    <t>10.1016/j.jmarsys.2023.103909</t>
  </si>
  <si>
    <t>J6ZC2</t>
  </si>
  <si>
    <t>WOS:001011072200001</t>
  </si>
  <si>
    <t>Raman, A; Hill, T; DeMott, PJ; Singh, B; Zhang, K; Ma, PL; Wu, MX; Wang, HL; Alexander, SP; Burrows, SM</t>
  </si>
  <si>
    <t>Raman, Aishwarya; Hill, Thomas; DeMott, Paul J.; Singh, Balwinder; Zhang, Kai; Ma, Po-Lun; Wu, Mingxuan; Wang, Hailong; Alexander, Simon P.; Burrows, Susannah M.</t>
  </si>
  <si>
    <t>Long-term variability in immersion-mode marine ice-nucleating particles from climate model simulations and observations</t>
  </si>
  <si>
    <t>SEA SPRAY AEROSOL; CLOUD CONDENSATION NUCLEI; MIXED-PHASE CLOUDS; SOUTHERN-OCEAN; MINERAL DUST; RELATIVE IMPORTANCE; ORGANIC AEROSOLS; DRY DEPOSITION; DISTRIBUTIONS; CONVECTION</t>
  </si>
  <si>
    <t>Ice-nucleating particles (INPs) in the Southern Ocean (SO) atmosphere have significant impacts on cloud radiative and microphysical properties. Yet, INP prediction skill in climate models remains poorly understood, in part because of the lack of long-term measurements. Here we show, for the first time, how model-simulated INP concentrations compare with year-round INP measurements during the Macquarie Island Cloud Radiation Experiment (MICRE) campaign from 2017-2018. We simulate immersion-mode INP concentrations using the Energy Exascale Earth System Model version 1 (E3SMv1) by combining simulated aerosols with recently developed deterministic INP parameterizations and the native classical nucleation theory (CNT) for mineral dust in E3SMv1. Because MICRE did not collect aerosol measurements of super-micron particles, which are more effective ice nucleators, we evaluate the model's aerosol fields at other high-latitude sites using long-term in situ observations of dust and sea spray aerosol. We find that the model underestimates dust and overestimates sea spray aerosol concentrations by 1 to 2 orders of magnitude for most of the high-latitude sites in the Southern Hemisphere. We next compare predicted INP concentrations with concentrations of INPs collected on filter samples (typically for 2 or 3 d) and processed offline using the Colorado State University ice spectrometer (IS) in immersion freezing mode. We find that when deterministic parameterizations for both dust and sea spray INPs are used, simulated INPs are within a factor of 10 of observed INPs more than 60 % of the time during summer. Our results also indicate that the E3SM's current treatment of mineral dust immersion freezing in the SO is impacted by compensating biases - an underprediction of dust amount was compensated by an overprediction of its effectiveness as INPs. We also perform idealized droplet freezing experiments to quantify the implications of the time-dependent behavior assumed by the E3SM's CNT-parameterization and compare with the ice spectrometer observations. We find that the E3SM CNT 10 s diagnostic used in this study is a reasonable approximation of the exact formulation of CNT, when applied to ice spectrometer measurements in low-INP conditions similar to Macquarie Island. However, the linearized 10 s diagnostic underestimates the exact formula by an order of magnitude or more in places with high-INP conditions like the Sahara. Overall, our findings suggest that it is important to correct the biases in E3SM's simulated dust life cycle and update E3SM's INP parameterizations. INP prediction errors of 2 to 3 orders of magnitude can have considerable impacts on the simulated cloud and radiative properties in global climate models. On comparing INP concentrations during MICRE against ship-based campaigns, Measurements of Aerosols, Radiation, and Clouds over the Southern Ocean (MARCUS) and Antarctic Circumnavigation Expedition (ACE), we find that INPs from the latter are significantly higher only in regions closer to Macquarie Island. This alludes to the fact that physical, chemical and biological processes affecting INP concentrations as stimulated by the island could be partly responsible for the high INP concentrations observed at Macquarie Island during the MICRE campaign. Therefore, improvements to both aerosol simulation and INP parameterizations are required to adequately simulate INPs and their cloud impacts in E3SM.. It will be helpful toinclude a parallel measurement of the size-resolved aerosol composition and explore opportunities for long-term measurement platforms in future field campaigns studying INP sources in remote marine regions.</t>
  </si>
  <si>
    <t>[Raman, Aishwarya; Singh, Balwinder; Zhang, Kai; Ma, Po-Lun; Wu, Mingxuan; Wang, Hailong; Burrows, Susannah M.] Pacific Northwest Natl Lab, 902 Battelle Blvd, Richland, WA 99354 USA; [Hill, Thomas; DeMott, Paul J.] Colorado State Univ, Dept Atmospher Sci, Ft Collins, CO 80523 USA; [Alexander, Simon P.] Australian Antarctic Div, Kingston, Tas, Australia; [Alexander, Simon P.] Univ Tasmania, Inst Marine &amp; Antarctic Studies, Australian Antarctic Program Partnership, Hobart, Tas, Australia</t>
  </si>
  <si>
    <t>United States Department of Energy (DOE); Pacific Northwest National Laboratory; Colorado State University; Australian Antarctic Division; University of Tasmania</t>
  </si>
  <si>
    <t>Raman, A (corresponding author), Pacific Northwest Natl Lab, 902 Battelle Blvd, Richland, WA 99354 USA.</t>
  </si>
  <si>
    <t>aishwarya.raman@pnnl.gov</t>
  </si>
  <si>
    <t>Zhang, Kai/F-8415-2010; Burrows, Susannah M./A-7429-2011; Wu, Mingxuan/IXN-5460-2023; Wang, Hailong/B-8061-2010; Ma, Po-Lun/G-7129-2015; DeMott, Paul/C-4389-2011</t>
  </si>
  <si>
    <t>Zhang, Kai/0000-0003-0457-6368; Burrows, Susannah M./0000-0002-0745-7252; Wang, Hailong/0000-0002-1994-4402; Hill, Thomas/0000-0002-5293-3959; Ma, Po-Lun/0000-0003-3109-5316; DeMott, Paul/0000-0002-3719-1889; Alexander, Simon/0000-0001-6823-8857</t>
  </si>
  <si>
    <t>U.S. Department of Energy's Atmospheric System Research, an Office of Science Biological and Environmental Research program [DE-SC0021116]; Energy Exascale Earth System Model (E3SM) project - US Department of Energy, Office of Science, Office of Biological and Environmental Research [65814]; Enabling Aerosol- cloud interactions at GLobal convection-permitting scalES (EA-GLES) project - United States Department of Energy (DOE), Office of Science, Office of Biological and Environmental Research, Earth System Model Development (ESMD) program area [74358]; U.S. Department of Energy (DOE) [DE-SC0021116] Funding Source: U.S. Department of Energy (DOE)</t>
  </si>
  <si>
    <t>U.S. Department of Energy's Atmospheric System Research, an Office of Science Biological and Environmental Research program(United States Department of Energy (DOE)); Energy Exascale Earth System Model (E3SM) project - US Department of Energy, Office of Science, Office of Biological and Environmental Research(United States Department of Energy (DOE)); Enabling Aerosol- cloud interactions at GLobal convection-permitting scalES (EA-GLES) project - United States Department of Energy (DOE), Office of Science, Office of Biological and Environmental Research, Earth System Model Development (ESMD) program area(United States Department of Energy (DOE)); U.S. Department of Energy (DOE)(United States Department of Energy (DOE))</t>
  </si>
  <si>
    <t>Paul J. DeMott and Thomas Hill were supported by the U.S. Department of Energy's Atmospheric System Research, an Office of Science Biological and Environmental Research program, under award number DE-SC0021116. Hailong Wang, Mingxuan Wu, Balwinder Singh and Kai Zhang were supported as part of the Energy Exascale Earth System Model (E3SM) project (grant no. 65814), funded by the US Department of Energy, Office of Science, Office of Biological and Environmental Research. Po-Lun Ma was supported by the Enabling Aerosol- cloud interactions at GLobal convection-permitting scalES (EA-GLES) project (project no. 74358), sponsored by the United States Department of Energy (DOE), Office of Science, Office of Biological and Environmental Research, Earth System Model Development (ESMD) program area.</t>
  </si>
  <si>
    <t>MAY 23</t>
  </si>
  <si>
    <t>10.5194/acp-23-5735-2023</t>
  </si>
  <si>
    <t>H1PB1</t>
  </si>
  <si>
    <t>WOS:000993739900001</t>
  </si>
  <si>
    <t>Churchill, JE; Birker, MLM; Versteegh, M; Altamirano, TA; Vasquez, RA; Komdeur, J</t>
  </si>
  <si>
    <t>Churchill, Joseph E. E.; Birker, Martje L. M.; Versteegh, Maaike; Altamirano, Tomas A.; Vasquez, Rodrigo A. A.; Komdeur, Jan</t>
  </si>
  <si>
    <t>The delayed effect of climatic conditions on pre-fledging nestling haematocrit in a suboscine species in Patagonia</t>
  </si>
  <si>
    <t>JOURNAL OF AVIAN BIOLOGY</t>
  </si>
  <si>
    <t>climate breakdown; environmental change; haematocrit; nestlings; precipitation; temperature</t>
  </si>
  <si>
    <t>BODY CONDITION; GREAT TITS; HEMATOLOGICAL PARAMETERS; HEMOGLOBIN CONCENTRATION; HABITAT STRUCTURE; BREEDING BIOLOGY; HIGH-ALTITUDE; PARUS-MAJOR; BLOOD; MASS</t>
  </si>
  <si>
    <t>Haematocrit, the proportion of blood comprising erythrocytes, is often used as a proxy of individual condition. Nestling haematocrit is influenced by several factors but ambient temperature is generally agreed as a key driver. It is unclear which day(s) in embryonic or nestling development are most influential in determining pre-fledgling haematocrit. This is important, because if we are able to identify what day(s) nestlings are physiologically most vulnerable to climatic conditions, this may inform future conservation management and help mitigate the effects. We investigated the effect of ambient temperature, precipitation, body size, brood size, age, food abundance and habitat on nestling haematocrit in Aphrastura spinicauda (thorn-tailed rayaditos). We collected this data from two climatically different locations in Chile: northern Patagonia (Pucon) and Sub-Antarctic Patagonia (Navarino Island), located similar to 1800 km further south. We aimed to identify the key drivers of nestling haematocrit and find when nestlings are physiologically most vulnerable to climatic conditions. We confirm that ambient temperature is the key driver of nestling haematocrit, with increasing ambient temperatures nestling haematocrit decreased. However, precipitation also affected haematocrit in the late incubation stage. At low and high precipitation, nestling haematocrit was low and is optimum in light rainfall. Our results show a delayed effect of ambient temperature and precipitation in late incubation and on the day of hatching which can determine pre-fledgling haematocrit, which may cause lower post-fledgling fitness. We found that climatic conditions on the day haematocrit was collected was not important in determining haematocrit. We found that haematocrit was higher in the sub-Antarctic area and that higher temperatures and precipitation on the day of hatching will result in lower nestling haematocrit and poorer pre-fledgling condition. As atmospheric temperatures rise, nestling fitness is at risk. This is a threat to many bird species, especially those in locations vulnerable to climate breakdown.</t>
  </si>
  <si>
    <t>[Churchill, Joseph E. E.; Birker, Martje L. M.; Versteegh, Maaike; Komdeur, Jan] Univ Groningen, Fac Sci &amp; Engn, Groningen Inst Evolutionary Life Sci GELIFES, Behav &amp; Physiol Ecol, Groningen, Netherlands; [Birker, Martje L. M.] Univ Chile, Fac Ciencias, Inst Ecol &amp; Biodivers IEB, Santiago, Chile; [Altamirano, Tomas A.] Univ British Columbia, Dept Forest &amp; Conservat Sci, Vancouver, BC, Canada; [Altamirano, Tomas A.; Vasquez, Rodrigo A. A.] Univ Magallanes, CHIC Cape Horn Int Ctr, Parque Etnobotan Omora, Puerto Williams, Chile</t>
  </si>
  <si>
    <t>University of Groningen; Universidad de Chile; University of British Columbia; Universidad de Magallanes</t>
  </si>
  <si>
    <t>Churchill, JE (corresponding author), Univ Groningen, Fac Sci &amp; Engn, Groningen Inst Evolutionary Life Sci GELIFES, Behav &amp; Physiol Ecol, Groningen, Netherlands.</t>
  </si>
  <si>
    <t>j.churchill.eco@gmail.com</t>
  </si>
  <si>
    <t>Birker-Wegter, Martje/0000-0003-4903-8598; Vasquez, Rodrigo A/0000-0003-4309-6789; Versteegh, Maaike A./0000-0002-4043-4036; Altamirano, Tomas/0000-0001-9839-7154; Badji-Churchill, Joseph/0000-0001-9861-2192</t>
  </si>
  <si>
    <t>Adaptive Life Scholarship Universidad de Chile: Instituto de Ecologia y Biodiversidad (IEB) Chilean Project [ANID ACE210006, ANID ACE210006/AFB-170008]; CONICYT-Chile Cape Horn International Center (CHIC), Puerto Williams, Chile; [FB10018/CHIC-ANID PIA/BASAL PFB210018]</t>
  </si>
  <si>
    <t>Adaptive Life Scholarship Universidad de Chile: Instituto de Ecologia y Biodiversidad (IEB) Chilean Project; CONICYT-Chile Cape Horn International Center (CHIC), Puerto Williams, Chile;</t>
  </si>
  <si>
    <t>Funding Statement Marco-Polo scholarship award University of Groningen: Adaptive Life Scholarship Universidad de Chile: Instituto de Ecologia y Biodiversidad (IEB) Chilean Project number ANID ACE210006/Grant ANID ACE210006/AFB-170008- CONICYT-Chile Cape Horn International Center (CHIC), Puerto Williams, Chile ANID/BASAL FB10018/CHIC-ANID PIA/BASAL PFB210018-Chile Institute of Ecology and Biodiversity of Chile (CONICYT PFB-23)</t>
  </si>
  <si>
    <t>0908-8857</t>
  </si>
  <si>
    <t>1600-048X</t>
  </si>
  <si>
    <t>J AVIAN BIOL</t>
  </si>
  <si>
    <t>J. Avian Biol.</t>
  </si>
  <si>
    <t>e03056</t>
  </si>
  <si>
    <t>10.1111/jav.03056</t>
  </si>
  <si>
    <t>S5KD0</t>
  </si>
  <si>
    <t>WOS:000992495700001</t>
  </si>
  <si>
    <t>Viganò, A; Dallanave, E; Alegret, L; Westerhold, T; Sutherland, R; Dickens, GR; Newsam, C; Agnini, C</t>
  </si>
  <si>
    <t>Vigano, Allyson; Dallanave, Edoardo; Alegret, Laia; Westerhold, Thomas; Sutherland, Rupert; Dickens, Gerald R.; Newsam, Cherry; Agnini, Claudia</t>
  </si>
  <si>
    <t>Calcareous nannofossil biostratigraphy and biochronology across the Eocene-Oligocene transition: the record at IODP Site U1509 (Tasman Sea) and a global overview</t>
  </si>
  <si>
    <t>NEWSLETTERS ON STRATIGRAPHY</t>
  </si>
  <si>
    <t>calcareous nannofossils; biostratigraphy; biochronology; Eocene-Oligocene transition; IODP; Site U1509</t>
  </si>
  <si>
    <t>MIDDLE EOCENE; SOUTHERN-OCEAN; ANTARCTIC GLACIATION; KERGUELEN PLATEAU; NEW-ZEALAND; ATLANTIC; BIOZONATION; CIRCULATION; MAGNETOBIOCHRONOLOGY; NANNOPLANKTON</t>
  </si>
  <si>
    <t>The abundance, wide distribution, and high evolutionary rates of calcareous nannofossils provide a powerful and reliable tool for correlating and dating marine sedimentary records, especially during the Cenozoic. Their assemblage turnover has been documented extensively across the Eocene-Oligocene transition (EOT), but without a parallel framework toward detailed biostratigraphy. We present highly resolved semi-quantitative calcareous nannofossil data from a continuous Eocene-Oligocene transition record recovered during International Ocean Discovery Program (IODP) Site U1509 (Expedition 371), presently located at 34.4 degrees S latitude in the New Caledonia Trough (Tasman Sea). We present an improved age model for sedimentation at this site based on integrated bio-magnetostratigraphy. Our high resolution biostratigraphic data provide an independent age calibration for biohorizons, both established and additional, which we compare to previous biochronological estimates from low-middle and high latitudes. This allows for a critical evaluation of the accuracy, reliability, synchroneity or diachroneity of each biohorizon across different oceanographic domains. Finally, we infer that Site U1509 belonged to the subtropical low-middle latitude domain during the late Eocene to early Oligocene, with a paleolatitude of similar to 45 degrees S. This result has important implications for paleoceanographic reconstructions.</t>
  </si>
  <si>
    <t>[Vigano, Allyson; Agnini, Claudia] Univ Padua, Dipartimento Geosci, Padua, Italy; [Dallanave, Edoardo] Univ Bremen, Fac Geosci, Bremen, Germany; [Alegret, Laia] Univ Zaragoza, Dept Ciencias Tierra, Zaragoza, Spain; [Alegret, Laia] Univ Zaragoza, IUCA, Zaragoza, Spain; [Westerhold, Thomas] Univ Bremen, Ctr Marine Environm Sci MARUM, Bremen, Germany; [Sutherland, Rupert] Victoria Univ Wellington, Sch Geog Environm &amp; Earth Sci, Wellington, New Zealand; [Dickens, Gerald R.] Univ Dublin Coll Green, Trinity Coll Dublin, Dublin, Ireland; [Newsam, Cherry] Network Stratig Consulting Ltd, Harvest House,Cranborne Rd, Potters Bar EN6 3JF, England</t>
  </si>
  <si>
    <t>University of Padua; University of Bremen; University of Zaragoza; University of Zaragoza; University of Bremen; Victoria University Wellington; Trinity College Dublin</t>
  </si>
  <si>
    <t>Viganò, A (corresponding author), Univ Padua, Dipartimento Geosci, Padua, Italy.</t>
  </si>
  <si>
    <t>allyson.vigano@phd.unipd.it</t>
  </si>
  <si>
    <t>Alegret, Laia/B-5420-2008; Westerhold, Thomas/D-4581-2011; Agnini, Claudia/AAB-9971-2020; Vigano', Allyson/KAM-5579-2024</t>
  </si>
  <si>
    <t>Alegret, Laia/0000-0002-8801-9544; Westerhold, Thomas/0000-0001-8151-4684; Agnini, Claudia/0000-0001-9749-6003; Vigano', Allyson/0000-0002-5347-3421; Sutherland, Rupert/0000-0001-7430-0055; Dickens, Gerald/0000-0003-2869-4860</t>
  </si>
  <si>
    <t>U.S. National Science Foundation (NSF); Deutsche Forschungsgemeinschaft (DFG) [408178503]; Ministerio de Ciencia e Innovacion/Agencia Estatal de Investigacion [PID2019-105537RB-I00]; European Regional Development Funds, A way of making Europe; Joint Oceanographic Institutions, Inc.</t>
  </si>
  <si>
    <t>U.S. National Science Foundation (NSF)(National Science Foundation (NSF)); Deutsche Forschungsgemeinschaft (DFG)(German Research Foundation (DFG)); Ministerio de Ciencia e Innovacion/Agencia Estatal de Investigacion; European Regional Development Funds, A way of making Europe; Joint Oceanographic Institutions, Inc.</t>
  </si>
  <si>
    <t>We thank the International Ocean Discovery Program (IODP) for providing samples and data used in this study. IODP is sponsored by the U.S. National Science Foundation (NSF) and participating countries under the management of Joint Oceanographic Institutions, Inc. ED was supported by the Deutsche Forschungsgemeinschaft (DFG project number 408178503) . LA acknowledges support from Grant PID2019-105537RB-I00, funded by Ministerio de Ciencia e Innovacion/Agencia Estatal de Investigacion/10.13039/501100011033 and by European Regional Development Funds, A way of making Europe. Isabella Raffi and Davide Persico are deeply thanked for their constructive comments in the capacity of reviewers of A. V.' s PhD thesis during the evaluation process required by Italian law.</t>
  </si>
  <si>
    <t>0078-0421</t>
  </si>
  <si>
    <t>NEWSL STRATIGR</t>
  </si>
  <si>
    <t>Newsl. Stratigr.</t>
  </si>
  <si>
    <t>10.1127/nos/2023/0751</t>
  </si>
  <si>
    <t>EP0F8</t>
  </si>
  <si>
    <t>WOS:000988420700001</t>
  </si>
  <si>
    <t>Dierickx, M; Ade, PAR; Ahmed, Z; Amiri, M; Barkats, D; Thakur, RB; Bischoff, CA; Beck, D; Bock, JJ; Buza, V; Cheshire, J; Connors, J; Cornelison, J; Crumrine, M; Cukierman, A; Denison, E; Duband, L; Eiben, M; Fatigoni, S; Filippini, JP; Goeckner-Wald, N; Goldfinger, DC; Grayson, JA; Grimes, P; Hall, G; Halal, G; Halpern, M; Hand, E; Harrison, S; Henderson, S; Hildebrandt, SR; Hilton, GC; Hubmayr, J; Hui, H; Irwin, KD; Kang, J; Karkare, KS; Kefeli, S; Kovac, JM; Kuo, CL; Lau, K; Leitch, EM; Lennox, A; Megerian, KG; Minutolo, L; Moncelsi, L; Nakato, Y; Namikawa, T; Nguyen, HT; O'Brient, R; Palladino, S; Petroff, M; Precup, N; Prouve, T; Pryke, C; Racine, B; Reintsema, CD; Santalucia, D; Schillaci, A; Schmitt, BL; Singari, B; Soliman, A; Germaine, TS; Steinbach, B; Sudiwala, RV; Thompson, KL; Tucker, C; Turner, AD; Umiltà, C; Verges, C; Vieregg, AG; Wandui, A; Weber, AC; Wiebe, DV; Willmert, J; Wu, WLK; Yang, E; Yoon, KW; Young, E; Yu, C; Zeng, L; Zhang, C; Zhang, S</t>
  </si>
  <si>
    <t>Dierickx, M.; Ade, P. A. R.; Ahmed, Z.; Amiri, M.; Barkats, D.; Thakur, R. Basu; Bischoff, C. A.; Beck, D.; Bock, J. J.; Buza, V.; Cheshire, J.; Connors, J.; Cornelison, J.; Crumrine, M.; Cukierman, A.; Denison, E.; Duband, L.; Eiben, M.; Fatigoni, S.; Filippini, J. P.; Goeckner-Wald, N.; Goldfinger, D. C.; Grayson, J. A.; Grimes, P.; Hall, G.; Halal, G.; Halpern, M.; Hand, E.; Harrison, S.; Henderson, S.; Hildebrandt, S. R.; Hilton, G. C.; Hubmayr, J.; Hui, H.; Irwin, K. D.; Kang, J.; Karkare, K. S.; Kefeli, S.; Kovac, J. M.; Kuo, C. L.; Lau, K.; Leitch, E. M.; Lennox, A.; Megerian, K. G.; Minutolo, L.; Moncelsi, L.; Nakato, Y.; Namikawa, T.; Nguyen, H. T.; O'Brient, R.; Palladino, S.; Petroff, M.; Precup, N.; Prouve, T.; Pryke, C.; Racine, B.; Reintsema, C. D.; Santalucia, D.; Schillaci, A.; Schmitt, B. L.; Singari, B.; Soliman, A.; Germaine, T. St.; Steinbach, B.; Sudiwala, R. V.; Thompson, K. L.; Tucker, C.; Turner, A. D.; Umilta, C.; Verges, C.; Vieregg, A. G.; Wandui, A.; Weber, A. C.; Wiebe, D. V.; Willmert, J.; Wu, W. L. K.; Yang, E.; Yoon, K. W.; Young, E.; Yu, C.; Zeng, L.; Zhang, C.; Zhang, S.</t>
  </si>
  <si>
    <t>Plastic Laminate Antireflective Coatings for Millimeter-Wave Optics in BICEP Array</t>
  </si>
  <si>
    <t>JOURNAL OF LOW TEMPERATURE PHYSICS</t>
  </si>
  <si>
    <t>Cosmic microwave background; Inflation; Polarization; Anti-reflective coatings; BICEP Array</t>
  </si>
  <si>
    <t>The BICEP/Keck series of experiments target the cosmic microwave background at degree-scale resolution from the South Pole. Over the next few years, the Stage-3 BICEP Array (BA) telescope will improve the program's frequency coverage and sensitivity to primordial B-mode polarization by an order of magnitude. The first receiver in the array, BA1, began observing at 30/40 GHz in early 2020. The next two receivers, BA2 and BA3, are currently being assembled and will map the southern sky at frequencies ranging from 95 to 150 GHz. Common to all BA receivers is a refractive, on-axis, cryogenic optical design that focuses microwave radiation onto a focal plane populated with antenna-coupled bolometers. High-performance antireflective coatings up to 760 mm in aperture are needed for each element in the optical chain, and must withstand repeated thermal cycles down to 4 K. Here, we present the design and fabrication of the 30/40 GHz anti-reflection coatings for the recently deployed BA1 receiver, with indices matched to its various polyethylene, nylon and alumina optical components. We describe an epoxy coating technique designed for alumina optics, which achieves better than 80% transmission at room temperature. For polyethylene optical elements, we present a new heat-compression approach that allows low-density polytetrafluoroethylene AR layers to reach sub-percent reflected power. We describe the planned use of these methods for the next BA cryostats, which may inform technological choices for future small-aperture telescopes of the CMB-S4 experiment.</t>
  </si>
  <si>
    <t>[Dierickx, M.; Barkats, D.; Buza, V.; Connors, J.; Cornelison, J.; Eiben, M.; Goldfinger, D. C.; Grimes, P.; Hall, G.; Harrison, S.; Karkare, K. S.; Kovac, J. M.; Petroff, M.; Racine, B.; Santalucia, D.; Schmitt, B. L.; Germaine, T. St.; Verges, C.; Zeng, L.] Harvard Smithsonian, Ctr Astrophys, Cambridge, MA 02138 USA; [Ade, P. A. R.; Sudiwala, R. V.; Tucker, C.] Cardiff Univ, Sch Phys &amp; Astron, Cardiff CF24 3AA, Wales; [Ahmed, Z.; Beck, D.; Cukierman, A.; Henderson, S.; Irwin, K. D.; Yang, E.] SLAC Natl Accelerator Lab, Kavli Inst Particle Astrophys &amp; Cosmol, 2575 Sand Hill Rd, Menlo Pk, CA 94025 USA; [Ahmed, Z.; Beck, D.; Cukierman, A.; Goeckner-Wald, N.; Grayson, J. A.; Irwin, K. D.; Kang, J.; Kuo, C. L.; Nakato, Y.; Thompson, K. L.; Yang, E.; Yoon, K. W.; Young, E.; Yu, C.] Stanford Univ, Dept Phys, Stanford, CA 94305 USA; [Amiri, M.; Fatigoni, S.; Halpern, M.; Hand, E.; Wiebe, D. V.] Univ British Columbia, Dept Phys &amp; Astron, Vancouver, BC V6T 1Z1, Canada; [Thakur, R. Basu; Bock, J. J.; Hui, H.; Kefeli, S.; Minutolo, L.; Moncelsi, L.; Nguyen, H. T.; O'Brient, R.; Schillaci, A.; Soliman, A.; Steinbach, B.; Wandui, A.; Zhang, C.; Zhang, S.] CALTECH, Dept Phys, Pasadena, CA 91125 USA; [Bischoff, C. A.; Halal, G.; Palladino, S.; Umilta, C.] Univ Cincinnati, Dept Phys, Cincinnati, OH 45221 USA; [Bock, J. J.; Hildebrandt, S. R.; Megerian, K. G.; Nguyen, H. T.; O'Brient, R.; Turner, A. D.; Weber, A. C.] Jet Prop Lab, Pasadena, CA 91109 USA; [Cheshire, J.; Crumrine, M.; Hall, G.; Lau, K.; Precup, N.; Pryke, C.; Singari, B.; Willmert, J.] Univ Minnesota, Minnesota Inst Astrophys, Minneapolis, MN 55455 USA; [Denison, E.; Hilton, G. C.; Hubmayr, J.; Reintsema, C. D.] NIST, Boulder, CO 80305 USA; [Duband, L.; Prouve, T.] Commissariat Energie Atom, Serv Basses Temp, F-38054 Grenoble, France; [Filippini, J. P.; Lennox, A.] Univ Illinois, Dept Phys, Urbana, IL 61801 USA; [Filippini, J. P.] Univ Illinois, Dept Astron, Urbana, IL 61801 USA; [Karkare, K. S.; Leitch, E. M.; Vieregg, A. G.; Wu, W. L. K.] Univ Chicago, Kavli Inst Cosmol Phys, Chicago, IL 60637 USA; [Namikawa, T.] Univ Cambridge, Dept Appl Math &amp; Theoret Phys, Wilberforce Rd, Cambridge CB3 0WA, England</t>
  </si>
  <si>
    <t>Smithsonian Institution; Cardiff University; Stanford University; United States Department of Energy (DOE); SLAC National Accelerator Laboratory; Stanford University; University of British Columbia; California Institute of Technology; University System of Ohio; University of Cincinnati; National Aeronautics &amp; Space Administration (NASA); NASA Jet Propulsion Laboratory (JPL); University of Minnesota System; University of Minnesota Twin Cities; National Institute of Standards &amp; Technology (NIST) - USA; Communaute Universite Grenoble Alpes; Universite Grenoble Alpes (UGA); CEA; University of Illinois System; University of Illinois Urbana-Champaign; University of Illinois System; University of Illinois Urbana-Champaign; University of Chicago; University of Cambridge</t>
  </si>
  <si>
    <t>Dierickx, M (corresponding author), Harvard Smithsonian, Ctr Astrophys, Cambridge, MA 02138 USA.</t>
  </si>
  <si>
    <t>mdierickx@cfa.harvard.edu</t>
  </si>
  <si>
    <t>Zhang, Bo/JVD-9890-2024; wang, wang/JQW-3034-2023; zhang, xiang/JJD-7003-2023; ZHENG, YI/KAM-6536-2024; xiao, wei/KCK-6954-2024; Jing, Jing/JSK-6237-2023; Liu, Zhe/KEJ-5299-2024; Wang, Zejun/KBB-8454-2024; liu, feng/KCL-0778-2024; zhang, xinyu/JKI-8403-2023; feng, feng/KBR-1814-2024; chen, gang/JRX-1197-2023; Li, jiaqi/JOZ-6395-2023; LI, LI/KCJ-5600-2024; wang, xi/JNT-5162-2023; yang, li/JGM-1009-2023; Zhang, yuxuan/JXM-9935-2024; li, mengyang/JWO-9551-2024; li, rui/JVM-8999-2024; Chen, Xiao/KBD-1464-2024; Liu, qi/JZT-5038-2024; yang, zhou/KBB-6972-2024; LI, YUN/JTV-7108-2023; sun, huan/JEO-7152-2023; li, jiaxin/JNT-5073-2023; Chen, Chao/JHS-6563-2023; Li, Xinyue/JVN-4601-2024; yang, rui/JHI-3328-2023; Chen, Shuo/JEO-6350-2023; Yang, Fan/JMA-9594-2023; Liu, Xiong/JWO-1231-2024; xu, chen/JNE-5010-2023; Lin, Lin/JTU-1595-2023</t>
  </si>
  <si>
    <t>Liu, Xiong/0000-0001-9021-3031; Irwin, Kent/0000-0002-2998-9743; Tucker, Carole/0000-0002-1851-3918; Halal, George/0000-0003-2221-3018; Lau, King/0000-0002-6445-2407; Cheshire, James/0000-0002-1630-7854; Dierickx, Marion/0000-0002-3519-8593</t>
  </si>
  <si>
    <t>National Science Foundation [0742818, 0742592, 1044978, 1110087, 1145172, 1145143, 1145248, 1639040, 1638957, 1638978, 1638970]; Keck Foundation; JPL Research and Technology Development Fund; NASA [06-ARPA206-0040, 10-SAT10-0017, 12-SAT12-0031, 14-SAT14-0009, 16-SAT-16-0002]; Gordon and Betty Moore Foundation at Caltech; Canada Foundation for Innovation; UK STFC [ST/N000706/1]; FAS Science Division Research Computing Group at Harvard University; U.S. DOE Office of Science</t>
  </si>
  <si>
    <t>National Science Foundation(National Science Foundation (NSF)); Keck Foundation(W.M. Keck Foundation); JPL Research and Technology Development Fund; NASA(National Aeronautics &amp; Space Administration (NASA)); Gordon and Betty Moore Foundation at Caltech(Gordon and Betty Moore Foundation); Canada Foundation for Innovation(Canada Foundation for InnovationCGIARSpanish Government); UK STFC(UK Research &amp; Innovation (UKRI)Science &amp; Technology Facilities Council (STFC)); FAS Science Division Research Computing Group at Harvard University; U.S. DOE Office of Science(United States Department of Energy (DOE))</t>
  </si>
  <si>
    <t>The BICEP/Keck projects have been made possible through a series of grants from the National Science Foundation including Grants No. 0742818, No. 0742592, No. 1044978, No. 1110087, No. 1145172, No. 1145143, No. 1145248, No. 1639040, No. 1638957, No. 1638978 and No. 1638970, and by the Keck Foundation. The development of antenna-coupled detector technology was supported by the JPL Research and Technology Development Fund, and by NASA Grants No. 06-ARPA206-0040, No. 10-SAT10-0017, No. 12-SAT12-0031, No. 14-SAT14-0009 and No. 16-SAT-16-0002. The development and testing of focal planes were supported by the Gordon and Betty Moore Foundation at Caltech. Readout electronics were supported by a Canada Foundation for Innovation grant to UBC. Support for quasioptical filtering was provided by UK STFC Grant No. ST/N000706/1. The computations in this work were run on the Odyssey/Cannon cluster supported by the FAS Science Division Research Computing Group at Harvard University. The analysis effort at Stanford and S. L. A. C. is partially supported by the U.S. DOE Office of Science. We thank the staff of the U.S. Antarctic Program and in particular the South Pole Station without whose help this research would not have been possible. We thank all those who have contributed past efforts to the BICEP/Keck series of experiments, including the BICEP1 team.</t>
  </si>
  <si>
    <t>SPRINGER/PLENUM PUBLISHERS</t>
  </si>
  <si>
    <t>233 SPRING ST, NEW YORK, NY 10013 USA</t>
  </si>
  <si>
    <t>0022-2291</t>
  </si>
  <si>
    <t>1573-7357</t>
  </si>
  <si>
    <t>J LOW TEMP PHYS</t>
  </si>
  <si>
    <t>J. Low Temp. Phys.</t>
  </si>
  <si>
    <t>5-6</t>
  </si>
  <si>
    <t>10.1007/s10909-023-02967-1</t>
  </si>
  <si>
    <t>Physics, Applied; Physics, Condensed Matter</t>
  </si>
  <si>
    <t>L5HA3</t>
  </si>
  <si>
    <t>WOS:000992348500001</t>
  </si>
  <si>
    <t>Owens, PN; Stott, TA; Blake, WH; Millward, GE</t>
  </si>
  <si>
    <t>Owens, Philip N.; Stott, Tim A.; Blake, Will H.; Millward, Geoffrey E.</t>
  </si>
  <si>
    <t>Legacy radionuclides in cryoconite and proglacial sediment on Orwell Glacier, Signy Island, Antarctica</t>
  </si>
  <si>
    <t>JOURNAL OF ENVIRONMENTAL RADIOACTIVITY</t>
  </si>
  <si>
    <t>Fallout radionuclides; Glacial retreat; Legacy contaminants; Unsupported 210 Pb</t>
  </si>
  <si>
    <t>ACTIVE LAYER; PB-210; CS-137; ACCUMULATION; SOILS; VEGETATION; CLIMATE; FALLOUT; LICHEN; LAKE</t>
  </si>
  <si>
    <t>Cryoconite is a specific type of material found on the surface of glaciers and icesheets. Samples of cryoconite were collected from the Orwell Glacier and its moraines, together with suspended sediment from the proglacial stream on Signy Island, part of the South Orkney Islands, Antarctica. The activity concentrations of certain fallout radionuclides were determined in the cryoconite, moraine and suspended sediment, in addition to particle size composition and %C and %N. For cryoconite samples (n = 5), mean activity concentrations (&amp; PLUSMN;1SD) of 137Cs, 210Pbun and 241Am were 13.2 &amp; PLUSMN; 20.9, 66.1 &amp; PLUSMN; 94.0 and 0.32 &amp; PLUSMN; 0.64 Bq kg- 1, respectively. Equivalent values for the moraine samples (n = 7) were 2.56 &amp; PLUSMN; 2.75, 14.78 &amp; PLUSMN; 12.44 and &lt;1.0 Bq kg- 1, respectively. For the composite suspended sediment sample, collected over 3 weeks in the ablation season, the values (&amp; PLUSMN; counting uncertainty) for 137Cs, 210Pbun and 241Am were 2.64 &amp; PLUSMN; 0.88, 49.2 &amp; PLUSMN; 11.9 and &lt;1.0 Bq kg- 1, respectively. Thus, fallout radionuclide activity concentrations were elevated in cryoconite relative to moraine and suspended sediment. In the case of 40K, the highest value was for the suspended sediment (1423 &amp; PLUSMN; 166 Bq kg- 1). The fallout radionuclides in cryoconite were 1-2 orders of magnitude greater than values in soils collected from other locations in Antarctica. This work further demonstrates that cryoconite likely scavenges fallout radionuclides (dissolved and particulate) in glacial meltwater. In the case of 40K, the greater value in suspended sediment implies a subglacial source. These results are amongst the relatively few that demonstrate the presence of fallout radionuclides in cryoconites at remote locations in the Southern Hemisphere. This work adds to the growing contention that elevated activities of fallout radionuclides, and other contaminants, in cryoconites are a global phenomenon and may be a risk to downstream terrestrial and aquatic ecosystems.</t>
  </si>
  <si>
    <t>[Owens, Philip N.] Univ Northern British Columbia, Dept Geog Earth &amp; Environm Sci, Prince George, BC V2N4Z9, Canada; [Owens, Philip N.] Univ Northern British Columbia, Quesnel River Res Ctr, Prince George, BC V2N4Z9, Canada; [Stott, Tim A.] Liverpool John Moores Univ, Fac Sci, Sch Biol &amp; Environm Sci, Byrom St Campus, Liverpool L3 3AF, England; [Blake, Will H.; Millward, Geoffrey E.] Univ Plymouth, Sch Geog Earth &amp; Environm Sci, Plymouth PL4 8AA, England</t>
  </si>
  <si>
    <t>University of Northern British Columbia; University of Northern British Columbia; Liverpool John Moores University; University of Plymouth</t>
  </si>
  <si>
    <t>Owens, PN (corresponding author), Univ Northern British Columbia, Dept Geog Earth &amp; Environm Sci, Prince George, BC V2N4Z9, Canada.;Owens, PN (corresponding author), Univ Northern British Columbia, Quesnel River Res Ctr, Prince George, BC V2N4Z9, Canada.</t>
  </si>
  <si>
    <t>philip.owens@unbc.ca</t>
  </si>
  <si>
    <t>Owens, Philip/0000-0001-8924-7437; Blake, William/0000-0001-9447-1361</t>
  </si>
  <si>
    <t>Natural Sciences and Engineering Research Council (NSERC) of Canada [RGPIN/6360-2018]</t>
  </si>
  <si>
    <t>Natural Sciences and Engineering Research Council (NSERC) of Canada(Natural Sciences and Engineering Research Council of Canada (NSERC))</t>
  </si>
  <si>
    <t>Matt Jobson, station leader of Signy Research Station, is thanked for logistical support, and Peter Convey (British Antarctic Survey, BAS) helped with gaining permission to take the samples and with their transport and handling at BAS. Samples were imported to the UK via DEFRA licence. Financial support was via the Natural Sciences and Engineering Research Council (NSERC; Discovery Grant RGPIN/6360-2018) of Canada. Laura Gerrish (BAS Mapping and Geographic Information Centre) and Kristen Kieta (UNBC) assisted with the preparation of the figures. The authors are grateful to Dr Martha Hall (CORiF Manager) for her assistance in the radiological analyses. Thanks are extended to the submission editor and two anonymous referees for constructive comments which helped to improve the paper.</t>
  </si>
  <si>
    <t>0265-931X</t>
  </si>
  <si>
    <t>1879-1700</t>
  </si>
  <si>
    <t>J ENVIRON RADIOACTIV</t>
  </si>
  <si>
    <t>J. Environ. Radioact.</t>
  </si>
  <si>
    <t>10.1016/j.jenvrad.2023.107206</t>
  </si>
  <si>
    <t>J8HE0</t>
  </si>
  <si>
    <t>WOS:001011969800001</t>
  </si>
  <si>
    <t>Walther, T; Hall, B; Denton, G; Hendy, C</t>
  </si>
  <si>
    <t>Walther, Tess; Hall, Brenda; Denton, George; Hendy, Chris</t>
  </si>
  <si>
    <t>Glacial history of Pyramid Trough, southern McMurdo Sound, Antarctica: Constraints on Koettlitz Glacier during the last glacial maximum and termination</t>
  </si>
  <si>
    <t>Last glacial maximum; Antarctic ice sheet; Alpine glaciers; Radiocarbon; Lake -ice conveyor</t>
  </si>
  <si>
    <t>GROUNDED ICE-SHEET; PLEISTOCENE-HOLOCENE RETREAT; WESTERN ROSS-SEA; TAYLOR VALLEY; LATE WISCONSIN; VICTORIA LAND; SYSTEM; CHRONOLOGY; BEHAVIOR; DRIFT</t>
  </si>
  <si>
    <t>Reconstructions of past glacier extent and timing afford perspective on the efficacy of mechanisms thought to control ice-sheet fluctuations. Here, we present data concerning the interactions between the Antarctic Ice Sheet and a local glacier (Koettlitz Glacier) in the McMurdo Sound region of the western Ross Embayment and use this information to gain insight into driving forces of ice expansion in this sector during the last glacial maximum (LGM; 24-18 ka) and termination (18-13 ka). Our data suggest that a grounded ice sheet in McMurdo Sound at the LGM resulted not from expansion of local glaciers, such as Koettlitz, from the continent but rather from flow of marine-based ice into the sound from the Ross Sea. We infer that the relative importance of different forcing mechanisms, such as sea-level rise, ocean-temperature change, and accumulation variations, explains the con-trasting behavior of the grounded marine ice sheet in the Ross Sea and local glaciers adjacent to McMurdo Sound, with Ross Sea ice responding primarily to marine forcing and local glaciers influenced strongly by accumulation.</t>
  </si>
  <si>
    <t>[Walther, Tess; Hall, Brenda; Denton, George] Univ Maine, Sch Earth &amp; Climate Sci, Orono, ME 04469 USA; [Walther, Tess; Hall, Brenda; Denton, George] Univ Maine, Climate Change Inst, Orono, ME 04469 USA; [Hendy, Chris] Univ Waikato, Hamilton, New Zealand</t>
  </si>
  <si>
    <t>University of Maine System; University of Maine Orono; University of Maine System; University of Maine Orono; University of Waikato</t>
  </si>
  <si>
    <t>Hall, B (corresponding author), Univ Maine, Sch Earth &amp; Climate Sci, Orono, ME 04469 USA.;Hall, B (corresponding author), Univ Maine, Climate Change Inst, Orono, ME 04469 USA.</t>
  </si>
  <si>
    <t>BrendaH@maine.edu</t>
  </si>
  <si>
    <t>National Science Foundation [OPP-1643248, 2034173]</t>
  </si>
  <si>
    <t>We thank A. Balter-Kennedy, L. Mattas, M. Miles, and T. Pollock, all of whom assisted in the field. Understanding of the Trough Lake conveyor draws heavily on research A. Sadler did for his MS thesis at the University of Waikato under the guidance of C. Hendy with field assistance from F. Judd. We also thank the Antarctic Support Contractor and Petroleum Helicopters Incorporated for logistical support. This work was funded by National Science Foundation grants OPP-1643248 and 2034173.</t>
  </si>
  <si>
    <t>10.1016/j.qsa.2023.100089</t>
  </si>
  <si>
    <t>J8EL7</t>
  </si>
  <si>
    <t>WOS:001011899300001</t>
  </si>
  <si>
    <t>Burger, JM; Joyce, E; Hastings, MG; Spence, KAM; Altieri, KE</t>
  </si>
  <si>
    <t>Burger, Jessica M.; Joyce, Emily; Hastings, Meredith G.; Spence, Kurt A. M.; Altieri, Katye E.</t>
  </si>
  <si>
    <t>A seasonal analysis of aerosol NO3- sources and NOx oxidation pathways in the Southern Ocean marine boundary layer</t>
  </si>
  <si>
    <t>OXYGEN ISOTOPIC COMPOSITION; EAST ANTARCTIC PLATEAU; ATMOSPHERIC NITRATE; REACTIVE NITROGEN; DOME C; SNOW; PHOTOCHEMISTRY; DEPOSITION; EMISSIONS; RATIOS</t>
  </si>
  <si>
    <t>Nitrogen oxides, collectively referred to as NOx (NO + NO2), are an important component of atmospheric chemistry involved in the production and destruction of various oxidants that contribute to the oxidative capacity of the troposphere. The primary sink for NOx is atmospheric nitrate, which has an influence on climate and the biogeochemical cycling of reactive nitrogen. NOx sources and NOx-to-NO3- formation pathways remain poorly constrained in the remote marine boundary layer of the Southern Ocean, particularly outside of the more frequently sampled summer months. This study presents seasonally resolved measurements of the isotopic composition (delta N-15, delta O-18, and Delta O-17) of atmospheric nitrate in coarse-mode (&gt; 1 mu m) aerosols, collected between South Africa and the sea ice edge in summer, winter, and spring. Similar latitudinal trends in delta N-15-NO3- were observed in summer and spring, suggesting similar NOx sources. Based on delta N-15-NO3-, the main NOx sources were likely a combination of lightning, biomass burning, and/or soil emissions at the low latitudes, as well as oceanic alkyl nitrates and snowpack emissions from continental Antarctica or the sea ice at the mid-latitudes and high latitudes, respectively. Snowpack emissions associated with photolysis were derived from both the Antarctic snowpack and snow on sea ice. A combination of natural NOx sources, likely transported from the lower-latitude Atlantic, contribute to the background-level NO3- observed in winter, with the potential for a stratospheric NO3- source evidenced by one sample of Antarctic origin. Greater values of delta O-18-NO3- in spring and winter compared to summer suggest an increased influence of oxidation pathways that incorporate oxygen atoms from O-3 into the end product NO3- (i.e. N2O5, DMS, and halogen oxides (XO)). Significant linear relationships between delta O-18 and Delta O-17 suggest isotopic mixing between H2O(v) and O-3 in winter and isotopic mixing between H2O(v) and O-3/XO in spring. The onset of sunlight in spring, coupled with large sea ice extent, can activate chlorine chemistry with the potential to increase peroxy radical concentrations, contributing to oxidant chemistry in the marine boundary layer. As a result, isotopic mixing with an additional third end-member (atmospheric O-2) occurs in spring.</t>
  </si>
  <si>
    <t>[Burger, Jessica M.; Spence, Kurt A. M.; Altieri, Katye E.] Univ Cape Town, Dept Oceanog, ZA-7701 Rondebosch, South Africa; [Joyce, Emily; Hastings, Meredith G.] Brown Univ, Dept Earth Environm &amp; Planetary Sci, Providence, RI 02906 USA; [Joyce, Emily; Hastings, Meredith G.] Brown Univ, Inst Brown Environm &amp; Soc, Providence, RI 02906 USA</t>
  </si>
  <si>
    <t>University of Cape Town; Brown University; Brown University</t>
  </si>
  <si>
    <t>Burger, JM (corresponding author), Univ Cape Town, Dept Oceanog, ZA-7701 Rondebosch, South Africa.</t>
  </si>
  <si>
    <t>brgjes006@myuct.ac.za</t>
  </si>
  <si>
    <t>Hastings, Meredith G/C-6199-2008; Altieri, Katye/M-5231-2014</t>
  </si>
  <si>
    <t>Altieri, Katye/0000-0002-6778-4079</t>
  </si>
  <si>
    <t>South African National Research Foundation [111716]; South African National Antarctic Programme postgraduate fellowship [110732]; University of Cape Town through a University Research Council launching grant; VC Future Leaders 2030 grant; National Research Foundation [138813]; European Union [101003826]; NSF [1851343]</t>
  </si>
  <si>
    <t>South African National Research Foundation(National Research Foundation - South Africa); South African National Antarctic Programme postgraduate fellowship; University of Cape Town through a University Research Council launching grant; VC Future Leaders 2030 grant; National Research Foundation; European Union(European Union (EU)); NSF(National Science Foundation (NSF))</t>
  </si>
  <si>
    <t>This research has been supported by the South African National Research Foundation through a Competitive Support for Rated Researchers Grant to Katye E. Altieri (grantn No. 111716) and a South African National Antarctic Programme postgraduate fellowship to Jessica M. Burger and a grant to Katye E.Altieri (grant no. 110732). This research was further supported by the University of Cape Town through a University Research Council launching grant and VC Future Leaders 2030 grant awarded to Katye E. Altieri. Additional support was provided by the National Research Foundation through a doctoral scholarship to Jessica M. Burger (grant no. 138813) as well as by the European Union's Horizon 2020 research and innovation programme (grant no. 101003826) via the CRiceS project. This work was partially supported by the NSF (award no. 1851343) via the North Pacific Atmosphere project grant awarded to Meredith G. Hastings.</t>
  </si>
  <si>
    <t>MAY 22</t>
  </si>
  <si>
    <t>10.5194/acp-23-5605-2023</t>
  </si>
  <si>
    <t>H0YP6</t>
  </si>
  <si>
    <t>WOS:000993306100001</t>
  </si>
  <si>
    <t>Cook, KB; Belcher, A; Juez, DB; Stowasser, G; Fielding, S; Saunders, RA; Elsafi, MA; Wolff, GA; Blackbird, SJ; Tarling, GA; Mayor, DJ</t>
  </si>
  <si>
    <t>Cook, Kathryn B.; Belcher, Anna; Juez, Daniel Bondyale; Stowasser, Gabriele; Fielding, Sophie; Saunders, Ryan A.; Elsafi, Mohamed A.; Wolff, George A.; Blackbird, Sabena J.; Tarling, Geraint A.; Mayor, Daniel J.</t>
  </si>
  <si>
    <t>Carbon budgets of Scotia Sea mesopelagic zooplankton and micronekton communities during austral spring</t>
  </si>
  <si>
    <t>DEEP-SEA RESEARCH PART II-TOPICAL STUDIES IN OCEANOGRAPHY</t>
  </si>
  <si>
    <t>Biological gravitational pump; Zooplankton; Micronekton; Respiration; Ingestion; Carbon; Scotia Sea; Lipids</t>
  </si>
  <si>
    <t>ELECTRON-TRANSPORT-SYSTEM; DIEL VERTICAL MIGRATION; PHYTOPLANKTON BLOOM; RESPIRATORY CARBON; METABOLIC-RATES; SOUTHERN-OCEAN; FECAL PELLETS; INDIAN SECTOR; EXPORT FLUX; MARINE SNOW</t>
  </si>
  <si>
    <t>Zooplankton form an integral component of epi-and mesopelagic ecosystems, and there is a need to better understand their role in ocean biogeochemistry. The export and remineralisation of particulate organic matter at depth plays an important role in controlling atmospheric CO2 concentrations. Pelagic mesozooplankton and micronekton communities may influence the fate of organic matter in a number of ways, including: the con-sumption of primary producers and export of this material as fast-sinking faecal pellets, and the active flux of carbon by animals undertaking diel vertical migration (DVM) into the mesopelagic. We present day and night vertical biomass profiles of mesozooplankton and micronekton communities in the upper 500 m during three visits to an ocean observatory station (P3) to the NW of South Georgia (Scotia Sea, South Atlantic) in austral spring, alongside estimates of their daily rates of ingestion and respiration throughout the water column. Day and night community biomass estimates were dominated by copepods &gt;330 mu m, including the lipid-rich species, Calanoides acutus and Rhincalanus gigas. We found little evidence of synchronised DVM, with only Metridia spp. and Salpa thompsoni showing patterns consistent with migratory behaviour. At depths below 250 m, estimated community carbon ingestion rates exceeded those of metabolic costs, supporting the understanding that food quality in the mesopelagic is relatively poor, and organisms have to consume a large amount of food in order to fulfil their nutritional requirements. By contrast, estimated community rates of ingestion and metabolic costs at shallower depths were approximately balanced, but only when we assumed that the animals were predominantly catabolising lipids (i.e. respiratory quotient = 0.7) and had relatively high absorption efficiencies. Our work demonstrates that it is possible to balance the metabolic budgets of mesopelagic animals to within observational uncertainties, but highlights the need for a better understanding of the physiology of lipid-storing animals and how it influences carbon budgeting in the pelagic.</t>
  </si>
  <si>
    <t>[Cook, Kathryn B.; Mayor, Daniel J.] Natl Oceanog Ctr, Southampton SO14 3ZH, England; [Belcher, Anna; Stowasser, Gabriele; Fielding, Sophie; Saunders, Ryan A.; Tarling, Geraint A.] British Antarctic Survey, Cambridge CB3 0ET, England; [Juez, Daniel Bondyale] Univ Las Palmas Gran Canaria, EOMAR, Las Palmas Gran Canaria, Spain; [Elsafi, Mohamed A.] Alexandria Univ, Fac Sci, Oceanog Dept, Alexandria, Egypt; [Wolff, George A.; Blackbird, Sabena J.] Univ Liverpool, Sch Environm Sci, Liverpool L69 3GP, England; [Cook, Kathryn B.; Mayor, Daniel J.] Univ Exeter, Dept Biosci, Exeter EX4 4PS, England</t>
  </si>
  <si>
    <t>NERC National Oceanography Centre; UK Research &amp; Innovation (UKRI); Natural Environment Research Council (NERC); NERC British Antarctic Survey; Universidad de Las Palmas de Gran Canaria; Egyptian Knowledge Bank (EKB); Alexandria University; University of Liverpool; University of Exeter</t>
  </si>
  <si>
    <t>Cook, KB (corresponding author), Univ Exeter, Dept Biosci, Exeter EX4 4PS, England.</t>
  </si>
  <si>
    <t>k.cook@exeter.ac.uk</t>
  </si>
  <si>
    <t>Fielding, Sophie/E-5137-2012; Wolff, George A/B-7982-2018; Cook, Kathryn/IQV-7768-2023; Cook, Kathryn Barbara/ISA-2646-2023</t>
  </si>
  <si>
    <t>Cook, Kathryn Barbara/0000-0001-8590-3011; Blackbird, Sabena/0000-0003-0942-6836; Mayor, Daniel/0000-0002-1295-0041</t>
  </si>
  <si>
    <t>Natural Environment Research Council; COMICS [NE/M020762/1, NE/M020835/1]</t>
  </si>
  <si>
    <t>Natural Environment Research Council(UK Research &amp; Innovation (UKRI)Natural Environment Research Council (NERC)); COMICS</t>
  </si>
  <si>
    <t>The authors are grateful to the crew of the R.R.S. Discovery and participants of cruise DY086 for help collecting samples. We are indebted to May Gomez, Ted Packard and Ico Martinez (EOMAR) , Santiago Hernandez Leon, Laia Armengol, and Ione Medina Suarez (IOCAG) for training in ETS assay methods and to Brian Dickie (University of Southampton) for the emergency provision of a spectro-photometer. The authors also wish to thank the three anonymous reviewers whose comments have greatly improved this manuscript. This work was supported by the Natural Environment Research Council funded Large Grant, COMICS (NE/M020762/1; NE/M020835/1).</t>
  </si>
  <si>
    <t>0967-0645</t>
  </si>
  <si>
    <t>1879-0100</t>
  </si>
  <si>
    <t>DEEP-SEA RES PT II</t>
  </si>
  <si>
    <t>Deep-Sea Res. Part II-Top. Stud. Oceanogr.</t>
  </si>
  <si>
    <t>10.1016/j.dsr2.2023.105296</t>
  </si>
  <si>
    <t>J5DI8</t>
  </si>
  <si>
    <t>WOS:001009818200001</t>
  </si>
  <si>
    <t>Dyson, JE; Whalley, LK; Slater, EJ; Woodward-Massey, R; Ye, CX; Lee, JD; Squires, F; Hopkins, JR; Dunmore, RE; Shaw, M; Hamilton, JF; Lewis, AC; Worrall, SD; Bacak, A; Mehra, A; Bannan, TJ; Coe, H; Percival, CJ; Ouyang, B; Hewitt, CN; Jones, RL; Crilley, LR; Kramer, LJ; Acton, WJF; Bloss, WJ; Saksakulkrai, S; Xu, JS; Shi, ZB; Harrison, RM; Kotthaus, S; Grimmond, S; Sun, YL; Xu, WQ; Yue, SY; Wei, LF; Fu, PQ; Wang, XM; Arnold, SR; Heard, DE</t>
  </si>
  <si>
    <t>Dyson, Joanna E.; Whalley, Lisa K.; Slater, Eloise J.; Woodward-Massey, Robert; Ye, Chunxiang; Lee, James D.; Squires, Freya; Hopkins, James R.; Dunmore, Rachel E.; Shaw, Marvin; Hamilton, Jacqueline F.; Lewis, Alastair C.; Worrall, Stephen D.; Bacak, Asan; Mehra, Archit; Bannan, Thomas J.; Coe, Hugh; Percival, Carl J.; Ouyang, Bin; Hewitt, C. Nicholas; Jones, Roderic L.; Crilley, Leigh R.; Kramer, Louisa J.; Acton, W. Joe F.; Bloss, William J.; Saksakulkrai, Supattarachai; Xu, Jingsha; Shi, Zongbo; Harrison, Roy M.; Kotthaus, Simone; Grimmond, Sue; Sun, Yele; Xu, Weiqi; Yue, Siyao; Wei, Lianfang; Fu, Pingqing; Wang, Xinming; Arnold, Stephen R.; Heard, Dwayne E.</t>
  </si>
  <si>
    <t>Impact of HO2 aerosol uptake on radical levels and O3 production during summertime in Beijing</t>
  </si>
  <si>
    <t>OZONE PRODUCTION; UPTAKE COEFFICIENTS; NOX EMISSIONS; AIR-QUALITY; AMBIENT AIR; CHEMISTRY; OH; SENSITIVITY; HYDROCARBONS; ATMOSPHERE</t>
  </si>
  <si>
    <t>The impact of heterogeneous uptake of HO2 on aerosol surfaces on radical concentrations and the O-3 production regime in Beijing in summertime was investigated. The uptake coefficient of HO2 onto aerosol surfaces, gamma HO2, was calculated for the AIRPRO campaign in Beijing, in summer 2017, as a function of measured aerosol soluble copper concentration, [Cu2+](eff), aerosol liquid water content, [ALWC], and particulate matter concentration, [PM]. An average gamma HO2 across the entire campaign of 0:070 +/- 0:035 was calculated, with values ranging from 0.002 to 0.15, and found to be significantly lower than the value of gamma HO2 = 0:2, commonly used in modelling studies. Using the calculated gamma HO2 values for the summer AIRPRO campaign, OH, HO2 and RO2 radical concentrations were modelled using a box model incorporating the Master Chemical Mechanism (v3.3.1), with and without the addition of gamma HO2, and compared to the measured radical concentrations. The rate of destruction analysis showed the dominant HO2 loss pathway to be HO2 + NO for all NO concentrations across the summer Beijing campaign, with HO2 uptake contributing &lt; 0:3% to the total loss of HO2 on average. This result for Beijing summertime would suggest that under most conditions encountered, HO2 uptake onto aerosol surfaces is not important to consider when investigating increasing O-3 production with decreasing [PM] across the North China Plain. At low [NO], however, i.e. &lt; 0:1 ppb, which was often encountered in the afternoons, up to 29% of modelled HO2 loss was due to HO2 uptake on aerosols when calculated gamma HO2 was included, even with the much lower gamma HO2 values compared to gamma HO2 D 0.2, a result which agrees with the aerosol-inhibited O-3 regime recently proposed by Ivatt et al. (2022). As such it can be concluded that in cleaner environments, away from polluted urban centres where HO2 loss chemistry is not dominated by NO but where aerosol surface area is high still, changes in PM concentration and hence aerosol surface area could still have a significant effect on both overall HO2 concentration and the O-3 production regime. Using modelled radical concentrations, the absolute O-3 sensitivity to NOx and volatile organic compounds (VOCs) showed that, on average across the summer AIRPRO campaign, the O-3 production regime remained VOC-limited, with the exception of a few days in the afternoon when the NO mixing ratio dropped low enough for the O-3 regime to shift towards being NOx -limited. The O-3 sensitivity to VOCs, the dominant regime during the summer AIRPRO campaign, was observed to decrease and shift towards a NOx -sensitive regime both when NO mixing ratio decreased and with the addition of aerosol uptake. This suggests that if [NOx] continues to decrease in the future, ozone reduction policies focussing solely on NOx reductions may not be as efficient as expected if [PM] and, hence, HO2 uptake to aerosol surfaces continue to decrease. The addition of aerosol uptake into the model, for both the gamma HO2 calculated from measured data and when using a fixed value of gamma HO2 D 0:2, did not have a significant effect on the overall O-3 production regime across the campaign. While not important for this campaign, aerosol uptake could be important for areas of lower NO concentration that are already in a NOx-sensitive regime.</t>
  </si>
  <si>
    <t>[Dyson, Joanna E.; Whalley, Lisa K.; Slater, Eloise J.; Woodward-Massey, Robert; Heard, Dwayne E.] Univ Leeds, Sch Chem, Leeds LS2 9JT, England; [Whalley, Lisa K.] Univ Leeds, Natl Ctr Atmospher Sci, Leeds LS2 9JT, England; [Ye, Chunxiang] Peking Univ, Coll Environm Sci &amp; Engn, Beijing 100871, Peoples R China; [Lee, James D.; Squires, Freya; Hopkins, James R.; Dunmore, Rachel E.; Shaw, Marvin; Hamilton, Jacqueline F.; Lewis, Alastair C.] Univ York, Dept Chem, Wolfson Atmospher Chem Labs, York YO10 5DD, England; [Lee, James D.; Hopkins, James R.; Shaw, Marvin; Lewis, Alastair C.] Univ York, Natl Ctr Atmospher Sci, York YO19 5DD, England; [Worrall, Stephen D.] Aston Univ, Aston Inst Mat Res, Sch Engn &amp; Appl Sci, Birmingham B4 7ET, England; [Bacak, Asan] Ankara Univ Inst Accelerator Technol, Turkish Accelerator &amp; Radiat Lab, Atmospher &amp; Environm Chem Lab, Golbasi Campus, Ankara, Turkiye; [Mehra, Archit; Bannan, Thomas J.; Coe, Hugh] Univ Manchester, Ctr Atmospher Sci, Sch Earth &amp; Environm Sci, Manchester M13 9PL, England; [Coe, Hugh] Univ Manchester, Natl Ctr Atmospher Sci, Manchester M13 9PL, England; [Percival, Carl J.] CALTECH, Jet Prop Lab, Pasadena, CA USA; [Hewitt, C. Nicholas] Univ Lancaster, Lancaster Environm Ctr, Lancaster LA1 4YW, England; [Jones, Roderic L.] Univ Cambridge, Dept Chem, Cambridge, England; [Crilley, Leigh R.] York Univ, Dept Chem, Toronto, ON M3J 1P3, Canada; [Kramer, Louisa J.; Acton, W. Joe F.; Bloss, William J.; Saksakulkrai, Supattarachai; Xu, Jingsha; Shi, Zongbo; Harrison, Roy M.] Univ Birmingham, Sch Geog Earth &amp; Environm Sci, Birmingham B15 2TT, England; [Kotthaus, Simone] Univ Reading, Dept Meteorol, Reading, England; [Kotthaus, Simone] Ecole Polytech, Inst Pierre Simon Laplace, Palaiseau, France; [Sun, Yele; Xu, Weiqi; Yue, Siyao; Wei, Lianfang; Fu, Pingqing] Chinese Acad Sci, Inst Atmospher Phys, State Key Lab Atmospher Boundary Layer Phys &amp; Atm, Beijing 100029, Peoples R China; [Yue, Siyao] Tianjin Univ, Inst Surface Earth Syst Sci, Sch Earth Syst Sci, Tianjin 300072, Peoples R China; [Yue, Siyao; Wei, Lianfang] Max Planck Inst Chem, Minerva Res Grp, D-55128 Mainz, Germany; [Wang, Xinming] Chinese Acad Sci, Guangzhou Inst Geochem, State Key Lab Organ Geochem, Guangzhou 510640, Peoples R China; [Arnold, Stephen R.] Univ Leeds, Sch Earth &amp; Environm, Leeds LS2 9JT, England; [Slater, Eloise J.] Unit 1 Icon Manchester, Hut Grp, Manchester Airport, Manchester WA15 0AF, England; [Squires, Freya] British Antarctic Survey, Cambridge CB3 0ET, England; [Mehra, Archit] Part Bip Grp, Chaucer, 10 Lower Thames St, London EC3R 6EN, England; [Xu, Jingsha] Beijing Hanzhou Innovat Inst Yuhang, Xixi Octagon City, Hangzhou 310023, Peoples R China; [Harrison, Roy M.] King Abdulaziz Univ, Fac Meteorol Environm &amp; Arid Land Agr, Dept Environm Sci, Jeddah, Saudi Arabia</t>
  </si>
  <si>
    <t>University of Leeds; University of Leeds; UK Research &amp; Innovation (UKRI); Natural Environment Research Council (NERC); NERC National Centre for Atmospheric Science; Peking University; University of York - UK; UK Research &amp; Innovation (UKRI); Natural Environment Research Council (NERC); NERC National Centre for Atmospheric Science; University of York - UK; Aston University; University of Manchester; University of Manchester; UK Research &amp; Innovation (UKRI); Natural Environment Research Council (NERC); NERC National Centre for Atmospheric Science; California Institute of Technology; National Aeronautics &amp; Space Administration (NASA); NASA Jet Propulsion Laboratory (JPL); Lancaster University; University of Cambridge; York University - Canada; University of Birmingham; University of Reading; Universite Paris Saclay; Institut Polytechnique de Paris; Universite Paris Cite; Chinese Academy of Sciences; Institute of Atmospheric Physics, CAS; Tianjin University; Max Planck Society; Chinese Academy of Sciences; Guangzhou Institute of Geochemistry, CAS; University of Leeds; UK Research &amp; Innovation (UKRI); Natural Environment Research Council (NERC); NERC British Antarctic Survey; King Abdulaziz University</t>
  </si>
  <si>
    <t>Whalley, LK; Heard, DE (corresponding author), Univ Leeds, Sch Chem, Leeds LS2 9JT, England.;Whalley, LK (corresponding author), Univ Leeds, Natl Ctr Atmospher Sci, Leeds LS2 9JT, England.</t>
  </si>
  <si>
    <t>l.k.whalley@leeds.ac.uk; d.e.heard@leeds.ac.uk</t>
  </si>
  <si>
    <t>Heard, Dwayne/M-3624-2017; Wang, Xinming/A-7388-2014; Bloss, William/N-1305-2014; lee, sooyoon/JEP-0415-2023; Percival, Carl J/B-9353-2012; Yue, Siyao/L-6705-2019; Sun, Yele/F-1314-2010; Wei, Lianfang/N-8550-2015; Fu, Pingqing/G-4863-2013; Yue, Siyao/ABE-3165-2021; Kotthaus, Simone/D-1738-2018; Harrison, Roy Michael/A-2256-2008; xu, weiqi/AAJ-7147-2020; Whalley, Lisa/IXD-2165-2023; YE, CHUNXIANG/J-6973-2013</t>
  </si>
  <si>
    <t>Wang, Xinming/0000-0002-1982-0928; Bloss, William/0000-0002-3017-4461; Yue, Siyao/0000-0003-1320-9279; Sun, Yele/0000-0003-2354-0221; Wei, Lianfang/0000-0002-2293-458X; Fu, Pingqing/0000-0001-6249-2280; Squires, Freya/0000-0002-3364-4617; HOPKINS, JAMES/0000-0002-0447-2633; Lee, James D/0000-0001-5397-2872; Shaw, Marvin David/0000-0001-9954-243X; Harrison, Roy/0000-0002-2684-5226; Worrall, Stephen/0000-0003-1969-3671; YE, CHUNXIANG/0000-0002-5417-2671</t>
  </si>
  <si>
    <t>UK Research and Innovation [NE/S006680/1]</t>
  </si>
  <si>
    <t>UK Research and Innovation(UK Research &amp; Innovation (UKRI))</t>
  </si>
  <si>
    <t>This research has been supported by the UK Research and Innovation (SPHERES PhD Studentship and grant no. NE/S006680/1).</t>
  </si>
  <si>
    <t>10.5194/acp-23-5679-2023</t>
  </si>
  <si>
    <t>H5SA7</t>
  </si>
  <si>
    <t>WOS:000996547900001</t>
  </si>
  <si>
    <t>Wang, KS; Wu, D; Zhang, T; Wu, K; Zheng, CW; Yi, CT; Yu, Y</t>
  </si>
  <si>
    <t>Wang, Kai-Shan; Wu, Di; Zhang, Tao; Wu, Kai; Zheng, Chong-Wei; Yi, Cheng-Tao; Yu, Yue</t>
  </si>
  <si>
    <t>Climatic Trend of Wind Energy Resource in the Antarctic</t>
  </si>
  <si>
    <t>Antarctic; wind energy; long-term variation trend; advantage areas</t>
  </si>
  <si>
    <t>INTERANNUAL VARIABILITY; SEA-ICE; FUTURE; PROJECTION; IMPACTS</t>
  </si>
  <si>
    <t>Wind energy resource is an important support for the sustainable development of Antarctica. The evaluation of wind energy potential determines the feasibility and economy of wind power generation in Antarctica, among which mastering the variation rule of wind energy resource is the key to realizing the effective utilization of polar wind energy. Based on the 6-h ERA-5 reanalysis data of ECMWF from January 1981 to December 2020, this paper systematically analyzed the long-term variation trend of Antarctic wind energy resource by using the climate statistical analysis method and the least square fitting, with the comprehensive consideration of a series of key indicators such as Wind Power Density, Effective Wind Speed Occurrence, Energy Level Occurrence, and Stability. The results show that it indicates a positive trend for wind power density (0.5 similar to 2 W x m(-2) x a(-1)), effective wind speed occurrence (2 similar to 3%/a), energy level occurrence (0.1 similar to 0.2%/a), and coefficient of variation (-0.005/a) in the South Pole-Kunlun station and the central region of Queen Maud land. The westerly belt exhibits a decreasing index (-0.5%/a) in terms of stability trend, indicating a positive potential. Kemp Land, the Ross Island-Balleny Islands waters show shortages in all indicators. The wind power density in the Antarctic region is stronger in spring and summer than in autumn and winter, with the weakest in autumn. Based on the above indicators, the variation trend in the East Antarctic coast, Wilhelm II Land-Wilkes Land, the South Pole-Kunlun station, and the westerlies is generally superior.</t>
  </si>
  <si>
    <t>[Wang, Kai-Shan; Wu, Di; Wu, Kai; Zheng, Chong-Wei; Yi, Cheng-Tao; Yu, Yue] Dalian Naval Acad, Dept Mil Oceang &amp; Hydrog, Dalian 116018, Peoples R China; [Wang, Kai-Shan; Wu, Di; Wu, Kai; Zheng, Chong-Wei; Yu, Yue] Dalian Navy Acad, Marine Resources &amp; Environm Res Grp, Maritime Silk Rd, Dalian 116018, Peoples R China; [Zhang, Tao] Natl Univ Def Technol, Coll Syst Engn, Changsha 410073, Peoples R China; [Zheng, Chong-Wei] Southern Marine Sci &amp; Engn Guangdong Lab Zhuhai, Zhuhai 519000, Peoples R China</t>
  </si>
  <si>
    <t>Dalian Naval Academy; Dalian Naval Academy; National University of Defense Technology - China; Southern Marine Science &amp; Engineering Guangdong Laboratory; Southern Marine Science &amp; Engineering Guangdong Laboratory (Zhuhai)</t>
  </si>
  <si>
    <t>Wu, D; Zheng, CW (corresponding author), Dalian Naval Acad, Dept Mil Oceang &amp; Hydrog, Dalian 116018, Peoples R China.;Wu, D; Zheng, CW (corresponding author), Dalian Navy Acad, Marine Resources &amp; Environm Res Grp, Maritime Silk Rd, Dalian 116018, Peoples R China.;Zheng, CW (corresponding author), Southern Marine Sci &amp; Engn Guangdong Lab Zhuhai, Zhuhai 519000, Peoples R China.</t>
  </si>
  <si>
    <t>wangkaishan1999@163.com; inwuyashan@163.com; taozhang202305@163.com; 15694119005@163.com; chinaoceanzcw@sina.cn; ChinaShipyi@163.com; 18640819235@163.com</t>
  </si>
  <si>
    <t>Zhang, Tao/ABB-6025-2020</t>
  </si>
  <si>
    <t>Zhang, Tao/0000-0001-9032-9982; wang, kai shan/0000-0002-3312-8030</t>
  </si>
  <si>
    <t>Marine Resources and Environment Research Group on the Maritime Silk Road; open fund project of Shandong Provincial Key Laboratory of Ocean Engineering, Ocean University of China [kloe201901]</t>
  </si>
  <si>
    <t>Marine Resources and Environment Research Group on the Maritime Silk Road; open fund project of Shandong Provincial Key Laboratory of Ocean Engineering, Ocean University of China</t>
  </si>
  <si>
    <t>This research was funded by the project of Doctoralization for Master Education of Marine Resources and Environment Research Group on the Maritime Silk Road, the open fund project of Shandong Provincial Key Laboratory of Ocean Engineering, Ocean University of China grant number No. kloe201901.</t>
  </si>
  <si>
    <t>10.3390/jmse11051088</t>
  </si>
  <si>
    <t>H6CJ2</t>
  </si>
  <si>
    <t>WOS:000996817800001</t>
  </si>
  <si>
    <t>Li, H; Wang, ZJ; Zhuang, QF; Wang, R; Huang, WT; Chen, C; Li, XX; Wang, XF; Xue, BY; Yu, Y; Pan, X</t>
  </si>
  <si>
    <t>Li, Hui; Wang, Zhangjun; Zhuang, Quanfeng; Wang, Rui; Huang, Wentao; Chen, Chao; Li, Xianxin; Wang, Xiufen; Xue, Boyang; Yu, Yang; Pan, Xin</t>
  </si>
  <si>
    <t>Remote Polar Boundary Layer Wind Profiling Using an All-Fiber Pulsed Coherent Doppler Lidar at Zhongshan Station, Antarctica</t>
  </si>
  <si>
    <t>coherent Doppler lidar; Antarctica; wind profiles; remote sensing; boundary layer</t>
  </si>
  <si>
    <t>SOUTH-POLE</t>
  </si>
  <si>
    <t>A compact all-fiber pulsed coherent Doppler lidar (PCDL) for boundary layer wind measurement was developed by the Institute of Oceanographic Instrumentation, Qilu University of Technology (Shandong Academy of Sciences). It has been deployed at Zhongshan Station (69.4 degrees S, 76.4 degrees E) during the 2020 austral summer season by the 36th Chinese National Antarctic Research Expedition (CHINARE) and started routine observation in January 2020. This system, based on the 1550 nm all-fiber components, employs a 100 mm telescope with a long focal length of 632.6 mm to emit and collect laser pulses. It provides the ability to measure vertically resolved wind fields with a spatial resolution of 30 m and a temporal resolution of 1 min; the maximum detection range is up to 1.5 km in Antarctica. Wind speed and direction inversion methods were introduced subsequently. Preliminary measurement results of wind profiles indicate that this Doppler lidar can be operated successfully in Antarctica. The synchronous observations between the lidar, anemometer, and radiosondes at Zhongshan station are presented and have good consistency with each other. The comparison results between the lidar and anemometer indicate a root mean square deviation (RMSD) of 0.98 m s(-1) and 10.55 degrees for wind speed and direction, respectively. The lidar continuous observations of wind profiles provide an opportunity to study the spatiotemporal variation of Antarctic wind with high resolutions, which is useful for further understanding of the atmosphere in Antarctic regions.</t>
  </si>
  <si>
    <t>[Li, Hui; Wang, Zhangjun; Zhuang, Quanfeng; Chen, Chao; Li, Xianxin; Wang, Xiufen; Xue, Boyang; Yu, Yang; Pan, Xin] Qilu Univ Technol, Inst Oceanog Instrumentat, Shandong Acad Sci, Qingdao 266000, Peoples R China; [Wang, Zhangjun; Chen, Chao; Li, Xianxin; Xue, Boyang] Laoshan Lab, R&amp;D Ctr Marine Instruments &amp; Apparat, Qingdao 266235, Peoples R China; [Wang, Rui; Huang, Wentao] Minist Nat Resources, Polar Res Inst China, Key Lab Polar Sci, Shanghai 200136, Peoples R China; [Pan, Xin] Qingdao Univ Sci &amp; Technol, Coll Environm &amp; Safety Engn, Qingdao 266042, Peoples R China</t>
  </si>
  <si>
    <t>Qilu University of Technology; Laoshan Laboratory; Ministry of Natural Resources of the People's Republic of China; Polar Research Institute of China; Qingdao University of Science &amp; Technology</t>
  </si>
  <si>
    <t>Wang, ZJ (corresponding author), Qilu Univ Technol, Inst Oceanog Instrumentat, Shandong Acad Sci, Qingdao 266000, Peoples R China.;Wang, ZJ (corresponding author), Laoshan Lab, R&amp;D Ctr Marine Instruments &amp; Apparat, Qingdao 266235, Peoples R China.</t>
  </si>
  <si>
    <t>lihui@qlu.edu.cn; zhangjunwang@qlu.edu.cn</t>
  </si>
  <si>
    <t>wang, yingying/JSK-6741-2023; li, xiang/JCN-9316-2023; liu, xingyu/JXW-9444-2024; yang, zhou/KBB-6972-2024; Chen, Chao/JHS-6563-2023; le, yang/KDN-4058-2024; Zhang, Junran/JRY-8660-2023; Wang, Chao/JHT-6081-2023; yu, hui/KDO-3946-2024; Wang, Yining/JQW-2010-2023; chen, gang/JRX-1197-2023; Huang, YQ/JOK-7580-2023; Wang, Yibin/KEZ-9645-2024; Wang, lingyu/JLM-2013-2023; Yang, Lili/JTT-5215-2023; Ma, Wei/JXY-5019-2024; Sun, Xinyu/JXX-2281-2024; Chen, Yu/JLL-0171-2023; zhang, wen/JXN-0191-2024; Zeng, Yun/JFK-6190-2023; zhang, ly/JMB-7214-2023; li, wei/IUQ-2973-2023; Li, Xintong/KHD-6915-2024; Li, Wenjuan/KDN-8450-2024; zhang, chen/JES-0371-2023; WANG, Bin/JGM-2639-2023; .., What/IXW-6776-2023; li, liu/JXN-7328-2024; Li, Ly/JCD-4746-2023; LIU, LIYING/KAM-4121-2024; chen, bin/KBQ-8114-2024; zhang, hui/GXH-6098-2022; Wang, Xin/HZL-4695-2023; zhang, quan/KHY-9180-2024; zhou, you/KBC-3567-2024; li, xinyi/KEI-6391-2024</t>
  </si>
  <si>
    <t>Yang, Lili/0009-0008-2926-484X; Ma, Wei/0000-0002-7344-998X; chen, bin/0000-0002-3398-1314;</t>
  </si>
  <si>
    <t>National key Research and Development Program of China [2022YFC2807202, 2021YFB3901304, 2018YFC1407301]; Shandong key Research and Development Program [2020CXGC010104, 2022CXPT020]; Natural Science Foundation of Shandong Province [ZR2021QF055]</t>
  </si>
  <si>
    <t>National key Research and Development Program of China; Shandong key Research and Development Program; Natural Science Foundation of Shandong Province(Natural Science Foundation of Shandong Province)</t>
  </si>
  <si>
    <t>This research was funded by the National key Research and Development Program of China (2022YFC2807202, 2021YFB3901304, 2018YFC1407301), Shandong key Research and Development Program (2020CXGC010104, 2022CXPT020), Natural Science Foundation of Shandong Province (ZR2021QF055).</t>
  </si>
  <si>
    <t>10.3390/atmos14050901</t>
  </si>
  <si>
    <t>H4IZ2</t>
  </si>
  <si>
    <t>WOS:000995630500001</t>
  </si>
  <si>
    <t>Darelius, E; Dundas, V; Janout, M; Tippenhauer, S</t>
  </si>
  <si>
    <t>Darelius, Elin; Dundas, Var; Janout, Markus; Tippenhauer, Sandra</t>
  </si>
  <si>
    <t>Sudden, local temperature increase above the continental slope in the southern Weddell Sea, Antarctica</t>
  </si>
  <si>
    <t>FILCHNER OVERFLOW; ICE-SHELF; WATER MASSES; VARIABILITY; ABYSSAL; WAVES; HEAT; DEEP</t>
  </si>
  <si>
    <t>Around most of Antarctica, the Circumpolar Deep Water (CDW) shows a warming trend. At the same time, the thermocline is shoaling, thereby increasing the potential for CDW to enter the shallow continental shelves and ultimately increase basal melt in the ice shelf cavities that line the coast. Similar trends, on the order of 0.05 degrees C and 3 m per decade, have been observed in the Warm Deep Water (WDW), the slightly cooled CDW derivative found at depth in the Weddell Sea. Here, we report on a sudden, local increase in the temperature maximum of the WDW above the continental slope north of the Filchner Trough (74 degrees S, 25-40 degrees W), a region identified as a hotspot for both Antarctic Bottom Water formation (AABW) and potential changes in the flow of WDW towards the large Filchner-Ronne Ice Shelf.New conductivity-temperature-depth profiles, obtained in summer 2021, and recent (2017-2021) mooring records show that the temperature of the warm-water core increased by about 0.1 degrees C over the upper part of the slope (700-2750 m depth) compared with historical (1973-2018) measurements. The temperature increase occurred relatively suddenly in late 2019 and was accompanied by an unprecedented (in observations) freshening of the overlying winter water. The AABW descending down the continental slope from Filchner Trough is sourced by dense ice shelf water and consists to a large degree (60 %) of entrained WDW. The observed temperature increase can hence be expected to imprint directly on deep-water properties, increasing the temperature of newly produced bottom water (by up to 0.06 degrees C) and reducing its density.</t>
  </si>
  <si>
    <t>[Darelius, Elin; Dundas, Var] Univ Bergen, Geophys Inst, Bergen, Norway; [Janout, Markus; Tippenhauer, Sandra] Alfred Wegener Inst Helmholtz Ctr Polar &amp; Marine R, Bremerhaven, Germany</t>
  </si>
  <si>
    <t>University of Bergen</t>
  </si>
  <si>
    <t>Darelius, E (corresponding author), Univ Bergen, Geophys Inst, Bergen, Norway.</t>
  </si>
  <si>
    <t>elin.darelius@uib.no</t>
  </si>
  <si>
    <t>Darelius, Elin/O-4096-2015</t>
  </si>
  <si>
    <t>Darelius, Elin/0000-0003-3060-0317; Janout, Markus/0000-0003-4908-2855; Tippenhauer, Sandra/0000-0003-3405-6275</t>
  </si>
  <si>
    <t>Norges Forskningsrad [267660, 231549, 328941]; Alfred Wegener Institute Helmholtz Centre for Polar and Marine Research [AWI-PS124-03]</t>
  </si>
  <si>
    <t>Norges Forskningsrad(Research Council of Norway); Alfred Wegener Institute Helmholtz Centre for Polar and Marine Research</t>
  </si>
  <si>
    <t>This research has been supported by the Norges Forskningsrad (grant nos. 267660, 231549, and 328941) and the Alfred Wegener Institute Helmholtz Centre for Polar and Marine Research (grant no. AWI-PS124-03).</t>
  </si>
  <si>
    <t>10.5194/os-19-671-2023</t>
  </si>
  <si>
    <t>H1CO7</t>
  </si>
  <si>
    <t>WOS:000993409300001</t>
  </si>
  <si>
    <t>Kasyan, Valentina V.</t>
  </si>
  <si>
    <t>Recent Changes in Composition and Distribution Patterns of Summer Mesozooplankton off the Western Antarctic Peninsula</t>
  </si>
  <si>
    <t>mesozooplankton; copepods; euphausiid larvae; distribution; abundance; biomass; Bransfield Strait; Antarctic Sound; Weddell Sea; South Orkney Islands; Southern Ocean</t>
  </si>
  <si>
    <t>KRILL EUPHAUSIA-SUPERBA; SOUTHERN-OCEAN; CLIMATE-CHANGE; COMMUNITY STRUCTURE; ATLANTIC SECTOR; WEDDELL-SEA; PHYTOPLANKTON COMMUNITIES; VERTICAL-DISTRIBUTION; SIZE STRUCTURE; ABUNDANCE</t>
  </si>
  <si>
    <t>The Southern Ocean has undergone significant climate-related changes in recent decades. As a result, pelagic communities inhabiting these waters, particularly mesozooplankton, have adapted to new conditions. The present study considers the patterns of horizontal and vertical (up to 1000 m) distribution, the composition, abundance, and biomass of mesozooplankton, and the relationships of these parameters to the extreme environmental conditions off the western Antarctic Peninsula throughout the record-warm austral summer season of 2022. Sampling was conducted using the opening/closing Multinet system (0.25 m(2) aperture) equipped with five 150-mu m mesh nets and a WP-2 net. The mesozooplankton was represented by the three most abundant groups: eggs and larvae of euphausiids such as Euphausia superba, small copepods such as Oithona similis, and large calanoid copepods such as Calanoides acutus, Calanus propinquus, Metridia gerlachei, and Rhincalanus gigas. The composition and quantitative distribution of the mesozooplankton significantly varied: the copepods were abundant in the west, off the Antarctic Peninsula, while eggs and larvae of euphausiids were abundant in the east, off the South Orkney Islands. Most mesozooplankton occurred in the upper 200 m layer, and each taxon showed characteristic depth preference: small copepods, euphausiids larvae, and cirripeds cypris larvae were abundant in the epipelagic layer, while large calanoid copepods, euphausiids eggs, amphipods, pelagic polychaetes, and ostracods were found mostly in the mesopelagic layer. The composition and quantitative distribution of mesozooplankton had clear relationships with environmental factors, particularly with a combination of variables such as water salinity, temperature, and chlorophyll a concentration.</t>
  </si>
  <si>
    <t>[Kasyan, Valentina V.] Russian Acad Sci, AV Zhirmunsky Natl Sci Ctr Marine Biol, Far Eastern Branch, Lab Systemat &amp; Morphol, Vladivostok 690041, Russia</t>
  </si>
  <si>
    <t>Kasyan, VV (corresponding author), Russian Acad Sci, AV Zhirmunsky Natl Sci Ctr Marine Biol, Far Eastern Branch, Lab Systemat &amp; Morphol, Vladivostok 690041, Russia.</t>
  </si>
  <si>
    <t>Kasyan, Valentina/0000-0002-2745-3961</t>
  </si>
  <si>
    <t>Russian State Assignment [FMWE-2022-0001, 122072000067-9, FWFE-2021-0003, 1021062912502-3]</t>
  </si>
  <si>
    <t>Russian State Assignment</t>
  </si>
  <si>
    <t>This study was supported by the Russian State Assignment no. FMWE-2022-0001 no. 122072000067-9 (for the A.V. Zhirmunsky National Scientific Center of Marine Biology, Far Eastern Branch, Russian Academy of Sciences) and FWFE-2021-0003 no. 1021062912502-3.</t>
  </si>
  <si>
    <t>MAY 21</t>
  </si>
  <si>
    <t>10.3390/w15101948</t>
  </si>
  <si>
    <t>H7LG4</t>
  </si>
  <si>
    <t>WOS:000997728500001</t>
  </si>
  <si>
    <t>Heiser, S; Amsler, CD; Stoeckel, S; McClintock, JB; Baker, BJ; Krueger-Hadfield, SA</t>
  </si>
  <si>
    <t>Heiser, Sabrina; Amsler, Charles D.; Stoeckel, Solenn; McClintock, James B.; Baker, Bill J.; Krueger-Hadfield, Stacy A.</t>
  </si>
  <si>
    <t>Tetrasporophytic bias coupled with heterozygote deficiency in Antarctic Plocamium sp. (Florideophyceae, Rhodophyta)</t>
  </si>
  <si>
    <t>clonal rates; gametophytes; homozygote excess; mating system; seaweed</t>
  </si>
  <si>
    <t>DOMINANT SUBTIDAL MACROALGAE; LIFE-HISTORY; RED ALGA; CHONDRUS-CRISPUS; REPRODUCTIVE PHENOLOGY; POPULATION-STRUCTURE; GEOGRAPHIC-VARIATION; NATURAL-POPULATIONS; GENETIC DIVERSITY; MATING SYSTEM</t>
  </si>
  <si>
    <t>Meiosis and syngamy generate an alternation between two ploidy stages, but the timing of these two processes varies widely across taxa, thereby generating life cycle diversity. One hypothesis suggests that life cycles with long-lived haploid stages are correlated with selfing, asexual reproduction, or both. Though mostly studied in angiosperms, selfing and asexual reproduction are often associated with marginal habitats. Yet, in haploid-diploid macroalgae, these two reproductive modes have subtle but unique consequences whereby predictions from angiosperms may not apply. Along the western Antarctic Peninsula, there is a thriving macroalgal community, providing an opportunity to explore reproductive system variation in haploid-diploid macroalgae at high latitudes where endemism is common. Plocamium sp. is a widespread and abundant red macroalga observed within this ecosystem. We sampled 12 sites during the 2017 and 2018 field seasons and used 10 microsatellite loci to describe the reproductive system. Overall genotypic richness and evenness were high, suggesting sexual reproduction. Eight sites were dominated by tetrasporophytes, but there was strong heterozygote deficiency, suggesting intergametophytic selfing. We observed slight differences in the prevailing reproductive mode among sites, possibly due to local conditions (e.g., disturbance) that may contribute to site-specific variation. It remains to be determined whether high levels of selfing are characteristic of macroalgae more generally at high latitudes, due to the haploid-diploid life cycle, or both. Further investigations of algal life cycles will likely reveal the processes underlying the maintenance of sexual reproduction more broadly across eukaryotes, but more studies of natural populations are required.</t>
  </si>
  <si>
    <t>[Heiser, Sabrina; Amsler, Charles D.; McClintock, James B.; Krueger-Hadfield, Stacy A.] Univ Alabama Birmingham, Dept Biol, Birmingham, AL USA; [Stoeckel, Solenn] Univ Rennes, Inst Agro, IGEPP, INRAE, Le Rheu, France; [Baker, Bill J.] Univ S Florida, Dept Chem, Tampa, FL USA; [Heiser, Sabrina] Univ Alabama Birmingham, Dept Biol, 1300 Univ Blvd, Birmingham, AL 35233 USA; [Heiser, Sabrina] Univ Texas Austin, Marine Sci Inst, Port Aransas, TX USA</t>
  </si>
  <si>
    <t>University of Alabama System; University of Alabama Birmingham; Institut Agro; INRAE; State University System of Florida; University of South Florida; University of Alabama System; University of Alabama Birmingham; University of Texas System; University of Texas Austin</t>
  </si>
  <si>
    <t>Heiser, S (corresponding author), Univ Alabama Birmingham, Dept Biol, 1300 Univ Blvd, Birmingham, AL 35233 USA.</t>
  </si>
  <si>
    <t>heiser@uab.edu</t>
  </si>
  <si>
    <t>Krueger-Hadfield, Stacy/AAT-4112-2021; Heiser, Sabrina/HJH-9098-2023; Stoeckel, Solenn/K-8086-2017</t>
  </si>
  <si>
    <t>Krueger-Hadfield, Stacy/0000-0002-7324-7448; Heiser, Sabrina/0000-0003-3307-3233; Stoeckel, Solenn/0000-0001-6064-5941</t>
  </si>
  <si>
    <t>Antarctic Science Bursary; Clonix2D; National Science Foundation [ANR-18- CE32-0001]; Phycological Society of America [PLR-1341333, PLR-1341339]; Sigma Xi; University of Alabama at Birmingham; Agence Nationale de la Recherche (ANR) [ANR-18-CE32-0001] Funding Source: Agence Nationale de la Recherche (ANR)</t>
  </si>
  <si>
    <t>Antarctic Science Bursary; Clonix2D; National Science Foundation(National Science Foundation (NSF)); Phycological Society of America; Sigma Xi; University of Alabama at Birmingham; Agence Nationale de la Recherche (ANR)(Agence Nationale de la Recherche (ANR))</t>
  </si>
  <si>
    <t>Antarctic Science Bursary; Clonix2D, Grant/Award Number: ANR-18- CE32-0001; National Science Foundation, Grant/Award Number: PLR-1341333 and PLR-1341339; Phycological Society of America, Grant/Award Number: Grants-in- Aid of Research; Sigma Xi, Grant/Award Number: Grants in Aid of Research; University of Alabama at Birmingham</t>
  </si>
  <si>
    <t>10.1111/jpy.13339</t>
  </si>
  <si>
    <t>WOS:000993171900001</t>
  </si>
  <si>
    <t>Yan, Y; Lin, Y; Zhang, L; Gao, GD; Chen, SY; Chi, CH; Hu, SQ; Sang, YH; Chu, XY; Zhou, QL; Liu, B; Zhao, YF; Miao, LH; Ge, XP</t>
  </si>
  <si>
    <t>Yan, Ying; Lin, Yan; Zhang, Lin; Gao, Guodong; Chen, Shiyou; Chi, Changhong; Hu, Songqin; Sang, Yuhang; Chu, Xiaoyu; Zhou, Qunlan; Liu, Bo; Zhao, Yongfeng; Miao, Linghong; Ge, Xianping</t>
  </si>
  <si>
    <t>Dietary supplementation with fermented antarctic krill shell improved the growth performance, digestive and antioxidant capability of Macrobrachium nipponense</t>
  </si>
  <si>
    <t>AQUACULTURE REPORTS</t>
  </si>
  <si>
    <t>Macrobrachium nipponense; Fermented antarctic krill shell; Growth performance; Antioxidation; Digestive enzyme</t>
  </si>
  <si>
    <t>TROUT ONCORHYNCHUS-MYKISS; EUPHAUSIA-SUPERBA MEAL; FISH-MEAL; ATLANTIC SALMON; HAEMATOCOCCUS-PLUVIALIS; TOTAL REPLACEMENT; BODY-COMPOSITION; SHRIMP; MUSCLE; CHITIN</t>
  </si>
  <si>
    <t>To investigate the effects of different levels of fermented antarctic krill shell (FAKS) on the growth performance, hemolymph biochemistry, hepatopancreatic antioxidant capacity, and digestive enzyme activities of Macrobrachium nipponense, five isonitrogenous and isoenergetic experimental diets containing different proportions of FAKS (0 %, 0.25 %, 0.5 %, 1.0 %, 2.0 %) were fed to M. nipponense for 8 weeks. The results showed the weight gain rate (WGR), specific growth rate (SGR), head-to-body ratio (H/S), and head-to-tail ratio (H/T) increased first and then decreased with higher proportions of FAKS. The FAKS1.0 group exhibited the highest values, and significantly higher than that of the FAKS0 group (P &lt; 0.05). Compared with the control group, FAKS inclusion could increase the concentration of hemolymph albumin (ALB), and reduce the concentration of alkaline phosphatase (ALP) (P &lt; 0.05). The concentration of alanine aminotransferase (ALT) and aspartate aminotransferase (AST) were significantly lower in the FAKS1.0 group (P &lt; 0.05). The hepatopancreas trypsin (TPS) concentration in the FAKS1.0 group, and the lipoprotein lipase (LPL) concentration in the FAKS0.25, FAKS0.5 and FAKS1.0 groups were significantly higher than that in other groups respectively (P &lt; 0.05). With increasing proportions of FAKS, the activity of superoxide dismutase (SOD), glutathione peroxidase (GSH-Px), and ceruloplasmin (CP) in the hepatopancreas tended to increase and then decrease, and were significantly higher in the FAKS0.5 group than that in the FAKS0 group (P &lt; 0.05). The concentration of malondialdehyde (MDA) in the FAKS0.25, FAKS0.5 and FAKS1.0 groups was significantly lower than that in the FAKS0 group (P &lt; 0.05). In conclusion, adding a certain level of FAKS to the feed significantly improved the growth performance, digestive enzyme, and antioxidant enzyme activity of M. nipponense. Based on the quadratic regression curve fitting, the optimal WGR and SGR can be achieved when the proportion of dietary FAKS is 1.140 % and 1.149 %, respectively.</t>
  </si>
  <si>
    <t>[Yan, Ying; Zhang, Lin; Gao, Guodong; Chen, Shiyou; Chi, Changhong; Hu, Songqin; Sang, Yuhang; Chu, Xiaoyu; Zhou, Qunlan; Liu, Bo; Zhao, Yongfeng; Miao, Linghong; Ge, Xianping] Nanjing Agr Univ, Wuxi Fisheries Coll, Wuxi 214081, Peoples R China; [Lin, Yan; Zhang, Lin; Zhou, Qunlan; Liu, Bo; Zhao, Yongfeng; Miao, Linghong; Ge, Xianping] Chinese Acad Fishery Sci, Minist Agr Freshwater Fisheries Res Ctr, Key Lab Aquat Anim Nutr &amp; Hlth, Key Lab,Freshwater Fisheries &amp; Germplasm Resources, Wuxi 214081, Peoples R China</t>
  </si>
  <si>
    <t>Nanjing Agricultural University; Chinese Academy of Fishery Sciences</t>
  </si>
  <si>
    <t>Yan, Y; Miao, LH (corresponding author), Nanjing Agr Univ, Wuxi Fisheries Coll, Wuxi 214081, Peoples R China.</t>
  </si>
  <si>
    <t>35117113@njau.edu.cn; miaolh@ffrc.cn</t>
  </si>
  <si>
    <t>Chen, Shiyou/0000-0002-7656-318X</t>
  </si>
  <si>
    <t>Central Public-interest Scientific Institution Basal Research Fund, CAFS [2020XT1203, 2022XT0401]; earmarked fund for China Agriculture Research System of MOF and MARA [CARS-48]; earmarked fund for Jiangsu Agricultural Industry Technology System [JATS [2022] 514]; Science and Technology Innovation Team [2020TD59]</t>
  </si>
  <si>
    <t>Central Public-interest Scientific Institution Basal Research Fund, CAFS; earmarked fund for China Agriculture Research System of MOF and MARA; earmarked fund for Jiangsu Agricultural Industry Technology System; Science and Technology Innovation Team</t>
  </si>
  <si>
    <t>We would like to thank the post graduate students of Fish Disease and Nutrition Department, Freshwater Fisheries Research Center (FFRC), Chinese Academy of Fishery Sciences (CAFS), PR China for their help throughout the research period. This research was funded by the Central Public-interest Scientific Institution Basal Research Fund, CAFS (Nos. 2020XT1203, 2022XT0401), the earmarked fund for China Agriculture Research System of MOF and MARA (CARS-48), the earmarked fund for Jiangsu Agricultural Industry Technology System (JATS [2022] 514), and Science and Technology Innovation Team (Grant no. 2020TD59)</t>
  </si>
  <si>
    <t>2352-5134</t>
  </si>
  <si>
    <t>AQUACULT REP</t>
  </si>
  <si>
    <t>Aquacult. Rep.</t>
  </si>
  <si>
    <t>10.1016/j.aqrep.2023.101587</t>
  </si>
  <si>
    <t>J4RK7</t>
  </si>
  <si>
    <t>WOS:001009498900001</t>
  </si>
  <si>
    <t>Ridgway, KR; Ling, S</t>
  </si>
  <si>
    <t>Ridgway, K. R.; Ling, S. D.</t>
  </si>
  <si>
    <t>Three decades of variability and warming of nearshore waters around Tasmania</t>
  </si>
  <si>
    <t>Ocean warming; Coastal temperature variability and change; Satellite Sea Surface Temperature; Bass Strait; East Australian Current; Southeast Pacific</t>
  </si>
  <si>
    <t>WESTERN BOUNDARY CURRENTS; EAST AUSTRALIAN CURRENT; SHELF CIRCULATION; BASS STRAIT; CONTINENTAL-SHELF; TEMPERATURE; CASCADE; TRENDS; OCEAN</t>
  </si>
  <si>
    <t>The ocean region around Tasmania forms an interface between major ocean basins and represents a significant global ocean hotspot due to a rate of warming higher than the global average. Nearshore Tasmanian waters are of central importance for shallow-water ecosystems and a range of human activities, including recreation, aqua -culture and fisheries which have become increasingly impacted by warming in recent decades. However, the fine-scale spatial and temporal variability of sea surface temperature (SST) in these waters is not well understood, limiting opportunities for effective local-scale mitigation and adaptation measures in the face of ongoing warming. We use a high-resolution (0.02 degrees x 0.02 degrees, 1992-2020) satellite SST received at local stations (validated against in situ temperature) to explore variability over seasonal, interannual, decadal and multi-decadal time -scales at spatial scales from the nearshore up to the entire study domain. The SST is used as a proxy for seasonal circulation by removal of the broad-scale radiative forcing (estimated by a region-wide latitudinal gradient of SST). The main circulation drivers of nearshore SST are the East Australian Current Extension (EACx) and Zeehan Current (ZC) acting on the east and west coasts with respective peaks in summer and winter. New results include the seasonality of three summer upwelling systems, the first direct evidence of EACx inflow into eastern Bass Strait, a time series of the endpoint of the ZC/EACx intersection, and a full year description of the ZC, from warm winter inflow transitioning into a summer cooler than ambient intrusion. We find that local SST variations are controlled by coastal geometry with intensified atmospheric forcing in enclosed waters. We have identified two modes of low frequency SST variability (including 1, 2 and 10-year periods) associated with the EACx (63% of the variance) and the ZC (12%). The EACx mode induces a rapid adjustment of the entire ocean region around Tasmania. Multi-decadal warming trends occur in all regions, modulated by coastal boundary flows, changes in upwelling mechanisms and local topography. Trends in the eastern shelf arise from intrusions of EACx waters, with local processes driving trends on the western shelf. Both east and west nearshore SST trends are around + 0.4 degrees C decade-1 with the highest value of + 0.55 degrees C decade-1 on the central west coast, possibly associated with outflow from Macquarie Harbour.</t>
  </si>
  <si>
    <t>[Ridgway, K. R.] CSIRO Environm, GPO Box 1538, Hobart, Tas 7001, Australia; [Ling, S. D.] Inst Marine &amp; Antarctic Studies, Hobart, TAS, Australia</t>
  </si>
  <si>
    <t>Ridgway, KR (corresponding author), CSIRO Environm, GPO Box 1538, Hobart, Tas 7001, Australia.</t>
  </si>
  <si>
    <t>ken.ridgway@csiro.au; Scott.ling@utas.edu.au</t>
  </si>
  <si>
    <t>10.1016/j.pocean.2023.103046</t>
  </si>
  <si>
    <t>J4RH6</t>
  </si>
  <si>
    <t>WOS:001009495800001</t>
  </si>
  <si>
    <t>Foley, ML; Putlitz, B; Baumgartner, LP; Bégué, F; Siron, G; Kosmal, A</t>
  </si>
  <si>
    <t>Foley, Michelle L.; Putlitz, Benita; Baumgartner, Lukas P.; Begue, Florence; Siron, Guillaume; Kosmal, Andres</t>
  </si>
  <si>
    <t>Generating large volumes of crust-derived high δ18O rhyolites in the Chon Aike Silicic Large Igneous Province, Patagonia</t>
  </si>
  <si>
    <t>OXYGEN-ISOTOPE FRACTIONATION; GONDWANA BREAK-UP; PB SHRIMP AGES; ANTARCTIC PENINSULA; SOUTHERN PATAGONIA; VOLCANIC PROVINCE; CHILEAN PATAGONIA; MANANTIAL ESPEJO; HYDROGEN ISOTOPE; GRANITIC MAGMAS</t>
  </si>
  <si>
    <t>The Jurassic Chon Aike Silicic Large Igneous Province (Patagonia and the Antarctic Peninsula) is dominated by voluminous, crust-derived magmas (235,000 km(3)) that erupted as predominately explosive silicic material over similar to 40 m.y. In this study, we combine petrological descriptions and bulk-rock major- and trace-element compositions with quartz oxygen-isotope measurements from multiple silicic units (primarily ignimbrites and some rhyolitic flows) from two of the five silicic formations in Patagonia. We have identified that quartz oxygen-isotope values are high (&gt;9%-12%). Quartz phenocrysts analyzed by secondary ion mass spectroscopy (SIMS) are also homogeneous at the microscale with no measurable change in isotope value with respect to internal and often complex zoning textures. The ubiquity of widespread high delta O-18 rhyolites and their trace-element compositions support their origin from melting of a metasedimentary source with a similarly high delta O-18 value. Mass balance calculations require that an average of &gt;75% melt derived from partial melting of the dominant basement lithology is needed to explain the isotopic and chemical composition of the rhyolites. The ideal P-T environment was identified by thermodynamic models for fluid-absent melting of graywackes at 900 degrees C and 5 kbar. Regional-scale crustal melting occurred during a widespread, high heat-flux environment within an extensional setting during the break-up of the Gondwanan supercontinent. The overlap of a unique tectonic and igneous environment, combined with a fertile crust dominated by graywacke and pelitic compositions in southern Patagonia, generated large volumes of some of the highest delta O-18 silicic magmas documented in the geologic record.</t>
  </si>
  <si>
    <t>[Foley, Michelle L.; Putlitz, Benita; Baumgartner, Lukas P.] Univ Lausanne, Inst Earth Sci, UNIL Mouline, CH-1015 Lausanne, Switzerland; [Begue, Florence] Univ Geneva, Dept Earth Sci, Rue Maraichers 13, CH-1205 Geneva, Switzerland; [Siron, Guillaume] Univ Wisconsin Madison, Dept Geosci, WiscSIMS, Madison, WI 53706 USA; [Siron, Guillaume] Univ Bologna, Dept Biol Geol &amp; Environm Sci, I-40126 Bologna, Italy; [Kosmal, Andres] Costanera Norte 46, RA-9301 El Chalten, Santa Cruz, Argentina</t>
  </si>
  <si>
    <t>University of Lausanne; University of Geneva; University of Wisconsin System; University of Wisconsin Madison; University of Bologna</t>
  </si>
  <si>
    <t>Foley, ML (corresponding author), Univ Lausanne, Inst Earth Sci, UNIL Mouline, CH-1015 Lausanne, Switzerland.</t>
  </si>
  <si>
    <t>michellefoley118@gmail.com</t>
  </si>
  <si>
    <t>Siron, Guillaume/AAE-4293-2022; Foley, Michelle/JXN-0766-2024</t>
  </si>
  <si>
    <t>Siron, Guillaume/0000-0001-6646-7648; Foley, Michelle/0000-0003-4420-2416; Putlitz, Benita/0009-0006-0268-4372</t>
  </si>
  <si>
    <t>National Science Foundation [200021_175808, EAR-1658823]; Swiss National Science Foundation (SNF) [200021_175808] Funding Source: Swiss National Science Foundation (SNF)</t>
  </si>
  <si>
    <t>National Science Foundation(National Science Foundation (NSF)); Swiss National Science Foundation (SNF)(Swiss National Science Foundation (SNSF))</t>
  </si>
  <si>
    <t>This themed issue is dedicated to the career of Calvin Miller and highlights his lifelong, passionate inquisitiveness and dedication to understanding issues relating to the source, transport, and storage of silicic magmas. We are grateful for his contributions, which allowed this work to build upon the ideas he crafted. We thank the authorities of the Parque Nacional de los Glaciares (Argentina) for their support and permission to sample in the region of El Chalten. We also thank Vincente Sanchez, the Head Geologist, and the staff of the La Josefina Project (Hunt Mining) for their generosity and openness to sharing geological knowledge and resources on site. The major-and trace-element bulk-rock analyses were conducted with the assistance of Olivier Reubi (XRF; University of Lussanne [UNIL] ) and Alexey Ulyanov (LA-ICP-MS; UNIL) . We are also grateful to Torsten Vennemann for granting access to the Stable Isotope Laboratory of UNIL. This research was funded by the Swiss National Science Foundation (200021_175808 to BP) . The WiscSIMSinstrumentation was partially supported by National Science Foundation (EAR-1658823) . The final versions of this manuscript benefited from additional edits and thoughtful contributions from D.O. Zakharov and R.J. Pankhurst. We also express our thanks for the thoughtful reviews from Anita Grunder and Teal Riley with their suggestions and comments, which improved the original manuscript. Lastly, we thank Jonathan Miller and Shanaka de Silva for their editorial handling.</t>
  </si>
  <si>
    <t>10.1130/GES02551.1</t>
  </si>
  <si>
    <t>O4KU2</t>
  </si>
  <si>
    <t>WOS:001008880700001</t>
  </si>
  <si>
    <t>Meunier, J; Miquel, B; Gallet, B</t>
  </si>
  <si>
    <t>Meunier, Julie; Miquel, Benjamin; Gallet, Basile</t>
  </si>
  <si>
    <t>A direct derivation of the Gent-McWilliams/Redi diffusion tensor from quasi-geostrophic dynamics</t>
  </si>
  <si>
    <t>JOURNAL OF FLUID MECHANICS</t>
  </si>
  <si>
    <t>quasi-geostrophic flows; geostrophic turbulence; ocean processes</t>
  </si>
  <si>
    <t>TURBULENCE; FLUXES; ENERGY; TRANSPORT; FRICTION; TRACER; SHEAR; MODEL; FLOW</t>
  </si>
  <si>
    <t>The transport induced by ocean mesoscale eddies remains unresolved in most state-of-the-art climate models and needs to be parametrized instead. The natural scale separation between the forcing and the emergent turbulent flow calls for a diffusive parametrization, where the eddy-induced fluxes are related to the large-scale gradients by a diffusion tensor. The standard parametrization scheme in climate modelling consists in adopting the Gent-McWilliams/Redi (GM/R) form for the diffusion tensor, initially put forward based on physical intuition and educated guesses before being put on firm analytical footing using a thickness-weighted average (TWA). In the present contribution, we provide a direct derivation of this diffusion tensor from the quasi-geostrophic (QG) dynamics of a horizontally homogeneous three-dimensional patch of ocean hosting a large-scale vertically sheared zonal flow on the beta plane. The derivation hinges on the identification of a useful cross-invariant defined as the product of the buoyancy and QG potential vorticity fluctuations. While less general than the TWA approach, the present QG framework leads to rigorous constraints on the diffusion tensor. First, there is no diapycnal diffusivity arising in the QG GM/R tensor for low viscosity and small-scale diffusivities. The diffusion tensor then involves only two vertically dependent coefficients, namely the GM transport coefficient K-GM(z) and the Redi diffusivity K-R(z). Second, as identified already by previous authors, the vertical structures of the two coefficients are related by the so-called Taylor-Bretherton relation. Finally, while the two coefficients differ generically in the interior of the water column, we show that they are equal to one another near the surface and near the bottom of the domain for low-enough dissipative coefficients. We illustrate these findings by simulating numerically the QG dynamics of a horizontally homogeneous patch of ocean hosting a vertically sheared zonal current resembling the Antarctic Circumpolar Current.</t>
  </si>
  <si>
    <t>[Meunier, Julie; Gallet, Basile] Univ Paris Saclay, Serv Phys Etat Condense, CNRS, CEA, F-91191 Gif Sur Yvette, France; [Miquel, Benjamin] Univ Lyon, Univ Claude Bernard Lyon 1, Ecole Cent Lyon, CNRS,UMR5509,INSA Lyon,LMFA, F-69130 Ecully, France</t>
  </si>
  <si>
    <t>Universite Paris Cite; Universite Paris Saclay; CEA; Centre National de la Recherche Scientifique (CNRS); Centre National de la Recherche Scientifique (CNRS); Ecole Centrale de Lyon; Institut National des Sciences Appliquees de Lyon - INSA Lyon; Universite Claude Bernard Lyon 1; Universite Jean Monnet; CNRS - Institute for Engineering &amp; Systems Sciences (INSIS)</t>
  </si>
  <si>
    <t>Gallet, B (corresponding author), Univ Paris Saclay, Serv Phys Etat Condense, CNRS, CEA, F-91191 Gif Sur Yvette, France.</t>
  </si>
  <si>
    <t>basile.gallet@cea.fr</t>
  </si>
  <si>
    <t>MIQUEL, BENJAMIN/0000-0001-6283-0382; Gallet, Basile/0000-0002-4366-3889</t>
  </si>
  <si>
    <t>European Research Council [FLAVE757239]; GENCI-CINES; TGCC [2021-A0102A12489, 2022-A0122A12489, 2022-A0122A10803, 2023-A0142A12489]</t>
  </si>
  <si>
    <t>European Research Council(European Research Council (ERC)); GENCI-CINES; TGCC</t>
  </si>
  <si>
    <t>This research is supported by the European Research Council under grant agreement FLAVE757239. The numerical study was performed using HPC resources from GENCI-CINES and TGCC (grants 2021-A0102A12489, 2022-A0122A12489, 2022-A0122A10803 and 2023-A0142A12489)</t>
  </si>
  <si>
    <t>0022-1120</t>
  </si>
  <si>
    <t>1469-7645</t>
  </si>
  <si>
    <t>J FLUID MECH</t>
  </si>
  <si>
    <t>J. Fluid Mech.</t>
  </si>
  <si>
    <t>MAY 19</t>
  </si>
  <si>
    <t>A22</t>
  </si>
  <si>
    <t>10.1017/jfm.2023.347</t>
  </si>
  <si>
    <t>Mechanics; Physics, Fluids &amp; Plasmas</t>
  </si>
  <si>
    <t>Mechanics; Physics</t>
  </si>
  <si>
    <t>G9IE0</t>
  </si>
  <si>
    <t>WOS:000992198500001</t>
  </si>
  <si>
    <t>Kraft, S; Rodríguez, F; Olavarría, C; Poulin, E; Pérez-Alvarez, MJ</t>
  </si>
  <si>
    <t>Kraft, Sebastian; Rodriguez, Francisca; Olavarria, Carlos; Poulin, Elie; Perez-Alvarez, Maria Jose</t>
  </si>
  <si>
    <t>Genetic Analysis as a Tool to Improve the Monitoring of Stranded Cetaceans in Chile</t>
  </si>
  <si>
    <t>stranding record; government institution; species and sex identification; multidisciplinary approach; conservation; management</t>
  </si>
  <si>
    <t>FINNED PILOT WHALES; MOLECULAR-IDENTIFICATION; PSEUDORCA-CRASSIDENS; BEAKED-WHALES; 1ST RECORD; DNA; DIVERSITY; DOLPHINS; MAGELLAN; ISLANDS</t>
  </si>
  <si>
    <t>Cetacean strandings are regularly recorded along the coast of Chile. However, crucial information such as species and sex of the individuals involved in these events can often be difficult to assess. In this context, the use of molecular tools as a complementary method can improve a stranding database, particularly by correcting misidentifications and providing new data for unidentified samples. This new information is especially important in the case of species that are poorly known or of high conservation interest. In this study, we evaluate how molecular tools can support and complement the field work records of strandings in Chile by identifying, corroborating, or correcting the identification of the species and sex of the recorded individuals. We obtained samples through a collaboration with the government agency that is in charge of assisting with cetacean strandings and collected the relevant information. Multidisciplinary approaches like this, and inter-institutional collaborations, can improve the study of cetacean strandings and the decisions in management and conservation policies around them. Cetacean strandings are a valuable source of information for several studies from species richness to conservation and management. During the examination of strandings, taxonomic and sex identification might be hindered for several reasons. Molecular techniques are valuable tools to obtain that missing information. This study evaluates how gene fragment amplification protocols can support the records of strandings done in the field in Chile by identifying, corroborating, or correcting the identification of the species and sex of the recorded individuals. Through a collaboration between a scientific laboratory and government institution in Chile, 63 samples were analyzed. Thirty-nine samples were successfully identified to the species level. In total, 17 species of six families were detected, including six species of conservation interest. Of the 39 samples, 29 corresponded to corroborations of field identifications. Seven corresponded to unidentified samples and three to corrected misidentifications, adding up to 28% of the identified samples. Sex was successfully identified for 58 of the 63 individuals. Twenty were corroborations, 34 were previously unidentified, and four were corrections. Applying this method improves the stranding database of Chile and provides new data for future management and conservation tasks.</t>
  </si>
  <si>
    <t>[Kraft, Sebastian] Univ Algarve, Ctr Ciencias Mar CCMAR, P-8005139 Faro, Portugal; [Kraft, Sebastian; Rodriguez, Francisca; Poulin, Elie; Perez-Alvarez, Maria Jose] Univ Chile, Fac Ciencias, Dept Ciencias Ecol, Lab Ecol Mol,Inst Ecol &amp; Biodiversidad, Santiago 7800003, Chile; [Rodriguez, Francisca; Poulin, Elie; Perez-Alvarez, Maria Jose] Millennium Inst Biodivers Antarctic &amp; Subantarcti, Santiago 7800003, Chile; [Olavarria, Carlos] CEAZA, La Serena 1720256, Chile; [Olavarria, Carlos; Perez-Alvarez, Maria Jose] Ctr Invest, Eutropia, Santiago 8320238, Chile; [Perez-Alvarez, Maria Jose] Univ Mayor, Escuela Med Vet, Fac Med &amp; Ciencias Salud, Santiago 8580745, Chile</t>
  </si>
  <si>
    <t>Universidade do Algarve; Universidad de Chile; Universidad Mayor</t>
  </si>
  <si>
    <t>Pérez-Alvarez, MJ (corresponding author), Univ Chile, Fac Ciencias, Dept Ciencias Ecol, Lab Ecol Mol,Inst Ecol &amp; Biodiversidad, Santiago 7800003, Chile.;Pérez-Alvarez, MJ (corresponding author), Millennium Inst Biodivers Antarctic &amp; Subantarcti, Santiago 7800003, Chile.;Pérez-Alvarez, MJ (corresponding author), Ctr Invest, Eutropia, Santiago 8320238, Chile.;Pérez-Alvarez, MJ (corresponding author), Univ Mayor, Escuela Med Vet, Fac Med &amp; Ciencias Salud, Santiago 8580745, Chile.</t>
  </si>
  <si>
    <t>maria.perez@umayor.cl</t>
  </si>
  <si>
    <t>Rodriguez, Francisca/IVU-8718-2023; Kraft, Sebastian/JPX-4638-2023; Poulin, Elie/C-2654-2012</t>
  </si>
  <si>
    <t>Kraft, Sebastian/0000-0003-0719-8040; Poulin, Elie/0000-0001-7736-0969; Perez-Alvarez, M.Jose/0000-0003-1440-8966</t>
  </si>
  <si>
    <t>CONICYT Program FONDECYT Iniciacion [11170182]; ANID Millennium Science Initiative Program [ICN2021_002]; Centro de Investigacion EUTROPIA; Portuguese national funding agency for science, research, and technology (FCT) [UIDB/04326/2020, UIDP/04326/2020, LA/P/0101/2020]</t>
  </si>
  <si>
    <t>CONICYT Program FONDECYT Iniciacion; ANID Millennium Science Initiative Program; Centro de Investigacion EUTROPIA; Portuguese national funding agency for science, research, and technology (FCT)(Fundacao para a Ciencia e a Tecnologia (FCT))</t>
  </si>
  <si>
    <t>This research was funded by CONICYT Program FONDECYT Iniciacion 11170182, ANID Millennium Science Initiative Program ICN2021_002 and Centro de Investigacion EUTROPIA. This research received support from the Portuguese national funding agency for science, research, and technology (FCT) projects UIDB/04326/2020, UIDP/04326/2020 and LA/P/0101/2020; The APC was funded by (to be completed).</t>
  </si>
  <si>
    <t>10.3390/biology12050748</t>
  </si>
  <si>
    <t>H4FR4</t>
  </si>
  <si>
    <t>WOS:000995544600001</t>
  </si>
  <si>
    <t>Franzese, S; Facal, GG; Menoret, A</t>
  </si>
  <si>
    <t>Franzese, Sebastian; Facal, Guillermina Garcia; Menoret, Adriana</t>
  </si>
  <si>
    <t>Tapeworms (Platyhelminthes, Cestoda) from marine chondrichthyans of the Southwestern Atlantic Ocean, and the sub-Antarctic and Antarctic islands: a checklist</t>
  </si>
  <si>
    <t>ZOOKEYS</t>
  </si>
  <si>
    <t>Batoids biodiversity; parasites; sharks; tapeworms; taxonomy</t>
  </si>
  <si>
    <t>MUSTELUS-SCHMITTI CHONDRICHTHYES; N. SP EUCESTODA; RAJIFORMES ARHYNCHOBATIDAE; CHILENSIS GUICHENOT; PATAGONIAN SHELF; TETRAPHYLLIDEA; PARASITE; TRYPANORHYNCHA; SKATE; CARCHARHINIFORMES</t>
  </si>
  <si>
    <t>A parasite-host list of cestodes parasitizing chondrichthyans in the Southwest Atlantic off Argentina and surrounding waters of Antarctica is compiled based on the available literature. The list is based on pub-lished descriptions and redescriptions of species, and newly collected worms during the current study. A total of 57 valid species belonging to 28 genera of the orders Cathetocephalidea, Diphyllidea, Gyrocoty-lidea, Lecanicephalidea, Onchoproteocephalidea, Phyllobothriidea, Rhinebothriidea, Tetraphyllidea, and Trypanorhyncha is listed. Information on hosts, localities, specimens in collections and comments on tapeworms are also included. A host-parasite list including chimaeras (1 order, 1 genus), batoids (4 orders, 10 genera), and sharks (3 orders, 5 genera) is provided. Tapeworm diversity, distribution range, and host associations are discussed. The cestodes orders Phyllobothriidea and Rhinebothriidea exhibit the highest species richness, with 13 and 12 species, respectively. Onchoproteocephalideans and rhinebothriideans have the broadest geographic distribution in the study area. Regarding hosts, arhynchobatid skates are the group most frequently associated with cestodes. However, further collecting efforts are necessary to understand whether this data reflect the real diversity and host association of these parasites or is a result of a bias in sampling.</t>
  </si>
  <si>
    <t>[Franzese, Sebastian; Facal, Guillermina Garcia; Menoret, Adriana] Univ Buenos Aires, Fac Ciencias Exactas &amp; Nat, Dept Biodivers &amp; Biol Expt, Lab Sistemat &amp; Biol Parasitos Organismos Acuat, C1428EGA.Ciudad Univ, Buenos Aires, Argentina; [Franzese, Sebastian; Facal, Guillermina Garcia; Menoret, Adriana] Univ Buenos Aires, CONICET, Inst Biodivers &amp; Biol Expt &amp; Aplicada IBBEA, Buenos Aires, Argentina</t>
  </si>
  <si>
    <t>University of Buenos Aires; Consejo Nacional de Investigaciones Cientificas y Tecnicas (CONICET); University of Buenos Aires</t>
  </si>
  <si>
    <t>Franzese, S; Menoret, A (corresponding author), Univ Buenos Aires, Fac Ciencias Exactas &amp; Nat, Dept Biodivers &amp; Biol Expt, Lab Sistemat &amp; Biol Parasitos Organismos Acuat, C1428EGA.Ciudad Univ, Buenos Aires, Argentina.;Franzese, S; Menoret, A (corresponding author), Univ Buenos Aires, CONICET, Inst Biodivers &amp; Biol Expt &amp; Aplicada IBBEA, Buenos Aires, Argentina.</t>
  </si>
  <si>
    <t>sefranze20@gmail.com; menoret.a@gmail.com</t>
  </si>
  <si>
    <t>Garcia Facal, Guillermina/0009-0001-3598-8464; Franzese, Sebastian/0000-0003-3706-5820</t>
  </si>
  <si>
    <t>Agencia Nacional de Promocion Cientifica y Tecnologica (Argentina) [00660]</t>
  </si>
  <si>
    <t>Agencia Nacional de Promocion Cientifica y Tecnologica (Argentina)(ANPCyT)</t>
  </si>
  <si>
    <t>Thanks are due to Gustavo Chiaramonte, who made laboratory facilities at the Estacion Hidrobiologica Quequen, Museo Argentino de Ciencias Naturales-CONICET available to us. Special thanks are due to Nathalia Arredondo from IBBEA (CONI- CET-UBA) for assisting us in many aspects of this work. Special thanks to the IBBEA for the support provided in publishing this work. This work has been funded by grant PICT 2020 No. 00660 from Agencia Nacional de Promocion Cientifica y Tecnologica (Argentina) . This study was conducted under collecting permits No. 39 and No. 260 from Direccion Provincial de Pesca-Ministerio de Asuntos Agrarios de la Provincia de Buenos Aires, Argentina.</t>
  </si>
  <si>
    <t>1313-2989</t>
  </si>
  <si>
    <t>1313-2970</t>
  </si>
  <si>
    <t>ZooKeys</t>
  </si>
  <si>
    <t>10.3897/zookeys.1163.100485</t>
  </si>
  <si>
    <t>H5HL4</t>
  </si>
  <si>
    <t>WOS:000996270400003</t>
  </si>
  <si>
    <t>Li, HB; Liang, C; Yang, G; Wang, CF; Zhang, WC</t>
  </si>
  <si>
    <t>Li, Haibo; Liang, Chen; Yang, Guang; Wang, Chaofeng; Zhang, Wuchang</t>
  </si>
  <si>
    <t>Spatial distribution of planktonic ciliates in waters around the northeastern Antarctic Peninsula and the South Orkney Plateau</t>
  </si>
  <si>
    <t>Planktonic ciliates; Tintinnids; Spatial distribution; Antarctic Peninsula; South Orkney Plateau</t>
  </si>
  <si>
    <t>BRANSFIELD STRAIT; SPECIAL EMPHASIS; ANNUAL CYCLE; MICROZOOPLANKTON; TINTINNIDS; ABUNDANCE; COMMUNITY; PATTERNS; CARBON; KRILL</t>
  </si>
  <si>
    <t>The Antarctic Peninsula and adjacent region is one of the planet's fastest warming areas and has experienced remarkable environmental change. Planktonic ciliates are sensitive to environmental change because of their short lifespans and limited mobility. However, not much research has been done on the distribution of planktonic ciliates and their relation to environmental factors in waters around the Antarctic Peninsula and the South Orkney Plateau. Here, we investigated planktonic ciliate distribution in different areas of the Antarctic Peninsula and the South Orkney Plateau region during 26 December 2015 and 11 January 2016. Tintinnids made up less than 10% and 15% of total planktonic ciliate abundance and biomass, respectively. Aloricate ciliates and tintinnids showed different vertical profiles, indicating their different responses to environmental change. In the Bransfield Strait, tintinnids mainly occurred in the south side of the strait. In the South Orkney Plateau with well-stratified water column, Laackmanniella naviculaefera occurred in the surface 0-25-m Summer Surface Water (SSW), while Cymatocylis cf. cristallina occurred in the 50-150-m Winter Water. Along a transect between the Central Basin and Eastern Basin, warmer Antarctic Circumpolar Current waters intruded southward and overlay the SSW of the Weddell Sea confluence. Consequently, L. naviculaefera was suppressed into deeper water than in the South Orkney Plateau. This study showed that the characteristic hydrography of the Antarctic Peninsula and the South Orkney Plateau shaped the distribution patterns of planktonic ciliates. Our results are helpful for understanding the future dynamics of pelagic ecosystems in this rapidly changing area.</t>
  </si>
  <si>
    <t>[Li, Haibo; Yang, Guang; Wang, Chaofeng; Zhang, Wuchang] Inst Oceanol, Chinese Acad Sci, CAS Key Lab Marine Ecol &amp; Environm Sci, 7 Nanhai Rd, Qingdao 266071, Peoples R China; [Li, Haibo; Yang, Guang; Wang, Chaofeng; Zhang, Wuchang] Pilot Natl Lab Marine Sci &amp; Technol Qingdao, Lab Marine Ecol &amp; Environm Sci, Qingdao 266071, Peoples R China; [Li, Haibo; Yang, Guang; Wang, Chaofeng; Zhang, Wuchang] Chinese Acad Sci, Ctr Ocean Megasci, Qingdao 266071, Peoples R China; [Liang, Chen] Minjiang Univ, Fuzhou Inst Oceanog, Fujian Key Lab Conservat &amp; Sustainable Utilizat Ma, Fuzhou 350108, Peoples R China</t>
  </si>
  <si>
    <t>Chinese Academy of Sciences; Institute of Oceanology, CAS; Laoshan Laboratory; Chinese Academy of Sciences; Minjiang University</t>
  </si>
  <si>
    <t>Zhang, WC (corresponding author), Inst Oceanol, Chinese Acad Sci, CAS Key Lab Marine Ecol &amp; Environm Sci, 7 Nanhai Rd, Qingdao 266071, Peoples R China.;Zhang, WC (corresponding author), Pilot Natl Lab Marine Sci &amp; Technol Qingdao, Lab Marine Ecol &amp; Environm Sci, Qingdao 266071, Peoples R China.;Zhang, WC (corresponding author), Chinese Acad Sci, Ctr Ocean Megasci, Qingdao 266071, Peoples R China.</t>
  </si>
  <si>
    <t>National Polar Special Program Impact and Response of Antarctic Seas to Climate [IRASCC 01-02-01D]; National Natural Science Foundation of China [41706192]; Ministry of Natural Resources of the People's Republic of China</t>
  </si>
  <si>
    <t>National Polar Special Program Impact and Response of Antarctic Seas to Climate; National Natural Science Foundation of China(National Natural Science Foundation of China (NSFC)); Ministry of Natural Resources of the People's Republic of China</t>
  </si>
  <si>
    <t>This work was supported by National Polar Special Program Impact and Response of Antarctic Seas to Climate (IRASCC 01-02-01D) and the National Natural Science Foundation of China (41706192). This work was also supported by the Ministry of Natural Resources of the People's Republic of China. We thank the 32nd CHINARE Antarctic expedition for providing logistical support and environmental data. We thank the crew on the R/V XUELONG for their support and assistance during sampling. We thank Natalie Kim, PhD, from Liwen Bianji (Edanz) (www.liwenbianji.cn/), for editing the English text of a draft of this manuscript.</t>
  </si>
  <si>
    <t>10.1007/s00300-023-03152-6</t>
  </si>
  <si>
    <t>WOS:000990962300001</t>
  </si>
  <si>
    <t>Toumoulin, A; Decombeix, AL; Harper, CJ; Serbet, R</t>
  </si>
  <si>
    <t>Toumoulin, Agathe; Decombeix, Anne-Laure; Harper, Carla J.; Serbet, Rudolph</t>
  </si>
  <si>
    <t>Early Jurassic silicified woods from Carapace Nunatak, South Victoria Land, Antarctica</t>
  </si>
  <si>
    <t>FOSSIL RECORD</t>
  </si>
  <si>
    <t>Agathoxylon; Araucariaceae; Brachyoxylon; conifers; fossil fungi; gymnosperms; Hirmeriellaceae; Mesozoic</t>
  </si>
  <si>
    <t>TRANSANTARCTIC MOUNTAINS; CONIFEROUS WOODS; POLAR FORESTS; FOSSIL PLANTS; GROWTH RINGS; COOMBS HILLS; POLLEN CONE; EVOLUTION; ANATOMY; ISLAND</t>
  </si>
  <si>
    <t>The Jurassic vegetation of Antarctica remains poorly known and, while there have been several reports of large fossil trees from that time period across the continent, detailed anatomical studies of their wood are extremely scarce. Here we describe new silicified woods of Early Jurassic (probably Toarcian) age from Carapace Nunatak, South Victoria Land. The genera Agathoxylon and Brachyoxylon are formally recognized for the first time in the Jurassic of Antarctica. The preservation of the woods is imperfect, which is likely explained by the presence in some of the specimens of fungi, whose anatomical structures are described in detail. Combined with previous reports of pollen, leaves, and cones from South and North Victoria Land, these new specimens support the presence of several conifer families in the Early Jurassic floras of the region.</t>
  </si>
  <si>
    <t>[Toumoulin, Agathe] Masaryk Univ, Dept Bot &amp; Zool, Brno, Czech Republic; [Decombeix, Anne-Laure] Univ Montpellier, AMAP, IRD, CIRAD,CNRS,INRAe, Montpellier, France; [Decombeix, Anne-Laure; Harper, Carla J.; Serbet, Rudolph] Univ Kansas, Biodivers Inst, Div Paleobot, Lawrence, KS 66045 USA; [Harper, Carla J.] Trinity Coll Dublin, Sch Nat Sci, Dept Bot, Dublin 2, Ireland</t>
  </si>
  <si>
    <t>Masaryk University Brno; Universite de Montpellier; Institut de Recherche pour le Developpement (IRD); Centre National de la Recherche Scientifique (CNRS); INRAE; CIRAD; University of Kansas; Trinity College Dublin</t>
  </si>
  <si>
    <t>Toumoulin, A (corresponding author), Masaryk Univ, Dept Bot &amp; Zool, Brno, Czech Republic.;Decombeix, AL (corresponding author), Univ Montpellier, AMAP, IRD, CIRAD,CNRS,INRAe, Montpellier, France.;Decombeix, AL (corresponding author), Univ Kansas, Biodivers Inst, Div Paleobot, Lawrence, KS 66045 USA.</t>
  </si>
  <si>
    <t>agathe.toumoulin@gmail.com; anne-laure.decombeix@cirad.fr</t>
  </si>
  <si>
    <t>Harper, Carla J/B-4862-2010; Decombeix, Anne-Laure/H-3710-2013</t>
  </si>
  <si>
    <t>Decombeix, Anne-Laure/0000-0002-6348-0086; Toumoulin, Agathe/0000-0003-2181-3732</t>
  </si>
  <si>
    <t>US National Science Foundation [1142495]</t>
  </si>
  <si>
    <t>US National Science Foundation(National Science Foundation (NSF))</t>
  </si>
  <si>
    <t>We warmly thank the other members of the 2014-2015 G-496 team: Drew Brown, Dave Buchanan, Charles Daghlian, Ignacio Escapa, Erik Gulbranson, Lauren Michel, and Ana Zajivciek for their help in the field. This study would not have been possible without the US Antarctic Program pilots and helo techs who flew us to the capricious place that is Carapace Nunatak, and among them we are especially grateful to Rebecca Voltin (Lyons, OR, USA) who also found one of the first and best-preserved specimens presented in this paper. We thank the anonymous reviewer and Alexander Schmidt for their constructive comments, and editorial handling. This work was partially funded by an award from the US National Science Foundation (#1142495) to Edith L. Taylor (Lawrence, KS, USA), who we thank for her mentorship and support. AMAP (botAny and Modelling of Plant Architecture and vegetation) is a joint research unit that associates Montpellier University, CNRS (UMR 5120), CIRAD (UMR51), INRAe (UMR931) and IRD (UR123). Finally, AT thanks Sandrine Escobar and Morgane Ganault for their help on Fig. 2.</t>
  </si>
  <si>
    <t>2193-0074</t>
  </si>
  <si>
    <t>FOSS REC</t>
  </si>
  <si>
    <t>Foss. Rec.</t>
  </si>
  <si>
    <t>10.3897/fr.26.102570</t>
  </si>
  <si>
    <t>G5KD8</t>
  </si>
  <si>
    <t>WOS:000989534700001</t>
  </si>
  <si>
    <t>Cloetingh, S; Sternai, P; Koptev, A; Ehlers, TA; Gerya, T; Kovács, I; Oerlemans, J; Beekman, F; Lavallée, Y; Dingwell, D; Békési, E; Porkolàb, K; Tesauro, M; Lavecchia, A; Botsyun, S; Muller, V; Roure, F; Serpelloni, E; Matenco, L; Castelltort, S; Giovannelli, D; Brovarone, AV; Malaspina, N; Coletti, G; Valla, P; Limberger, J</t>
  </si>
  <si>
    <t>Cloetingh, Sierd; Sternai, Pietro; Koptev, Alexander; Ehlers, Todd A.; Gerya, Taras; Kovacs, Istvan; Oerlemans, Johannes; Beekman, Fred; Lavallee, Yan; Dingwell, Donald; Bekesi, Eszter; Porkolab, Kristof; Tesauro, Magdala; Lavecchia, Alessio; Botsyun, Svetlana; Muller, Veleda; Roure, Francois; Serpelloni, Enrico; Matenco, Liviu; Castelltort, Sebastien; Giovannelli, Donato; Brovarone, Alberto Vitale; Malaspina, Nadia; Coletti, Giovanni; Valla, Pierre; Limberger, Jon</t>
  </si>
  <si>
    <t>Coupled surface to deep Earth processes: Perspectives from TOPO-EUROPE with an emphasis on climate- and energy-related societal challenges</t>
  </si>
  <si>
    <t>Coupled surface-deep Earth interactions; Earth system science; Geo-energy; Climate changes across timescales; Earth environment; Geo-biosphere</t>
  </si>
  <si>
    <t>SERPENTINITE-HOSTED ECOSYSTEM; UNDERGROUND HYDROGEN STORAGE; ENHANCED GEOTHERMAL SYSTEM; STABLE CONTINENTAL REGIONS; CARBON-DIOXIDE STORAGE; ANTARCTIC ICE-SHEET; SEA-LEVEL; DYNAMIC TOPOGRAPHY; MANTLE BENEATH; FORE-ARC</t>
  </si>
  <si>
    <t>Understanding the interactions between surface and deep Earth processes is important for research in many diverse scientific areas including climate, environment, energy, georesources and biosphere. The TOPO-EUROPE initiative of the International Lithosphere Program serves as a pan-European platform for integrated surface and deep Earth sciences, synergizing observational studies of the Earth structure and fluxes on all spatial and tem-poral scales with modelling of Earth processes. This review provides a survey of scientific developments in our quantitative understanding of coupled surface-deep Earth processes achieved through TOPO-EUROPE. The most notable innovations include (1) a process-based understanding of the connection of upper mantle dynamics and absolute plate motion frames; (2) integrated models for sediment source-to-sink dynamics, demonstrating the importance of mass transfer from mountains to basins and from basin to basin; (3) demonstration of the key role of polyphase evolution of sedimentary basins, the impact of pre-rift and pre-orogenic structures, and the evo-lution of subsequent lithosphere and landscape dynamics; (4) improved conceptual understanding of the tem-poral evolution from back-arc extension to tectonic inversion and onset of subduction; (5) models to explain the integrated strength of Europe's lithosphere; (6) concepts governing the interplay between thermal upper mantle processes and stress-induced intraplate deformation; (7) constraints on the record of vertical motions from high -resolution data sets obtained from geo-thermochronology for Europe's topographic evolution; (8) recognition and quantifications of the forcing by erosional and/or glacial-interglacial surface mass transfer on the regional magmatism, with major implications for our understanding of the carbon cycle on geological timescales and the emerging field of biogeodynamics; and (9) the transfer of insights obtained on the coupling of deep Earth and surface processes to the domain of geothermal energy exploration.Concerning the future research agenda of TOPO-EUROPE, we also discuss the rich potential for further ad-vances, multidisciplinary research and community building across many scientific frontiers, including research on the biosphere, climate and energy. These will focus on obtaining a better insight into the initiation and evolution of subduction systems, the role of mantle plumes in continental rifting and (super)continent break-up, and the deformation and tectonic reactivation of cratons; the interaction between geodynamic, surface and climate processes, such as interactions between glaciation, sea level change and deep Earth processes; the sensitivity, tipping points, and spatio-temporal evolution of the interactions between climate and tectonics as well as the role of rock melting and outgassing in affecting such interactions; the emerging field of bio-geodynamics, that is the impact of coupled deep Earth - surface processes on the evolution of life on Earth; and tightening the connection between societal challenges regarding renewable georesources, climate change, nat-ural geohazards, and novel process-understanding of the Earth system.</t>
  </si>
  <si>
    <t>[Cloetingh, Sierd; Beekman, Fred; Bekesi, Eszter; Porkolab, Kristof; Tesauro, Magdala; Matenco, Liviu; Limberger, Jon] Univ Utrecht, Dept Earth Sci, Utrecht, Netherlands; [Sternai, Pietro; Muller, Veleda; Malaspina, Nadia; Coletti, Giovanni] Univ Milano Bicocca, Dept Earth &amp; Environm Sci, Milan, Italy; [Koptev, Alexander] GFZ German Res Ctr Geosci, Potsdam, Germany; [Ehlers, Todd A.] Univ Tubingen, Dept Geosci, Tubingen, Germany; [Ehlers, Todd A.] Univ Glasgow, Sch Geog &amp; Earth Sci, Glasgow, Scotland; [Gerya, Taras] Swiss Fed Inst Technol, Inst Geophys, Zurich, Switzerland; [Kovacs, Istvan] Inst Earth Phys &amp; Space Sci, MTA FI Lendulet Pannon LitH2Oscope Res Grp, Sopron, Hungary; [Oerlemans, Johannes] Univ Utrecht, Inst Marine &amp; Atmospher Res, Utrecht, Netherlands; [Lavallee, Yan] Univ Liverpool, Dept Earth Ocean &amp; Ecol Sci, Liverpool, England; [Lavallee, Yan; Dingwell, Donald] Ludwig Maximilians Univ Munchen, Dept Earth &amp; Environm Sci, Munich, Germany; [Bekesi, Eszter; Porkolab, Kristof] Inst Earth Phys &amp; Space Sci, Sopron, Hungary; [Tesauro, Magdala] Univ Trieste, Dipartimento Matemat &amp; Geosci, Trieste, Italy; [Lavecchia, Alessio] Ist Nazl Geofis &amp; Vulcanol, Bari, Italy; [Botsyun, Svetlana] Free Univ Berlin, Inst Meteorol, Berlin, Germany; [Roure, Francois] IFP Energies Nouvelles, Ruel Malmaison, France; [Serpelloni, Enrico] Ist Nazl Geofis &amp; Vulcanol, Rome, Italy; [Castelltort, Sebastien] Univ Geneva, Dept Earth Sci, Geneva, Switzerland; [Giovannelli, Donato] Univ Naples Federico II, Dept Biol, Naples, Italy; [Giovannelli, Donato] CNR IRBIM, Inst Marine Biol Resources &amp; Biotechnol, Natl Res Council, Ancona, Italy; [Giovannelli, Donato] Rutgers State Univ, Dept Marine &amp; Coastal Sci, New Brunswick, NJ USA; [Giovannelli, Donato] Woods Hole Oceanog Inst, Marine Chem &amp; Geochem Dept, Falmouth, MA USA; [Giovannelli, Donato] Tokyo Inst Technol, Earth Life Sci Inst, Tokyo, Japan; [Brovarone, Alberto Vitale] Alma Mater Studiorum Univ Bologna, Dipartimento Sci Biol Geolog &amp; Ambientali, Bologna, Italy; [Brovarone, Alberto Vitale] Sorbonne Univ, Inst Mineral Phys &amp; Mat &amp; Cosmochim IMPMC, Museum Natl Hist Nat, UMR CNRS 7590,IRD, Paris, France; [Brovarone, Alberto Vitale] Natl Res Council Italy, Inst Geosci &amp; Earth Resources, Pisa, Italy; [Valla, Pierre] Univ Grenoble Alpes, Univ Savoie Mont Blanc, Inst Earth Sci ISTerre, CNRS,IRD,IFSTAR, F-38000 Grenoble, France; [Limberger, Jon] TNO Energy Transit, Utrecht, Netherlands</t>
  </si>
  <si>
    <t>Utrecht University; University of Milano-Bicocca; Helmholtz Association; Helmholtz-Center Potsdam GFZ German Research Center for Geosciences; Eberhard Karls University of Tubingen; University of Glasgow; Swiss Federal Institutes of Technology Domain; ETH Zurich; Hungarian Research Network; HUN-REN Institute of Earth Physics &amp; Space Science; Utrecht University; University of Liverpool; University of Munich; Hungarian Research Network; HUN-REN Institute of Earth Physics &amp; Space Science; University of Trieste; Istituto Nazionale Geofisica e Vulcanologia (INGV); Free University of Berlin; IFP Energies Nouvelles; Istituto Nazionale Geofisica e Vulcanologia (INGV); University of Geneva; University of Naples Federico II; Consiglio Nazionale delle Ricerche (CNR); Istituto per le Risorse Biologiche Biotecnologie Marine (IRBIM-CNR); Rutgers University System; Rutgers University New Brunswick; Woods Hole Oceanographic Institution; Tokyo Institute of Technology; University of Bologna; Sorbonne Universite; Universite Paris Cite; Museum National d'Histoire Naturelle (MNHN); Institut de Recherche pour le Developpement (IRD); Consiglio Nazionale delle Ricerche (CNR); Istituto di Geoscienze e Georisorse (IGG-CNR); Universite Savoie Mont Blanc; Universite Gustave-Eiffel; Communaute Universite Grenoble Alpes; Universite Grenoble Alpes (UGA); Centre National de la Recherche Scientifique (CNRS); Institut de Recherche pour le Developpement (IRD)</t>
  </si>
  <si>
    <t>Cloetingh, S (corresponding author), Univ Utrecht, Dept Earth Sci, Princetonlaan 4, NL-3584 CB Utrecht, Netherlands.</t>
  </si>
  <si>
    <t>s.a.p.l.cloetingh@uu.nl</t>
  </si>
  <si>
    <t>Limberger, Jon/R-5173-2016; Serpelloni, Enrico/KGK-5864-2024; Cloetingh, Sierd APL/E-5194-2012; Malaspina, Nadia/G-7841-2012; Sternai, Pietro/ABE-5086-2021; Kovacs, Istvan/A-1267-2008</t>
  </si>
  <si>
    <t>Limberger, Jon/0000-0001-8792-5548; Serpelloni, Enrico/0000-0003-1822-403X; Malaspina, Nadia/0000-0002-7089-1035; Sternai, Pietro/0000-0003-1891-6474; Ehlers, Todd/0000-0001-9436-0303; Koptev, Alexander/0000-0002-3246-5764; Bekesi, Eszter/0000-0003-3561-1656; Kovacs, Istvan/0000-0002-3488-3716; Cloetingh, Sierd/0000-0001-9472-7881; Muller, Veleda/0000-0001-6808-3509; Porkolab, Kristof/0000-0001-7470-8296</t>
  </si>
  <si>
    <t>European Research Council (ERC) under European Union [864045]; Fondazione Cariplo; Fondazione CDP [2022-1546_001]; European Research Council (ERC) [864045] Funding Source: European Research Council (ERC)</t>
  </si>
  <si>
    <t>European Research Council (ERC) under European Union(European Research Council (ERC)); Fondazione Cariplo(Fondazione Cariplo); Fondazione CDP; European Research Council (ERC)(European Research Council (ERC)Spanish Government)</t>
  </si>
  <si>
    <t>The ILP, Academia Europaea, Young Academy of Europe, European Science Foundation, Horizon Europe, the Balzan Foundation, the Alexander von Humboldt Foundation, and numerous national research councils are thanked for continuous support and major grants. Magdala Tesauro, Alexander Koptev, and Pietro Sternai thank the ILP for bestowing them with the Flinn-Hart award to young scientists. This work is part of a project that received funding from the European Research Council (ERC) under the European Union's Horizon 2020 research and innovation program (Grant agreement No. 864045) . This work has also been supported by Fondazione Cariplo and Fondazione CDP (Grant no 2022-1546_001) and by the Italian Ministry of Education, MUR (Project Dipartimenti di Eccellenza, TECLA, Department of Earth and Environmental Sciences, University of Milano-Bicocca) . We thank Nevena Andric-Tomasevic, an anonymous reviewer and the editor Howard Falcon-Lang for their thoughtful and constructive reviews.</t>
  </si>
  <si>
    <t>10.1016/j.gloplacha.2023.104140</t>
  </si>
  <si>
    <t>I7MP1</t>
  </si>
  <si>
    <t>WOS:001004594000001</t>
  </si>
  <si>
    <t>Nash, SMB; Gross, J; Castrillon, J; Casa, MV; Luche, GD; Meager, J; Ghosh, R; Eggebo, J; Nizzetto, PB</t>
  </si>
  <si>
    <t>Nash, Susan M. Bengtson; Gross, Jasmin; Castrillon, Juliana; Casa, Maria Valeria; Luche, Greta Dalle; Meager, Justin; Ghosh, Ruma; Eggebo, June; Nizzetto, Pernilla Bohlin</t>
  </si>
  <si>
    <t>Antarctic sea-ice low resonates in the ecophysiology of humpback whales</t>
  </si>
  <si>
    <t>Persistent organic pollutants; Southern Ocean; Sea-ice ecosystem; Climate change; Sentinel; Biomonitoring</t>
  </si>
  <si>
    <t>BODY CONDITION; EUPHAUSIA-SUPERBA; BLUBBER; MORTALITY; MIGRATION; GROWTH; LIPIDS; MODEL; KRILL</t>
  </si>
  <si>
    <t>The past six years have been marked by some of the most dramatic climatic events observed in the Antarctic region in recent history, commencing with the 2017 sea-ice extreme low. The Humpback Whale Sentinel Programme is a circum-polar biomonitoring program for long term surveillance of the Antarctic sea-ice ecosystem. It has previously signalled the extreme La Nina event of 2010/11, and it was therefore of interest to assess the capacity of existing bio-monitoring measures under the program to detect the impacts of 2017 anomalous climatic events. Six ecophysiological markers of population adiposity, diet, and fecundity were targeted, as well as calf and juvenile mortality via stranding records. All indicators, with the exception of bulk stable isotope dietary tracers, indicated a negative trend in 2017, whilst C and N bulk stable isotopes appeared to indicate a lag phase resulting from the anomalous year. The collation of multiple biochemical, chemical, and observational lines of evidence via a single biomonitoring platform provides comprehensive information for evidence-led policy in the Antarctic and Southern Ocean region.</t>
  </si>
  <si>
    <t>[Nash, Susan M. Bengtson; Gross, Jasmin; Castrillon, Juliana; Casa, Maria Valeria; Luche, Greta Dalle; Ghosh, Ruma; Eggebo, June] Griffith Univ, Ctr Planetary Hlth &amp; Food Secur, Southern Ocean Persistent Organ Pollutants Program, Kessels Rd, Nathan, Qld 4111, Australia; [Meager, Justin] Queensland Dept Environm &amp; Sci, 41 Boggo Rd, Dutton Pk, Qld 4102, Australia; [Nizzetto, Pernilla Bohlin] NILU Norwegian Inst Air Res, N-2007 Kjeller, Norway</t>
  </si>
  <si>
    <t>Griffith University; NILU</t>
  </si>
  <si>
    <t>Nash, SMB (corresponding author), Griffith Univ, Ctr Planetary Hlth &amp; Food Secur, Southern Ocean Persistent Organ Pollutants Program, Kessels Rd, Nathan, Qld 4111, Australia.</t>
  </si>
  <si>
    <t>s.bengtsonnash@griffith.edu.au</t>
  </si>
  <si>
    <t>Bengtson Nash, Susan/I-3942-2015; Groß, Jasmin/AAZ-3662-2021</t>
  </si>
  <si>
    <t>Bengtson Nash, Susan/0000-0001-5928-0850; Groß, Jasmin/0000-0002-1078-043X</t>
  </si>
  <si>
    <t>Ocean Foundation Pacific Life</t>
  </si>
  <si>
    <t>This work was partially supported by an Ocean Foundation Pacific Life grant. The author team acknowledges the logistical and technical support provided by Griffith University boating and diving safety officer, Jody Krueger, as well as Moreton Bay Research Station staff. The field work volunteers that contribute their time each season, are equally thanked for their invaluable contribution. This work was conducted on the Sea Country of Quandamooka people.</t>
  </si>
  <si>
    <t>AUG 20</t>
  </si>
  <si>
    <t>10.1016/j.scitotenv.2023.164053</t>
  </si>
  <si>
    <t>I5IZ5</t>
  </si>
  <si>
    <t>WOS:001003129100001</t>
  </si>
  <si>
    <t>Tracey, SR; Pepperell, J; Wolfe, B</t>
  </si>
  <si>
    <t>Tracey, Sean R.; Pepperell, Julian; Wolfe, Barrett</t>
  </si>
  <si>
    <t>Post release survival of swordfish (Xiphias gladius) caught by a recreational fishery in temperate waters</t>
  </si>
  <si>
    <t>FISHERIES RESEARCH</t>
  </si>
  <si>
    <t>PSAT; Post-release mortality; Circle hook; Barotrauma; Sport fishing</t>
  </si>
  <si>
    <t>CATCH-AND-RELEASE; MARLIN MAKAIRA-NIGRICANS; PELAGIC LONGLINE GEAR; TUNA THUNNUS-THYNNUS; POSTRELEASE SURVIVAL; BLUEFIN TUNA; VERTICAL MOVEMENTS; CAPTURE STRESS; CIRCLE HOOKS; BLACK MARLIN</t>
  </si>
  <si>
    <t>Swordfish (Xiphias gladius) are large, economically and ecologically important predatory fish with a wide circumglobal distribution. While swordfish are coveted by anglers, development of recreational fisheries has been limited historically, due in part to the species' tendency to migrate into the mesopelagic zone during the day, effectively out of reach of typical game fishing methods. Recently, however, the adoption of 'deep-dropping', targeting swordfish during daytime with baits at &gt; 300 m depth, has expanded access to the fish and led to the emergence of new regional fisheries. In 2014 a deep-dropping recreational swordfish fishery emerged in temperate southeast Australia and attracted international attention after yielding several swordfish line-class weight records. However, information is needed to guide best practices for emerging deep-dropping swordfish fisheries. Here, we present the first assessment of capture-related morbidity and post-release survival of swordfish caught by deep-dropping in southeast Australia. Among swordfish assessed to be in suitable condition for release, affixed pop-up satellite archival tags indicated 85.6% (57.8 - 95.7%; n = 13) survived after release. Including swordfish assessed as moribund after attempted resuscitation as mortalities, the survival rate for landed swordfish was 44% (95% CI 25.1 - 64.8%; n = 25). Severe abdominal distension (a notably protruding abdomen presumably due to swim bladder overinflation) and observed internal hooking injury (in the gut or gill area) were strong predictors of reduced survival (odds ratios 0.008 and 0.015 respectively), while angling duration and fish weight did not have a discernible effect on mortality. While the swordfish fishery is superficially like more common istiophorid billfish game fishing, the unique physiology and behaviour of swordfish and depths at which they are targeted present a unique challenge for stewardship as the typical catch-and-release billfish game fishing ethos may not be appropriate. The results of this preliminary study suggest swordfish caught deep-dropping are a poor candidate for purely catch-and-release angling. Predictors of post-release mortality are readily observable, so fishers should be prepared to humanely dispatch fish exhibiting symptoms of injury from gill or gut hooking, or abdominal distension severe enough to prevent the fish from righting itself beyond a brief resuscitation period.</t>
  </si>
  <si>
    <t>[Tracey, Sean R.; Wolfe, Barrett] Univ Tasmania, Inst Marine &amp; Antarctic Studies, Private Bag 49, Hobart, Tas 7001, Australia; [Pepperell, Julian] Pepperell Res &amp; Consulting Pty Ltd, POB 1475, Noosaville Dc, Qld 4566, Australia</t>
  </si>
  <si>
    <t>Wolfe, Barrett William/W-3509-2019; Tracey, Sean/J-7446-2014</t>
  </si>
  <si>
    <t>Wolfe, Barrett William/0000-0002-9406-0578; Tracey, Sean/0000-0002-6735-5899</t>
  </si>
  <si>
    <t>University of Tasmania's Animal Ethics Committee [A0014679, A0017003]; Australian Government through the Fisheries Research and Development Corporation; Tasmanian Government; Fisheries Victoria-Recreational Fishing Grant; New South Wales Recreational Fishing Trust Grant; Game Fishing Association of Australia; TARFish; Tasmanian Recreational Fishing Community</t>
  </si>
  <si>
    <t>University of Tasmania's Animal Ethics Committee; Australian Government through the Fisheries Research and Development Corporation(Fisheries R&amp;D Corp); Tasmanian Government; Fisheries Victoria-Recreational Fishing Grant; New South Wales Recreational Fishing Trust Grant; Game Fishing Association of Australia; TARFish; Tasmanian Recreational Fishing Community</t>
  </si>
  <si>
    <t>This project has received extensive support from many groups, in particular the recreational fishing community. This study was conducted in accordance with the University of Tasmania's Animal Ethics Committee approval (A0014679 and A0017003) . The Australian Government through the Fisheries Research and Development Corporation, the Tasmanian Government, a Fisheries Victoria-Recreational Fishing Grant, a New South Wales Recreational Fishing Trust Grant, the Game Fishing Association of Australia, TARFish and the Tasmanian Recreational Fishing Community via a raffle provided funding for this study. The Latrobe Valley Game Fishing Club also donated a satellite tag to the project.</t>
  </si>
  <si>
    <t>0165-7836</t>
  </si>
  <si>
    <t>1872-6763</t>
  </si>
  <si>
    <t>FISH RES</t>
  </si>
  <si>
    <t>Fish Res.</t>
  </si>
  <si>
    <t>10.1016/j.fishres.2023.106742</t>
  </si>
  <si>
    <t>I4HA7</t>
  </si>
  <si>
    <t>WOS:001002394500001</t>
  </si>
  <si>
    <t>Lloyd, KJ; Oosthuizen, WC; Rotella, JJ; Bester, MN; de Bruyn, PJN</t>
  </si>
  <si>
    <t>Lloyd, Kyle J.; Oosthuizen, W. Chris; Rotella, Jay J.; Bester, Marthan N.; de Bruyn, P. J. Nico</t>
  </si>
  <si>
    <t>Density-related reproductive costs and natal conditions predict male life history in a highly polygynous mammal</t>
  </si>
  <si>
    <t>ANIMAL BEHAVIOUR</t>
  </si>
  <si>
    <t>breeding improvement; cohort size; competition intensity; cumulative reproductive cost; Marion Island; recruitment age; senescence; southern elephant seal; trade-off hypothesis</t>
  </si>
  <si>
    <t>SOUTHERN ELEPHANT SEALS; MIROUNGA-LEONINA; BREEDING SUCCESS; COHORT VARIATION; POPULATION-DENSITY; OFFSPRING QUALITY; SPERM COMPETITION; SEX-DIFFERENCES; MARION ISLAND; SURVIVAL</t>
  </si>
  <si>
    <t>Polygynous males allocate substantial resources to sexual traits and behaviours to improve their chances of winning competitions for mates often at the cost of body maintenance. However, the degree to which males experience these trade-offs can be influenced by external conditions. Studies are needed that assess whether polygynous male resource allocation decisions about life history traits are density dependent. We tested for an influence of density on age-specific life history traits in male southern elephant seals, Mirounga leonina, using a 34-year data set collected at Marion Island. Specifically, we determine whether life history varied with density-related factors for survival, improved breeding success (measured as social status) and recruitment age. This was done by selecting linear models that tested biological hypotheses about density-dependent covariates related to competition intensity during breeding and natal conditions, while accounting for known intrinsic effects such as age and social status. Baseline mortalities were higher for males that had accumulated above average reproductive costs for their age than males with below average costs. This reproductive cost was determined by the number of females per harem relative to the population average. Thus, males likely allocated more resources to reproduction and less to body maintenance at all ages when defending and servicing relatively large harems, and this cost was compounding for males that dominated large harems at a young age. Males born in years with few pups were more likely to be dominant breeders and recruit at an earlier age than males born in years with many pups. Thus, breeding success and recruitment age likely depended on the population density experienced during early life, suggesting lasting effects of natal conditions in a long-lived animal. We show how density-dependent factors interact with intrinsic determinants of resource allocation to determine variation in polygynous male life history with long-term consequences.(c) 2023 The Author(s). Published by Elsevier Ltd on behalf of The Association for the Study of Animal Behaviour. This is an open access article under the CC BY license (http://creativecommons.org/licenses/ by/4.0/).</t>
  </si>
  <si>
    <t>[Lloyd, Kyle J.; Oosthuizen, W. Chris; Bester, Marthan N.; de Bruyn, P. J. Nico] Univ Pretoria, Mammal Res Inst, Dept Zool &amp; Entomol, Pretoria, South Africa; [Rotella, Jay J.] Montana State Univ, Dept Ecol, Bozeman, MT USA; [Lloyd, Kyle J.] BirdLife South Africa, Landscape Conservat Programme, Johannesburg, South Africa; [Lloyd, Kyle J.] Univ Free State, Dept Zool &amp; Entomol, Phuthaditjhaba, South Africa; [Lloyd, Kyle J.; Oosthuizen, W. Chris] Univ Cape Town, Ctr Stat Ecol Environm &amp; Conservat, Dept Stat Sci, Cape Town, South Africa</t>
  </si>
  <si>
    <t>University of Pretoria; Montana State University System; Montana State University Bozeman; University of the Free State; University of Cape Town</t>
  </si>
  <si>
    <t>Lloyd, KJ (corresponding author), Univ Pretoria, Mammal Res Inst, Dept Zool &amp; Entomol, Pretoria, South Africa.;Lloyd, KJ (corresponding author), BirdLife South Africa, Landscape Conservat Programme, Johannesburg, South Africa.;Lloyd, KJ (corresponding author), Univ Free State, Dept Zool &amp; Entomol, Phuthaditjhaba, South Africa.;Lloyd, KJ (corresponding author), Univ Cape Town, Ctr Stat Ecol Environm &amp; Conservat, Dept Stat Sci, Cape Town, South Africa.</t>
  </si>
  <si>
    <t>kyle.john.lloyd@gmail.com</t>
  </si>
  <si>
    <t>de Bruyn, P. J. Nico/E-4176-2010; Lloyd, Kyle J./AAW-2810-2021; Oosthuizen, W. Chris/I-2947-2016</t>
  </si>
  <si>
    <t>de Bruyn, P. J. Nico/0000-0002-9114-9569; Lloyd, Kyle J./0000-0001-8668-1449; Oosthuizen, W. Chris/0000-0003-2905-6297; Rotella, Jay/0000-0001-7014-7524</t>
  </si>
  <si>
    <t>National Research Foundation (South African Department of Science and Innovation); FILAMO Mobility Grant (University of Bergen); Postgraduate Study Abroad Bursary Programme (University of Pretoria)</t>
  </si>
  <si>
    <t>We thank the Marion Island Sealers (1983-2016) for continued data collection, the Weddell Seal Science research group for hosting the lead author, Jim and Kim Keena for making their home available during the lab visit, and Roxanne Lloyd for assistance with reference formatting and support. We are grateful for the comments of the editors and two anonymous referees. Funding was obtained from the National Research Foundation (South African Department of Science and Innovation) , FILAMO Mobility Grant (University of Bergen) and Postgraduate Study Abroad Bursary Programme (University of Pretoria) . The conclusions drawn and discussed are attributed to the authors and not necessarily to the funders. The South African Department of Forestry, Fisheries and the Environment provided logistical support for ongoing fieldwork at Marion Island, through the South African National Antarctic Programme.</t>
  </si>
  <si>
    <t>0003-3472</t>
  </si>
  <si>
    <t>1095-8282</t>
  </si>
  <si>
    <t>ANIM BEHAV</t>
  </si>
  <si>
    <t>Anim. Behav.</t>
  </si>
  <si>
    <t>10.1016/j.anbehav.2023.03.006</t>
  </si>
  <si>
    <t>Behavioral Sciences; Zoology</t>
  </si>
  <si>
    <t>I3OU3</t>
  </si>
  <si>
    <t>WOS:001001913800001</t>
  </si>
  <si>
    <t>Dutta, A; Connors, E; Trinh, R; Erazo, N; Dasarathy, S; Ducklow, HW; Steinberg, DK; Schofield, OM; Bowman, JS</t>
  </si>
  <si>
    <t>Dutta, Avishek; Connors, Elizabeth; Trinh, Rebecca; Erazo, Natalia; Dasarathy, Srishti; Ducklow, Hugh W. W.; Steinberg, Deborah K. K.; Schofield, Oscar M. M.; Bowman, Jeff S. S.</t>
  </si>
  <si>
    <t>Depth drives the distribution of microbial ecological functions in the coastal western Antarctic Peninsula</t>
  </si>
  <si>
    <t>metagenomics; Antarctic microbiome; Palmer LTER; metagenome-assembled genomes (MAGs); microbial community function</t>
  </si>
  <si>
    <t>SUMMER BACTERIOPLANKTON; CARBON FIXATION; GENOME; COMMUNITY; BACTERIA; WINTER; ECOSYSTEM; QUALITY; DARK; TOOL</t>
  </si>
  <si>
    <t>The Antarctic marine environment is a dynamic ecosystem where microorganisms play an important role in key biogeochemical cycles. Despite the role that microbes play in this ecosystem, little is known about the genetic and metabolic diversity of Antarctic marine microbes. In this study we leveraged DNA samples collected by the Palmer Long Term Ecological Research (LTER) project to sequence shotgun metagenomes of 48 key samples collected across the marine ecosystem of the western Antarctic Peninsula (wAP). We developed an in silico metagenomics pipeline (iMAGine) for processing metagenomic data and constructing metagenome-assembled genomes (MAGs), identifying a diverse genomic repertoire related to the carbon, sulfur, and nitrogen cycles. A novel analytical approach based on gene coverage was used to understand the differences in microbial community functions across depth and region. Our results showed that microbial community functions were partitioned based on depth. Bacterial members harbored diverse genes for carbohydrate transformation, indicating the availability of processes to convert complex carbons into simpler bioavailable forms. We generated 137 dereplicated MAGs giving us a new perspective on the role of prokaryotes in the coastal wAP. In particular, the presence of mixotrophic prokaryotes capable of autotrophic and heterotrophic lifestyles indicated a metabolically flexible community, which we hypothesize enables survival under rapidly changing conditions. Overall, the study identified key microbial community functions and created a valuable sequence library collection for future Antarctic genomics research.</t>
  </si>
  <si>
    <t>[Dutta, Avishek; Connors, Elizabeth; Erazo, Natalia; Dasarathy, Srishti; Bowman, Jeff S. S.] Univ Calif San Diego, Scripps Inst Oceanog, Integrat Oceanog Div, La Jolla, CA 92093 USA; [Dutta, Avishek] Univ Georgia, Dept Geol, Athens, GA 30602 USA; [Dutta, Avishek] Univ Georgia, Savannah River Ecol Lab, Aiken, SC 29801 USA; [Trinh, Rebecca; Ducklow, Hugh W. W.] Columbia Univ, Lamont Doherty Earth Observ, Dept Earth &amp; Environm Sci, Palisades, NY USA; [Steinberg, Deborah K. K.] Virginia Inst Marine Sci, Coll William &amp; Mary, Dept Biol Sci, Gloucester Point, VA USA; [Schofield, Oscar M. M.] Rutgers State Univ, Dept Marine &amp; Coastal Sci, New Brunswick, NJ USA; [Bowman, Jeff S. S.] Univ Calif San Diego, Ctr Microbiome Innovat, La Jolla, CA USA</t>
  </si>
  <si>
    <t>University of California System; University of California San Diego; Scripps Institution of Oceanography; University System of Georgia; University of Georgia; University System of Georgia; University of Georgia; United States Department of Energy (DOE); Savannah River Ecology Laboratory; Columbia University; William &amp; Mary; Virginia Institute of Marine Science; Rutgers University System; Rutgers University New Brunswick; University of California System; University of California San Diego</t>
  </si>
  <si>
    <t>Dutta, A (corresponding author), Univ Calif San Diego, Scripps Inst Oceanog, Integrat Oceanog Div, La Jolla, CA 92093 USA.;Dutta, A (corresponding author), Univ Georgia, Dept Geol, Athens, GA 30602 USA.;Dutta, A (corresponding author), Univ Georgia, Savannah River Ecol Lab, Aiken, SC 29801 USA.</t>
  </si>
  <si>
    <t>avishek.dutta@uga.edu</t>
  </si>
  <si>
    <t>Trinh, Rebecca/IVH-2474-2023; Schofield, Oscar/H-4169-2018</t>
  </si>
  <si>
    <t>Trinh, Rebecca/0000-0003-4966-8928; Schofield, Oscar/0000-0003-2359-4131; Erazo, Natalia/0000-0002-7498-0860; Dutta, Avishek/0000-0002-4341-3548; Connors, Elizabeth/0000-0002-4992-4218; Steinberg, Deborah K./0000-0001-9884-4655; Bowman, Jeff/0000-0002-8811-6280</t>
  </si>
  <si>
    <t>NSF</t>
  </si>
  <si>
    <t>This work was funded by NSF-OPP 1846837 to JB, NSF-OPP 1440435 to HD, and NSF-OPP 2023425 to OS. JB was partly supported by the Simons Foundation Early Career Marine Microbial Ecology and Evolution fellowship. NE was funded through a SENESCYT graduate fellowship. This publication includes data generated at the UC San Diego IGM Genomics Center utilizing an Illumina NovaSeq 6000 that was purchased with funding from a National Institutes of Health SIG grant (#S10 OD026929).</t>
  </si>
  <si>
    <t>MAY 18</t>
  </si>
  <si>
    <t>10.3389/fmicb.2023.1168507</t>
  </si>
  <si>
    <t>H8KU4</t>
  </si>
  <si>
    <t>WOS:000998393200001</t>
  </si>
  <si>
    <t>Gales, JA; McKay, RM; De Santis, L; Rebesco, M; Laberg, JS; Shevenell, AE; Harwood, D; Leckie, RM; Kulhanek, DK; King, M; Patterson, M; Lucchi, RG; Kim, S; Kim, S; Dodd, J; Seidenstein, J; Prunella, C; Ferrante, GM</t>
  </si>
  <si>
    <t>Gales, Jenny A.; McKay, Robert M.; De Santis, Laura; Rebesco, Michele; Laberg, Jan Sverre; Shevenell, Amelia E.; Harwood, David; Leckie, R. Mark; Kulhanek, Denise K.; King, Maxine; Patterson, Molly; Lucchi, Renata G.; Kim, Sookwan; Kim, Sunghan; Dodd, Justin; Seidenstein, Julia; Prunella, Catherine; Ferrante, Giulia</t>
  </si>
  <si>
    <t>IODP Expedition 374 Scientists</t>
  </si>
  <si>
    <t>Climate-controlled submarine landslides on the Antarctic continental margin</t>
  </si>
  <si>
    <t>ICE-SHEET SENSITIVITY; DEBRIS FLOW DEPOSITS; ROSS SEA; SLOPE STABILITY; PLIOCENE; TSUNAMI; WEST; CONTOURITES; PENINSULA; LEVEL</t>
  </si>
  <si>
    <t>Changes in climate preconditioned large-scale, recurrent Miocene to Pleistocene Antarctic submarine landslides through variations in biological productivity, ice proximity and ocean circulation, posing tsunami risk to Southern Hemisphere populations. Antarctica's continental margins pose an unknown submarine landslide-generated tsunami risk to Southern Hemisphere populations and infrastructure. Understanding the factors driving slope failure is essential to assessing future geohazards. Here, we present a multidisciplinary study of a major submarine landslide complex along the eastern Ross Sea continental slope (Antarctica) that identifies preconditioning factors and failure mechanisms. Weak layers, identified beneath three submarine landslides, consist of distinct packages of interbedded Miocene- to Pliocene-age diatom oozes and glaciomarine diamicts. The observed lithological differences, which arise from glacial to interglacial variations in biological productivity, ice proximity, and ocean circulation, caused changes in sediment deposition that inherently preconditioned slope failure. These recurrent Antarctic submarine landslides were likely triggered by seismicity associated with glacioisostatic readjustment, leading to failure within the preconditioned weak layers. Ongoing climate warming and ice retreat may increase regional glacioisostatic seismicity, triggering Antarctic submarine landslides.</t>
  </si>
  <si>
    <t>[Gales, Jenny A.; King, Maxine] Univ Plymouth, Sch Biol &amp; Marine Sci, Plymouth, Devon, England; [McKay, Robert M.] Victoria Univ Wellington, Antarctic Res Ctr, Wellington, New Zealand; [De Santis, Laura; Rebesco, Michele; Lucchi, Renata G.; Ferrante, Giulia] Natl Inst Oceanog &amp; Appl Geophys OGS, Trieste, Italy; [Laberg, Jan Sverre; Lucchi, Renata G.] UIT Arctic Univ Norway, Dept Geosci, Tromso, Norway; [Shevenell, Amelia E.; Prunella, Catherine] Univ S Florida, Coll Marine Sci, St Petersburg, FL USA; [Harwood, David] Univ Nebraska, Earth &amp; Atmospher Sci, Lincoln, NE USA; [Leckie, R. Mark; Seidenstein, Julia] Univ Massachusetts, Dept Earth Geog &amp; Climate Sci, Amherst, MA USA; [Kulhanek, Denise K.] Christian Albrechts Univ Kiel, Inst Geosci, Kiel, Germany; [Kulhanek, Denise K.; Patterson, Molly] SUNY Binghamton, Dept Earth Sci, Binghamton, NY USA; [Kim, Sookwan] Korea Inst Ocean Sci &amp; Technol, Ocean Climate Response &amp; Ecosyst Res Dept, Busan, South Korea; [Kim, Sunghan] Korea Polar Res Inst, Div Glacial Environm Res, Incheon, South Korea; [Dodd, Justin] Northern Illinois Univ, Dept Earth Atmosphere &amp; Environm, De Kalb, IL USA; [Seidenstein, Julia] US Geol Survey, Florence Bascom Geosci Ctr, Natl Ctr, Reston, VA USA; [Prunella, Catherine] Natl Sci Fdn, Alexandria, VA USA</t>
  </si>
  <si>
    <t>University of Plymouth; Victoria University Wellington; Istituto Nazionale di Oceanografia e di Geofisica Sperimentale; UiT The Arctic University of Tromso; State University System of Florida; University of South Florida; University of Nebraska System; University of Nebraska Lincoln; University of Massachusetts System; University of Massachusetts Amherst; University of Kiel; State University of New York (SUNY) System; State University of New York (SUNY) Binghamton; Korea Institute of Ocean Science &amp; Technology (KIOST); Korea Polar Research Institute (KOPRI); Northern Illinois University; United States Department of the Interior; United States Geological Survey; National Science Foundation (NSF)</t>
  </si>
  <si>
    <t>Gales, JA (corresponding author), Univ Plymouth, Sch Biol &amp; Marine Sci, Plymouth, Devon, England.</t>
  </si>
  <si>
    <t>jenny.gales@plymouth.ac.uk</t>
  </si>
  <si>
    <t>Kim, Sookwan/0000-0001-9960-2295; Lucchi, Renata Giulia/0000-0001-5111-6968; De Santis, Laura/0000-0002-7752-7754; Gales, Jenny/0000-0003-4402-5800; Patterso, Molly/0000-0002-5058-9269; Ferrante, Giulia Matilde/0000-0001-7381-2825; Kulhanek, Denise/0000-0002-2156-6383</t>
  </si>
  <si>
    <t>US National Science Foundation (NSF) - Natural Environmental Research Council [NE/R018189/1]; EUROFLEETS funding programme (ANTSSS) - Royal Society Te Aparangi Marsden Fund [18-VUW-089]; New Zealand Ministry of Business, Innovation and Employment through the Antarctic Science Platform [ANTA1801, PNRA16_00205 ODYSSEA, PNRA16 00016~WHISPERS]; IODP JOIDES Resolution Science Operator and National Science Foundation [OCE-1326927, 2000995]; United States Science Support Program (USSSP); National Science Foundation (OPP AES) [1947558, 1947646, 1947657]; European Consortium for Ocean Research Drilling; Research Council of Norway</t>
  </si>
  <si>
    <t>US National Science Foundation (NSF) - Natural Environmental Research Council; EUROFLEETS funding programme (ANTSSS) - Royal Society Te Aparangi Marsden Fund; New Zealand Ministry of Business, Innovation and Employment through the Antarctic Science Platform(New Zealand Ministry of Business, Innovation and Employment (MBIE)); IODP JOIDES Resolution Science Operator and National Science Foundation; United States Science Support Program (USSSP); National Science Foundation (OPP AES)(National Science Foundation (NSF)); European Consortium for Ocean Research Drilling; Research Council of Norway(Research Council of Norway)</t>
  </si>
  <si>
    <t>This research used data and samples provided by the International Ocean Discovery Program (IODP), which is sponsored by the US National Science Foundation (NSF) and participating countries. J.G. was funded by Natural Environmental Research Council Grant (NE/R018189/1) and EUROFLEETS funding programme (ANTSSS). R.M. was funded by Royal Society Te Aparangi Marsden Fund (18-VUW-089) and the New Zealand Ministry of Business, Innovation and Employment through the Antarctic Science Platform (ANTA1801). L.D.S. and M.R. were funded by National Antarctic Research Program PNRA16_00205 ODYSSEA, PNRA16 00016 WHISPERS. D.K.K. was supported by the IODP JOIDES Resolution Science Operator and National Science Foundation (grant numbers OCE-#1326927 and OPP-#2000995). D.H., R.M.L., M.P., A.E.S., and J.D. acknowledge support from the United States Science Support Program (USSSP). M.L., A.E.S., and J.D. were supported by the National Science Foundation (OPP AES#1947558 (R.M.L.); OPP AES #1947646 (A.E.S.); OPP AES-#1947657 (J.D.)). J.G., J.S.L. and L.D.S. acknowledge the support from European Consortium for Ocean Research Drilling and the Research Council of Norway (J.S.L.) for allowing participation on Expedition 374 and the post-cruise work.</t>
  </si>
  <si>
    <t>10.1038/s41467-023-38240-y</t>
  </si>
  <si>
    <t>H3VW3</t>
  </si>
  <si>
    <t>WOS:000995287300003</t>
  </si>
  <si>
    <t>Cox, SC; Lyttle, BS; Elkind, S; Siddoway, CS; Morin, P; Capponi, G; Abu-Alam, T; Ballinger, M; Bamber, L; Kitchener, B; Lelli, L; Mawson, J; Millikin, A; Dal Seno, N; Whitburn, L; White, T; Burton-Johnson, A; Crispini, L; Elliot, D; Elvevold, S; Goodge, J; Halpin, J; Jacobs, J; Martin, AP; Mikhalsky, E; Morgan, F; Scadden, P; Smellie, J; Wilson, G</t>
  </si>
  <si>
    <t>Cox, Simon C.; Lyttle, Belinda Smith; Elkind, Samuel; Siddoway, Christine Smith; Morin, Paul; Capponi, Giovanni; Abu-Alam, Tamer; Ballinger, Matilda; Bamber, Lauren; Kitchener, Brett; Lelli, Luigi; Mawson, Jasmine; Millikin, Alexie; Dal Seno, Nicola; Whitburn, Louis; White, Tristan; Burton-Johnson, Alex; Crispini, Laura; Elliot, David; Elvevold, Synnove; Goodge, John; Halpin, Jacqueline; Jacobs, Joachim; Martin, Adam P.; Mikhalsky, Eugene; Morgan, Fraser; Scadden, Phil; Smellie, John; Wilson, Gary</t>
  </si>
  <si>
    <t>A continent-wide detailed geological map dataset of Antarctica</t>
  </si>
  <si>
    <t>SOUTH SHETLAND ISLANDS; MCMURDO DRY VALLEYS; VICTORIA LAND; RIFT SYSTEM; SEA; MELTWATER; EASTERN; MODEL</t>
  </si>
  <si>
    <t>A dataset to describe exposed bedrock and surficial geology of Antarctica has been constructed by the GeoMAP Action Group of the Scientific Committee on Antarctic Research (SCAR) and GNS Science. Our group captured existing geological map data into a geographic information system (GIS), refined its spatial reliability, harmonised classification, and improved representation of glacial sequences and geomorphology, thereby creating a comprehensive and coherent representation of Antarctic geology. A total of 99,080 polygons were unified for depicting geology at 1:250,000 scale, but locally there are some areas with higher spatial resolution. Geological unit definition is based on a mixed chronostratigraphic- and lithostratigraphic-based classification. Description of rock and moraine polygons employs the international Geoscience Markup Language (GeoSciML) data protocols to provide attribute-rich and queryable information, including bibliographic links to 589 source maps and scientific literature. GeoMAP is the first detailed geological map dataset covering all of Antarctica. It depicts 'known geology' of rock exposures rather than 'interpreted' sub-ice features and is suitable for continent-wide perspectives and cross-discipline interrogation.</t>
  </si>
  <si>
    <t>[Cox, Simon C.; Lyttle, Belinda Smith; Martin, Adam P.; Scadden, Phil] GNS Sci, Private Bag 1930, Dunedin 9054, New Zealand; [Elkind, Samuel; Siddoway, Christine Smith; Millikin, Alexie; White, Tristan] Colorado Coll, Dept Geol, Colorado Springs, CO 80903 USA; [Morin, Paul] Univ Minnesota, Polar Geospatial Ctr, St Paul, MN 55108 USA; [Capponi, Giovanni; Lelli, Luigi; Dal Seno, Nicola; Crispini, Laura] Univ Genoa, DISTAV, Corso Europa 26, I-16132 Genoa, Italy; [Abu-Alam, Tamer; Elvevold, Synnove] Norwegian Polar Res Inst, POB 6606 Stakkevollan, N-9296 Tromso, Norway; [Ballinger, Matilda; Kitchener, Brett; Halpin, Jacqueline] Univ Tasmania, Inst Marine &amp; Antarctic Studies, Private Bag 129, Hobart, Tas 7001, Australia; [Bamber, Lauren] Univ Edinburgh, Old Coll, South Bridge, Edinburgh EH8 9YL, Scotland; [Mawson, Jasmine; Whitburn, Louis] Univ Otago, POB 56, Dunedin 9054, New Zealand; [Burton-Johnson, Alex] British Antarctic Survey, High Cross,Madingley Rd, Cambridge CB3 0ET, England; [Elliot, David] Ohio State Univ, 125 South Oval Mall, Columbus, OH 43210 USA; [Goodge, John] Univ Minnesota Duluth, Dept Earth &amp; Environm Sci, Duluth, MN 55812 USA; [Jacobs, Joachim] Univ Bergen, POB 7803, NO-5020 Bergen, Norway; [Mikhalsky, Eugene] Gramberg Inst Geol &amp; Mineral Resources World Ocea, Angliiskii pr 1, St Petersburg 190121, Russia; [Morgan, Fraser] Manaaki Whenua Landcare Res, Private Bag 92170, Auckland 1142, New Zealand; [Smellie, John] Univ Leicester, Univ Rd, Leicester LE17RH, England; [Wilson, Gary] GNS Sci, POB 30368, Lower Hutt 5040, New Zealand; [Abu-Alam, Tamer] UiT Arctic Univ Norway, Dept Arctic &amp; Marine Biol, POB 6050 Langnes, N-9037 Tromso, Norway; [Bamber, Lauren] Great Boulder Resources, 51 Colin St, Perth, WA 6005, Australia</t>
  </si>
  <si>
    <t>GNS Science - New Zealand; Colorado College; University of Minnesota System; University of Minnesota Twin Cities; University of Genoa; Norwegian Polar Institute; University of Tasmania; University of Edinburgh; University of Otago; UK Research &amp; Innovation (UKRI); Natural Environment Research Council (NERC); NERC British Antarctic Survey; University System of Ohio; Ohio State University; University of Minnesota System; University of Minnesota Twin Cities; University of Minnesota Hospital; University of Minnesota Duluth; University of Bergen; Landcare Research - New Zealand; University of Leicester; GNS Science - New Zealand; UiT The Arctic University of Tromso</t>
  </si>
  <si>
    <t>Cox, SC (corresponding author), GNS Sci, Private Bag 1930, Dunedin 9054, New Zealand.</t>
  </si>
  <si>
    <t>s.cox@gns.cri.nz</t>
  </si>
  <si>
    <t>Crispini, Laura/N-1580-2019; Abu-Alam, Tamer/U-1113-2017</t>
  </si>
  <si>
    <t>Crispini, Laura/0000-0001-5770-8569; Cox, Simon C./0000-0001-5899-8035; Martin, A. P./0000-0002-4676-8344; Dal Seno, Nicola/0000-0002-3609-565X; Siddoway, Christine Smith/0000-0003-0478-6138; Abu-Alam, Tamer/0000-0001-6020-365X</t>
  </si>
  <si>
    <t>New Zealand Government's Strategic Science Investment Fund [C05X1701, MBIE CO9X1413]; GNS Science for GeoMAP; New Zealand Government's Strategic Science Investment Fund [C05X1701]; Ross Sea Region Terrestrial Data Analysis programme [MBIE CO9X1413]; Scientific Committee on Antarctic Research (SCAR); New Zealand Antarctic Research Institute (NZARI); Witter Family Fund (Colorado College, USA)</t>
  </si>
  <si>
    <t>New Zealand Government's Strategic Science Investment Fund; GNS Science for GeoMAP; New Zealand Government's Strategic Science Investment Fund; Ross Sea Region Terrestrial Data Analysis programme; Scientific Committee on Antarctic Research (SCAR); New Zealand Antarctic Research Institute (NZARI); Witter Family Fund (Colorado College, USA)</t>
  </si>
  <si>
    <t>The main contribution of GNS Science for GeoMAP was funded as part of the Regional Geological Map Archive and Datafile, one of the Nationally Significant Collections and Databases supported by the New Zealand Government's Strategic Science Investment Fund (contract C05X1701). A subcontract to the Ross Sea Region Terrestrial Data Analysis programme (MBIE CO9X1413 to Manaaki Whenua Landcare Research) promoted the completion of data in Victoria Land and Transantarctic Mountains. The Scientific Committee on Antarctic Research (SCAR), New Zealand Antarctic Research Institute (NZARI) and the Witter Family Fund (Colorado College, USA) provided additional funding which enabled student support, travel scholarships and conference attendance. Scientific and technical advice, or other critical support, was provided by: Jo Whittaker, Matthew Cracknell, Oliver Raymond and Chris Carson (Australia); Andreas Laeufer (Germany); Naresh Pant and Shridhar Jawak (India); Carlo Alberto Ricci and Carlo Baroni (Italy); Hosung Chung and Jusun Woo (South Korea); Bryan Storey, Cliff Atkins, Richard Levy, Pierre Roudier, David Heron, Mark Rattenbury and Luke Easterbrook-Clarke (New Zealand); Kenichi Matsuoka (Norway); Geoffrey Grantham (South Africa); Jesus Galindo-Zaldivar and Jeronimo Lopez-Martinez (Spain); Rosemary Nash and Eoghan Griffin (United Kingdom); W. Berry Lyons and Claire Porter (USA).</t>
  </si>
  <si>
    <t>10.1038/s41597-023-02152-9</t>
  </si>
  <si>
    <t>G9RS0</t>
  </si>
  <si>
    <t>WOS:000992447400003</t>
  </si>
  <si>
    <t>Malinka, AV; Korol, MM; Alekseev, IA; Basylevich, VA; Kalevich, AI; Pescherenkov, VA; Dick, VP</t>
  </si>
  <si>
    <t>Malinka, A. V.; Korol, M. M.; Alekseev, I. A.; Basylevich, V. A.; Kalevich, A. I.; Pescherenkov, V. A.; Dick, V. P.</t>
  </si>
  <si>
    <t>Model of Antarctica Coast Aerosol According to Measurements Near Mount Vechernyaya</t>
  </si>
  <si>
    <t>JOURNAL OF APPLIED SPECTROSCOPY</t>
  </si>
  <si>
    <t>aerosol; Antarctica; AERONET; Mount Vechernyaya</t>
  </si>
  <si>
    <t>Results of processing data measuring the characteristics of the Antarctic aerosol for the entire observation period from 2008 to 2022 by the Belarusian Antarctic Expedition at the Vechernaya_Hill AERONET station are presented. The Vechernyaya aerosol model was formed, is a typical aerosol for the coast of Antarctica near Mount Vechernyaya, differs significantly from models of Antarctic coastal aerosol proposed in the literature, and can be used in various applications, in particular, in atmospheric correction of satellite data.</t>
  </si>
  <si>
    <t>[Malinka, A. V.; Korol, M. M.; Alekseev, I. A.; Basylevich, V. A.; Kalevich, A. I.; Pescherenkov, V. A.; Dick, V. P.] Natl Acad Sci Belarus, Inst Phys, Minsk, BELARUS</t>
  </si>
  <si>
    <t>National Academy of Sciences of Belarus (NASB); B.I. Stepanov Institute of Physics of the National Academy of Sciences of Belarus</t>
  </si>
  <si>
    <t>Malinka, AV (corresponding author), Natl Acad Sci Belarus, Inst Phys, Minsk, BELARUS.</t>
  </si>
  <si>
    <t>a.malinka@ifanbel.bas-net.by</t>
  </si>
  <si>
    <t>0021-9037</t>
  </si>
  <si>
    <t>1573-8647</t>
  </si>
  <si>
    <t>J APPL SPECTROSC+</t>
  </si>
  <si>
    <t>J. Appl. Spectrosc.</t>
  </si>
  <si>
    <t>10.1007/s10812-023-01546-2</t>
  </si>
  <si>
    <t>H0CE4</t>
  </si>
  <si>
    <t>WOS:000989852100003</t>
  </si>
  <si>
    <t>Shick, SRA; Elrod, ML; Schmidt, A; Kraberger, S; Ainley, DG; Ballard, G; Varsani, A</t>
  </si>
  <si>
    <t>Shick, Sarah R. A.; Elrod, Megan L. L.; Schmidt, Annie; Kraberger, Simona; Ainley, David G. G.; Ballard, Grant; Varsani, Arvind</t>
  </si>
  <si>
    <t>Genomes of Single-Stranded DNA Viruses in a Fecal Sample from South Polar Skua (Stercorarius maccormicki) on Ross Island, Antarctica</t>
  </si>
  <si>
    <t>SPIROPLASMA VIRUS; SPV4; SEQUENCE</t>
  </si>
  <si>
    <t>South polar skuas migrate from subtropical regions to breed along coastal Antarctica. In a fecal sample collected on Ross Island, Antarctica, we identified 20 diverse microviruses (Microviridae) that share low levels of similarity to currently known microviruses; 6 appear to use a Mycoplasma/Spiroplasma codon translation table. South polar skuas migrate from subtropical regions to breed along coastal Antarctica. In a fecal sample collected on Ross Island, Antarctica, we identified 20 diverse microviruses (Microviridae) that share low levels of similarity to currently known microviruses; 6 appear to use a Mycoplasma/Spiroplasma codon translation table.</t>
  </si>
  <si>
    <t>[Shick, Sarah R. A.; Kraberger, Simona; Varsani, Arvind] Arizona State Univ, Biodesign Ctr Fundamental &amp; Appl Microbi, Ctr Evolut &amp; Med, Sch Life Sci, Tempe, AZ 85281 USA; [Elrod, Megan L. L.; Schmidt, Annie; Ballard, Grant] Point Blue Conservat Sci, Petaluma, CA USA; [Ainley, David G. G.] HT Harvey &amp; Associates, Los Gatos, CA USA; [Varsani, Arvind] Univ Cape Town, Dept Integrat Biomed Sci, Struct Biol Res Unit, Cape Town, South Africa</t>
  </si>
  <si>
    <t>Arizona State University; Arizona State University-Tempe; University of Cape Town</t>
  </si>
  <si>
    <t>Varsani, A (corresponding author), Arizona State Univ, Biodesign Ctr Fundamental &amp; Appl Microbi, Ctr Evolut &amp; Med, Sch Life Sci, Tempe, AZ 85281 USA.;Varsani, A (corresponding author), Univ Cape Town, Dept Integrat Biomed Sci, Struct Biol Res Unit, Cape Town, South Africa.</t>
  </si>
  <si>
    <t>arvind.varsani@asu.edu</t>
  </si>
  <si>
    <t>Varsani, Arvind/JOZ-5299-2023</t>
  </si>
  <si>
    <t>Varsani, Arvind/0000-0003-4111-2415; Schmidt, Annie/0000-0001-6144-9950</t>
  </si>
  <si>
    <t>NSF [ANT 0944411, ANT 944141]</t>
  </si>
  <si>
    <t>The skua fecal sample was collected under Antarctic Conservation Act permit number 2006-010 from the NSF through H. T. Harvey and Associates. Field work was funded under NSF grants ANT 0944411 and ANT 944141, with logistics provided by the U.S. Antarctic Program.</t>
  </si>
  <si>
    <t>10.1128/mra.00299-23</t>
  </si>
  <si>
    <t>WOS:000990248500001</t>
  </si>
  <si>
    <t>Bond, AMH; Frey, MM; Kaiser, J; Kleffmann, J; Jones, AE; Squires, FA</t>
  </si>
  <si>
    <t>Bond, Amelia M. H.; Frey, Markus M.; Kaiser, Jan; Kleffmann, Jorg; Jones, Anna E.; Squires, Freya A.</t>
  </si>
  <si>
    <t>Snowpack nitrate photolysis drives the summertime atmospheric nitrous acid (HONO) budget in coastal Antarctica</t>
  </si>
  <si>
    <t>BOUNDARY-LAYER HALOGENS; PHOTOCHEMICAL PRODUCTION; SOUTH-POLE; ORGANIC-CARBON; QUANTUM YIELDS; NOX; CHEMISTRY; ICE; OH; GREENLAND</t>
  </si>
  <si>
    <t>Measurements of atmospheric nitrous acid (HONO) amount fraction and flux density above snow were carried out using a long-path absorption photometer at Halley station in coastal Antarctica between 22 January and 3 February 2022. The mean +/- 1 sigma HONO amount fraction was (2.1 +/- 1.5) pmolmol(-1) and showed a diurnal cycle (range of 1.0-3.2 pmolmol(-1)) with a maximum at solar noon. These HONO amount fractions are generally lower than have been observed at other Antarctic locations. The flux density of HONO from the snow, measured between 31 January and 1 February 2022, was between 0.5 and 3.4 x 10(12) m(-2)s(-1) and showed a decrease during the night. The measured flux density is close to the calculated HONO production rate from photolysis of nitrate present in the snow. A simple box model of HONO sources and sinks showed that the flux of HONO from the snow makes a &gt;10 times larger contribution to the HONO budget than its formation through the reaction of OH and NO. Ratios of these HONO amount fractions to NOx measurements made in summer 2005 are low (0.15-0.35), which we take as an indication of our measurements being comparatively free from interferences. Further calculations suggest that HONO photolysis could produce up to 12 pmolmol(-1) h(-1) of OH, approximately half that produced by ozone photolysis, which highlights the importance of HONO snow emissions as an OH source in the atmospheric boundary layer above Antarctic snowpacks.</t>
  </si>
  <si>
    <t>[Bond, Amelia M. H.; Frey, Markus M.; Jones, Anna E.; Squires, Freya A.] British Antarctic Survey, Nat Environm Res Council, Cambridge, England; [Bond, Amelia M. H.; Kaiser, Jan] Univ East Anglia, Ctr Ocean &amp; Atmospher Sci, Sch Environm Sci, Norwich, England; [Kleffmann, Jorg] Univ Wuppertal, Fac Math &amp; Nat Sci, Dept Phys &amp; Theoret Chem, Wuppertal, Germany</t>
  </si>
  <si>
    <t>UK Research &amp; Innovation (UKRI); Natural Environment Research Council (NERC); NERC British Antarctic Survey; University of East Anglia; University of Wuppertal</t>
  </si>
  <si>
    <t>Bond, AMH; Frey, MM (corresponding author), British Antarctic Survey, Nat Environm Res Council, Cambridge, England.;Bond, AMH (corresponding author), Univ East Anglia, Ctr Ocean &amp; Atmospher Sci, Sch Environm Sci, Norwich, England.</t>
  </si>
  <si>
    <t>amend37@bas.ac.uk; maey@bas.ac.uk</t>
  </si>
  <si>
    <t>Frey, Markus/G-1756-2012; Kaiser, Jan/D-3327-2009</t>
  </si>
  <si>
    <t>Frey, Markus/0000-0003-0535-0416; Squires, Freya/0000-0002-3364-4617; Bond, Amelia/0000-0002-9539-6698; Kaiser, Jan/0000-0002-1553-4043; Jones, Anna/0000-0002-2040-4841</t>
  </si>
  <si>
    <t>Natural Environment Research Council; ARIES Doctoral Training Partnership [NE/S007334/1]; Natural Environment Research Council</t>
  </si>
  <si>
    <t>Natural Environment Research Council(UK Research &amp; Innovation (UKRI)Natural Environment Research Council (NERC)); ARIES Doctoral Training Partnership; Natural Environment Research Council(UK Research &amp; Innovation (UKRI)Natural Environment Research Council (NERC))</t>
  </si>
  <si>
    <t>This work was supported by the Natural Environment Research Council and the ARIES Doctoral Training Partnership (grant no. NE/S007334/1). We thank the Collaborative Antarctic Science Scheme (CASS) for funding the fieldwork at Halley VI Research Station. Markus M. Frey, Anna E. Jones and FreyaA. Squires were supported by core funding from the Natural Environment Research Council to the British Antarctic Survey's Atmosphere, Ice and Climate Program.</t>
  </si>
  <si>
    <t>MAY 17</t>
  </si>
  <si>
    <t>10.5194/acp-23-5533-2023</t>
  </si>
  <si>
    <t>G5GE4</t>
  </si>
  <si>
    <t>WOS:000989430300001</t>
  </si>
  <si>
    <t>Li, T; Comley, R; Zhang, EL; Zhou, YP; Zhou, XW; Munksgaard, NC; Zhu, ZY; Haig, J; Zheng, FF; Bird, MI</t>
  </si>
  <si>
    <t>Li, Ting; Comley, Rainy; Zhang, Enlou; Zhou, Youping; Zhou, Xiuwen; Munksgaard, Niels C.; Zhu, Zeyang; Haig, Jordahna; Zheng, Fengfeng; Bird, Michael I.</t>
  </si>
  <si>
    <t>Paleo-temperature inferred from brGDGTs over the past 18 cal ka BP from Lake Barrine, tropical NE Australia</t>
  </si>
  <si>
    <t>BrGDGTs; Lacustrine sediment; Tropics; Paleo-temperature; Antarctic cold reversal</t>
  </si>
  <si>
    <t>DIALKYL GLYCEROL TETRAETHERS; SEA-SURFACE TEMPERATURE; ENVIRONMENTAL CONTROLS; LIPIDS; PACIFIC; DISTRIBUTIONS; CALIBRATION; HOLOCENE; PROXY; PH</t>
  </si>
  <si>
    <t>Terrestrial temperature exerts a major influence on vegetation distribution, the hydrologic cycle and many biogeochemical cycles. Yet little research into terrestrial paleo-temperature reconstruction has been conducted covering the last deglaciation in northern Australia, and recent global surface temper-ature reconstructions include no data from this area. Here, for the first time, we reconstructed the mean annual air temperatures (MAAT) at Lake Barrine in this region from 18.3 to 1.7 cal ka BP at a relatively high resolution (averaged 400 yr). This temperature reconstruction was based on separated 5-and 6 -methyl brGDGTs (branched glycerol dialkyl glycerol tetraethers) that are increasingly used to recon-struct terrestrial temperature because of their ubiquity and a preservation window of at least tens of millions of years. A 7.2 m master core from the center of the lake was extracted, along with five surface lake sediment and seven catchment soil samples. The results indicated that the fractional abundances of all the brGDGTs in the catchment soils, surface and downcore sediments in Lake Barrine were closely correlated, with dominant tetramethylated brGDGTs, especially Ia. We applied a global calibration to reconstruct the temperature using the lake sediment samples and a binary mixing model to correct temperature bias caused by soil-derived brGDGT input. The corrected temperature trend estimate compares favorably with the temperature anomaly recorded in the EPICA ice core record, except during the Younger Dryas. The corrected MAAT estimates at Lake Barrine indicated an increase across Heinrich Stadial 1 (HS 1; 18-14.9 cal ka BP) from 19.4 degrees C to 21.9 degrees C, a stable temperature during the Antarctic Cold Reversal (ACR; 14.7-13 cal ka BP) of similar to 21.6 degrees C, followed by a slight decrease during the Younger Dryas (YD; 12.8-11.6 cal ka BP). After a further 1.6 degrees C increase into the early Holocene, the temperature decreased by 1.8 degrees C through the Holocene until a recent rise by 1.6 degrees C after 1.7 cal ka BP. (c) 2023 Elsevier Ltd. All rights reserved.</t>
  </si>
  <si>
    <t>[Li, Ting; Comley, Rainy; Munksgaard, Niels C.; Haig, Jordahna; Bird, Michael I.] James Cook Univ, Coll Sci &amp; Engn, Cairns 4878, Australia; [Li, Ting; Comley, Rainy; Munksgaard, Niels C.; Bird, Michael I.] James Cook Univ, ARC Ctr Excellence Australian Biodivers &amp; Heritage, Cairns 4878, Australia; [Zhang, Enlou] Chinese Acad Sci, Nanjing Inst Geog &amp; Limnol, State Key Lab Lake Sci &amp; Environm, Nanjing 210008, Peoples R China; [Zhou, Youping; Zhou, Xiuwen; Zheng, Fengfeng] Southern Univ Sci &amp; Technol, Dept Ocean Sci &amp; Engn, Shenzhen 518055, Peoples R China; [Zhou, Youping] Shaanxi Univ Sci &amp; Technol, Sch Chem &amp; Chem Engn, Isotop Chem Biol ICB, Xian 710021, Peoples R China; [Zhu, Zeyang] Chinese Acad Sci, Inst Geol &amp; Geophys, Key Lab Cenozo Geol Environm, Beijing 100029, Peoples R China; [Zhu, Zeyang] Chinese Acad Sci, Inst Earth Sci, Beijing 100029, Peoples R China; [Li, Ting] James Cook Univ, Coll Sci &amp; Engn, Cairns 4878, Australia</t>
  </si>
  <si>
    <t>James Cook University; James Cook University; Chinese Academy of Sciences; Nanjing Institute of Geography &amp; Limnology, CAS; Southern University of Science &amp; Technology; Shaanxi University of Science &amp; Technology; Chinese Academy of Sciences; Institute of Geology &amp; Geophysics, CAS; Chinese Academy of Sciences; James Cook University</t>
  </si>
  <si>
    <t>Li, T (corresponding author), James Cook Univ, Coll Sci &amp; Engn, Cairns 4878, Australia.</t>
  </si>
  <si>
    <t>ting.li2@my.jcu.edu.au</t>
  </si>
  <si>
    <t>Zheng, Fengfeng/K-6031-2018; Bird, Michael/G-5364-2010</t>
  </si>
  <si>
    <t>Zheng, Fengfeng/0000-0002-8507-162X; Bird, Michael/0000-0003-1801-8703; Comley, Rainy/0000-0002-3692-3558; Haig, Jordahna/0000-0003-1350-522X; Zhu, zeyang/0000-0002-3933-5807</t>
  </si>
  <si>
    <t>Australian Research Council Center of Excellence for Australian Biodiversity and Heritage [CE170100015]; National Natural Science Foundation of China, China [42025707, 41888101, 41973072, 42250203]</t>
  </si>
  <si>
    <t>Australian Research Council Center of Excellence for Australian Biodiversity and Heritage(Australian Research Council); National Natural Science Foundation of China, China(National Natural Science Foundation of China (NSFC))</t>
  </si>
  <si>
    <t>The authors would like to thank Dr. Jingjing Li for guiding GDGT extraction from sediment. The authors would also like to thank Prof. Chuanlun Zhang for using HPLC-MS in his lab and Wan Zhang for helping run the machine. We thank Dr. Chris Wurster for helping collect surface sediment samples and Dr. Costijn Zwart for placing the logger in Lake Barrine and collecting data from it. The authors would also like to express their gratitude to Dr. Tao Huang for instructing MATLAB when using codes for the BayMBT calibration. Our deep gratitude also goes to professional writer A. Prof. Liz Tynan for proofreading the whole manuscript. The work was sup- ported by the Australian Research Council Center of Excellence for Australian Biodiversity and Heritage (CE170100015) , Australia and the National Natural Science Foundation of China, China (Nos. 42025707, 41888101, 41973072 and 42250203) . This is contribution #31 from the Isotopomics in Chemical Biology (ICB) group.</t>
  </si>
  <si>
    <t>10.1016/j.quascirev.2023.108125</t>
  </si>
  <si>
    <t>H9WA7</t>
  </si>
  <si>
    <t>WOS:000999370400001</t>
  </si>
  <si>
    <t>Michaud, AB; Priscu, JC</t>
  </si>
  <si>
    <t>Michaud, Alexander B.; Priscu, John C.</t>
  </si>
  <si>
    <t>Sediment oxygen consumption in Antarctic subglacial environments</t>
  </si>
  <si>
    <t>ICE-SHELF; LAKE-SEDIMENTS; ORGANIC-CARBON; WATER-COLUMN; ROSS SEA; BENEATH; FLUXES; BIOGEOCHEMISTRY; MINERALIZATION; WHILLANS</t>
  </si>
  <si>
    <t>Oxygen consumption in aquatic sediments is an indicator of overall biological activity of the ecosystem. As such, rates of sedimentary oxygen utilization are well documented for much of the open oceans and freshwater lakes. However, there are few direct measurements of sedimentary oxygen consumption from Antarctic subglacial aquatic sediments. We report the first microsensor oxygen profiles and derived sedimentary oxygen consumption rates from beneath the Ross Ice Shelf and a subglacial lake beneath the West Antarctic Ice Sheet. Rates of oxygen consumption in these two environments are relatively low, but comparable to those reported from ice-free polar oceans and oligotrophic Arctic lakes. Our study demonstrates the presence of oxygen within Antarctic subglacial aquatic sediments and its importance for oxygen-consuming microorganisms living in these ecosystems.</t>
  </si>
  <si>
    <t>[Michaud, Alexander B.] Aarhus Univ, Ctr Geomicrobiol, Dept Biosci, Aarhus, Denmark; [Michaud, Alexander B.] Bigelow Lab Ocean Sci, Maine, NY USA; [Priscu, John C.] Polar Oceans Res Grp, Sheridan, MT USA</t>
  </si>
  <si>
    <t>Aarhus University; Bigelow Laboratory for Ocean Sciences</t>
  </si>
  <si>
    <t>Michaud, AB (corresponding author), Aarhus Univ, Ctr Geomicrobiol, Dept Biosci, Aarhus, Denmark.;Michaud, AB (corresponding author), Bigelow Lab Ocean Sci, Maine, NY USA.</t>
  </si>
  <si>
    <t>amichaud@bigelow.org</t>
  </si>
  <si>
    <t>Michaud, Alex/AAC-4890-2020</t>
  </si>
  <si>
    <t>Michaud, Alex/0000-0001-5714-8741</t>
  </si>
  <si>
    <t>NSF OPP [0838941, 1543537, 1637708, NSF-OCE-0939564, NSF-EAR-PF1625158]</t>
  </si>
  <si>
    <t>NSF OPP(National Science Foundation (NSF)NSF - Directorate for Geosciences (GEO))</t>
  </si>
  <si>
    <t>Funding for the WISSARD and SALSA projects provided by NSF OPP 0838941 and 1543537, respectively, and 1637708 to JCP. ABM was partially supported by a graduate fellowship from C-DEBI (NSF-OCE-0939564) and a postdoctoral fellowship (NSF-EAR-PF1625158). We thank B.B. Jorgensen and H. Roy for helpful discussions regarding modeling oxygen profiles; T. Vick-Majors, R. Venturelli, J. Dore, and M. Skidmore for helpful comments that improved the manuscript. The manuscript was improved thanks to the comments of the associate editor and two anonymous reviewers. This work could not have been completed without the assistance of the WISSARD and SALSA science, traverse, and drilling teams; the United States Antarctic Program; Antarctic Support Contract; the New York Air National Guard and Kenn Borek Air; and C. Dean and J. Sherve for project management. The SALSA Science Team is acknowledged for their support planning and conducting field work and includes; Carlo Barbante (University Ca'Foscari, Venice, Italy), Joel D. Barker (University of Minnesota, Minneapolis, MN, USA), Mark Bowling (University of Nebraska-Lincoln, NE, USA), Justin Burnett (University of Washington, Seattle, WA, USA), Timothy Campbell (Montana State University, Bozeman, MT, USA), Brent C. Christner (University of Florida, Gainesville, FL, USA), Billy Collins (Montana State University, Bozeman, MT, USA), Christina L. Davis (University of Florida, Gainesville, FL, USA), Cindy Dean (Montana State University, Bozeman, MT, USA), John E. Dore (Montana State University, Bozeman, MT, USA), Dennis Duling (University of Nebraska-Lincoln, NE, USA), Helen A. Fricker (Scripps Institution of Oceanography, University of California San Diego, CA, USA), Alan Gagnon (Woods Hole Oceanographic Institution, Falmouth, MA, USA), Christopher Gardner (The Ohio State University, Columbus, OH, USA), Dar Gibson (University of Nebraska-Lincoln, NE, USA), Chloe Gustafson (Columbia University, New York, NY, USA), David Harwood (University of Nebraska-Lincoln, NE, USA), Jon R. Hawkings (University of Pennsylvania, Philadelphia, PA, USA), Jonas Kalin (University of Nebraska-Lincoln, NE, USA), Kathy Kasic (California State University, Sacramento, CA, USA), Ok-Sun Kim (Korea Polar Research Institute, Incheon, South Korea), Edwin Krula (University of Nebraska-Lincoln, NE, USA), Amy Leventer (Colgate University, Hamilton, NY, USA), Wei Li (Montana State University, Bozeman, MT, USA), W. Berry Lyons (The Ohio State University, Columbus, OH, USA), Patrick McGill (California State University, Sacramento, CA, USA), James McManis (University of Nebraska-Lincoln, NE, USA), David McPike (University of Nebraska-Lincoln, NE, USA), Alexander B. Michaud (Aarhus University, Aarhus, DK), Anatoly Mironov (University of Nebraska-Lincoln, NE, USA), Molly Patterson (Binghamton University, Vestal, NY, USA), John C. Priscu (Polar Oceans Research Group, Sheridan, MT, USA), Graham Roberts (University of Nebraska-Lincoln, NE, USA), Brad E. Rosenheim (University of South Florida, St. Petersburg, FL, USA), James Roth (University of Nebraska-Lincoln, NE, USA), Matthew R. Siegfried (Colorado School of Mines, Golden, CO, USA), Mark L. Skidmore (Montana State University, Bozeman, MT, USA), August Steigmeyer (Montana State University, Bozeman, MT, USA), Cathy Trainor (Montana State University, Bozeman, MT, USA), Martyn Tranter (Aarhus University, Aarhus, DK), Trista J. Vick-Majors (Michigan Technological University, Houghton, MI, USA), Ryan A.; Venturelli (Colorado School of Mines, Golden, CO, USA), John Winans (University of Nebraska-Lincoln, NE, USA), and Bob Zook (University of Nebraska-Lincoln, NE, USA).</t>
  </si>
  <si>
    <t>10.1002/lno.12366</t>
  </si>
  <si>
    <t>N4TG6</t>
  </si>
  <si>
    <t>WOS:000989683300001</t>
  </si>
  <si>
    <t>Xin, MJ; Li, XC; Stammerjohn, SE; Cai, WJ; Zhu, J; Turner, J; Clem, KR; Song, CT; Wang, WZ; Hou, YR</t>
  </si>
  <si>
    <t>Xin, Meijiao; Li, Xichen; Stammerjohn, Sharon E.; Cai, Wenju; Zhu, Jiang; Turner, John; Clem, Kyle R.; Song, Chentao; Wang, Wenzhu; Hou, Yurong</t>
  </si>
  <si>
    <t>A broadscale shift in antarctic temperature trends</t>
  </si>
  <si>
    <t>Antarctic surface air temperature; Seesaw temperature pattern; Stratospheric ozone recovery; Thermal advection</t>
  </si>
  <si>
    <t>SOUTHERN ANNULAR MODE; SEA-ICE; SURFACE TEMPERATURES; HEMISPHERE; OCEAN; REANALYSES; VARIABILITY; PENINSULA; IMPACTS; SYSTEM</t>
  </si>
  <si>
    <t>During the second half of the twentieth century, the Antarctic Surface Air Temperature (SAT) trends are characterized by fast warming over West Antarctica but mild cooling over East Antarctica. However, after 2000, the warming over several stations in the Antarctic Peninsula slowed down, whereas the South Pole experienced fast warming. These reversed SAT trends show strong regionality and seasonality, together with large uncertainty and disagreement among different observational and reanalysis datasets, which makes it difficult to achieve a comprehensive understanding of the multi-decadal Antarctic SAT trend and its reversal. In this study, we use the Combined Maximum Covariance Analysis (CMCA) method to extract the most coherent modes of the Antarctic SAT trends among six reanalysis datasets and 26 station-based observations. Further analysis shows that the reversals of the SAT trends before and after 2000, especially for austral spring and summer, are mainly attributed to the reversed trends of the leading CMCA modes and their related atmospheric circulation and thermal advection patterns over Antarctica. For austral spring, the reversal of the west-warming-east-cooling pattern over Antarctica is closely related to the changes of thermal advection induced by the anomalous circulation center over the Antarctic Peninsula-Weddell Sea region. For summer, the post-2000 reversal of the Antarctic Peninsula-warming-East Antarctic-cooling is attributed to the stratospheric ozone recovery over the Antarctic, and the associated adjustment of the southern annular mode. The CMCA decomposition better combines the information from different measurements, clarifying the long-term SAT trend and its reversal for different seasons.</t>
  </si>
  <si>
    <t>[Xin, Meijiao; Li, Xichen; Zhu, Jiang; Song, Chentao; Wang, Wenzhu; Hou, Yurong] Chinese Acad Sci, Inst Atmospher Phys, Beijing, Peoples R China; [Xin, Meijiao; Song, Chentao; Wang, Wenzhu; Hou, Yurong] Univ Chinese Acad Sci, Coll Earth &amp; Planetary Sci, Beijing, Peoples R China; [Stammerjohn, Sharon E.] Univ Colorado, Inst Arctic &amp; Alpine Res, Boulder, CO USA; [Cai, Wenju] Ocean Univ China, Inst Adv Ocean Studies, Key Lab Phys Oceanog, Qingdao, Peoples R China; [Cai, Wenju] Qingdao Natl Lab Marine Sci &amp; Technol, Qingdao, Peoples R China; [Cai, Wenju] CSIRO Oceans &amp; Atmosphere, Ctr Southern Hemisphere Oceans Res CSHOR, Hobart, Tas, Australia; [Turner, John] NERC, British Antarctic Survey, Cambridge CB3 0ET, England; [Clem, Kyle R.] Victoria Univ Wellington, Sch Geog Environm &amp; Earth Sci, Wellington, New Zealand</t>
  </si>
  <si>
    <t>Chinese Academy of Sciences; Institute of Atmospheric Physics, CAS; Chinese Academy of Sciences; University of Chinese Academy of Sciences, CAS; University of Colorado System; University of Colorado Boulder; Ocean University of China; Laoshan Laboratory; Commonwealth Scientific &amp; Industrial Research Organisation (CSIRO); UK Research &amp; Innovation (UKRI); Natural Environment Research Council (NERC); NERC British Antarctic Survey; Victoria University Wellington</t>
  </si>
  <si>
    <t>Li, XC (corresponding author), Chinese Acad Sci, Inst Atmospher Phys, Beijing, Peoples R China.</t>
  </si>
  <si>
    <t>Cai, Wei-Jun/C-1361-2013; Clem, Kyle/AAG-6626-2021; Li, Xichen/ISB-4663-2023</t>
  </si>
  <si>
    <t>National Key Research and Development Program of China [2018YFA0605703, 2018YFA0605700]; Strategic Priority Research Program of Chinese Academy of Sciences [XDB42040106, XDB42040100]; National Natural Science Foundation of China [42176243, 41976193, 41676190]; U.S. National Science Foundation (NSF) [PLR-1552226]; Qingdao National Laboratory for Marine Science and Technology (QNLM); Commonwealth Scientific and Industrial Research Organisation (CSIRO); UK Natural Environment Research Council (NERC) through the British Antarctic Survey research programme Polar Science for Planet Earth; Royal Society of New Zealand Marsden Fund [MFP-VUW2010]</t>
  </si>
  <si>
    <t>National Key Research and Development Program of China; Strategic Priority Research Program of Chinese Academy of Sciences(Chinese Academy of Sciences); National Natural Science Foundation of China(National Natural Science Foundation of China (NSFC)); U.S. National Science Foundation (NSF)(National Science Foundation (NSF)); Qingdao National Laboratory for Marine Science and Technology (QNLM); Commonwealth Scientific and Industrial Research Organisation (CSIRO)(Commonwealth Scientific &amp; Industrial Research Organisation (CSIRO)); UK Natural Environment Research Council (NERC) through the British Antarctic Survey research programme Polar Science for Planet Earth; Royal Society of New Zealand Marsden Fund(Royal Society of New ZealandMarsden Fund (NZ))</t>
  </si>
  <si>
    <t>M.X. and X.L. is supported by the National Key Research and Development Program of China (2018YFA0605703), the Strategic Priority Research Program of Chinese Academy of Sciences grant number XDB42040106, and the National Natural Science Foundation of China (No.42176243, No.41976193 and Grant No.41676190). S.E.S. was supported by the U.S. National Science Foundation (NSF) award PLR-1552226. W.C. is supported by the National Key Research and Development Program of China (2018YFA0605700), the Joint Research Centre for Southern Hemisphere Oceans Research (CSHOR) between the Qingdao National Laboratory for Marine Science and Technology (QNLM) and the Commonwealth Scientific and Industrial Research Organisation (CSIRO). J.Z. is supported by the Strategic Priority Research Program of Chinese Academy of Sciences grant number XDB42040100. J.T. was supported by the UK Natural Environment Research Council (NERC) through the British Antarctic Survey research programme Polar Science for Planet Earth. K.R.C is supported by the Royal Society of New Zealand Marsden Fund grant MFP-VUW2010</t>
  </si>
  <si>
    <t>10.1007/s00382-023-06825-4</t>
  </si>
  <si>
    <t>U8EE0</t>
  </si>
  <si>
    <t>WOS:000991703600002</t>
  </si>
  <si>
    <t>Mariano-Jelicich, R; Pon, JPS; Copello, S; Favero, M</t>
  </si>
  <si>
    <t>Rocio, Rocio; Juan Pablo Seco, Juan Pablo; Sofia, Sofia; Marco, Marco</t>
  </si>
  <si>
    <t>Distribution and diet of cape petrels (Daption capense) attending fishing vessels off the Patagonian Continental Shelf during the non-breeding season in austral winter: insights from on-board censuses and stable isotope analysis</t>
  </si>
  <si>
    <t>Trophic interaction; Trawl fisheries; Procellariformes; Patagonian Continental Shelf; Antarctica; Discards</t>
  </si>
  <si>
    <t>ALBATROSS THALASSARCHE-MELANOPHRIS; ANTARCTIC FULMARINE PETRELS; SOUTHERN GIANT PETREL; LONGLINE VESSELS; FORAGING AREAS; INDIVIDUAL SPECIALIZATION; TROPHIC RELATIONSHIPS; HABITAT PREFERENCES; NORTHERN PATAGONIA; DELTA-N-15 VALUES</t>
  </si>
  <si>
    <t>The cape petrel (Daption capense) is an abundant procellariform in seabird assemblages attending fishing vessels in the Southwestern Atlantic Ocean. The bulk of extant information comes from surveys conducted during the breeding season at Antarctic and sub-Antarctic sites; however, most of their ecological aspects during the non-breeding season remain largely unknown. We performed on-board census and stable isotope analysis in blood and feathers from 30 adult petrels during the non-breeding season in waters off Argentina. Cape petrels attending ice trawlers showed a higher abundance during winter compared to other seasons. The lack of correlation of isotopic values between tissues suggests changes in the diet and foraging locations between the moulting period and the non-breeding season. Isotopic mixing models revealed low-trophic-level sources as the main contributors to this petrel's diet while pelagic-demersal fish species targeted by fishing vessels showed the lower contribution. The discrepancies between methods could be a result of partial use of offal/discards or low use of these due to size/mechanic limitations. These findings reinforce the idea of zooplankton and small-pelagic fish facilitation during the hauling operatory and the relevance of combining different methods for a thorough understanding of prey-predator relationships.</t>
  </si>
  <si>
    <t>[Rocio, Rocio; Juan Pablo Seco, Juan Pablo; Sofia, Sofia; Marco, Marco] UNMdP CONICET, Inst Invest Marinas &amp; Costeras, Grp Vertebrados, IIMyC, Funes 3250, RA-7600 Mar Del Plata, Argentina</t>
  </si>
  <si>
    <t>Mariano-Jelicich, R (corresponding author), UNMdP CONICET, Inst Invest Marinas &amp; Costeras, Grp Vertebrados, IIMyC, Funes 3250, RA-7600 Mar Del Plata, Argentina.</t>
  </si>
  <si>
    <t>rmjelic@mdp.edu.ar</t>
  </si>
  <si>
    <t>Favero, Marco/AGF-7428-2022</t>
  </si>
  <si>
    <t>Favero, Marco/0000-0003-1293-3417</t>
  </si>
  <si>
    <t>10.1007/s00300-023-03144-6</t>
  </si>
  <si>
    <t>G9DF3</t>
  </si>
  <si>
    <t>WOS:000989803400002</t>
  </si>
  <si>
    <t>Bradtke, K; Herman, A</t>
  </si>
  <si>
    <t>Bradtke, Katarzyna; Herman, Agnieszka</t>
  </si>
  <si>
    <t>Spatial characteristics of frazil streaks in the Terra Nova Bay Polynya from high-resolution visible satellite imagery</t>
  </si>
  <si>
    <t>SEA-ICE; ROSS SEA; MODEL; DYNAMICS; SHELF; SIMULATIONS; VARIABILITY; ANTARCTICA; GROWTH; LEADS</t>
  </si>
  <si>
    <t>Coastal polynyas around the Antarctic continent areregions of very strong ocean-atmosphere heat and moisture exchange that areimportant for local and regional weather, sea ice production, and water massformation. Due to extreme atmospheric conditions (very strong offshorewinds, low air temperature, as well as humidity) the surface ocean layer inpolynyas is highly turbulent, with mixing due to combined Langmuir,wind-induced, and buoyancy-driven turbulence. One of the visible signs ofcomplex interactions between the mixed-layer dynamics and the forming seaice are frazil streaks, elongated patches of high ice concentrationseparated by areas of open water. In spite of their ubiquity, observationaland modelling analyses of frazil streaks have been very limited largely dueto the fact that their significance for heat flux and ice production is onlyjust becoming apparent. In this study, the first comprehensive analysis ofthe spatial variability of surface frazil concentration is performed for theTerra Nova Bay Polynya (TNBP). Frazil streaks are identified inhigh-resolution (pixel size 10-15 m) visible satellite imagery, and theirproperties (surface area, width, spacing, and orientation) are linked to themeteorological forcing (wind speed and air temperature). This provides asimple statistical tool for estimating the extent and ice coverage of theregion of high ice production under given meteorological conditions. It isalso shown that the orientation of narrow streaks tends to agree with thewind direction, suggesting the dominating role of the local wind forcing intheir formation. Very wide streaks, in turn, deviate from that pattern, asthey are presumably influenced by several additional factors, includinglocal water circulation and the associated convergence zones. An analysis ofpeak wavelengths and directions determined from the images, compared toanalogous open-water wavelengths computed with a spectral wave model,demonstrates a significant slow-down in the observed wave growth in TNBP.This suggests an important role of frazil streaks in modifying wind-wavegrowth and/or dissipation in polynyas.</t>
  </si>
  <si>
    <t>[Bradtke, Katarzyna] Univ Gdansk, Fac Oceanog &amp; Geog, Gdansk, Poland; [Herman, Agnieszka] Polish Acad Sci, Inst Oceanol, Sopot, Poland</t>
  </si>
  <si>
    <t>Fahrenheit Universities; University of Gdansk; Polish Academy of Sciences; Institute of Oceanology of the Polish Academy of Sciences</t>
  </si>
  <si>
    <t>Bradtke, K (corresponding author), Univ Gdansk, Fac Oceanog &amp; Geog, Gdansk, Poland.</t>
  </si>
  <si>
    <t>katarzyna.bradtke@ug.edu.pl</t>
  </si>
  <si>
    <t>Herman, Agnieszka/GPS-4669-2022</t>
  </si>
  <si>
    <t>Herman, Agnieszka/0000-0001-5112-7165; Bradtke, Katarzyna/0000-0002-9305-8193</t>
  </si>
  <si>
    <t>10.5194/tc-17-2073-2023</t>
  </si>
  <si>
    <t>G2PB1</t>
  </si>
  <si>
    <t>WOS:000987628000001</t>
  </si>
  <si>
    <t>Jeeva, K; Sinha, AK; Seemala, GK; Pawar, SD; Guha, A; Kamra, AK; Williams, ER; Ravichandran, M</t>
  </si>
  <si>
    <t>Jeeva, K.; Sinha, A. K.; Seemala, Gopi K. K.; Pawar, S. D.; Guha, A.; Kamra, A. K.; Williams, E. R.; Ravichandran, M.</t>
  </si>
  <si>
    <t>The Global Representativeness of Fair-Weather Atmospheric Electricity Parameters From the Coastal Station Maitri, Antarctica</t>
  </si>
  <si>
    <t>potential gradient; air-Earth current density; conduction current; electrically quiet days; electrode effect; global electric circuit</t>
  </si>
  <si>
    <t>DIURNAL-VARIATIONS; FIELD; CONDUCTIVITY; CLIMATE; WIND</t>
  </si>
  <si>
    <t>Atmospheric electricity parameters (AEP) measurements from Antarctica predominantly feature either the potential gradient (PG) and/or air-Earth current (AEC) density. We report for the first time simultaneous measurements of the bipolar ions concentration/conductivity, PG, and AEC density. AEP measurements were carried out at Maitri (70.8 degrees S, 11.8 degrees E) from December 2018 to November 2019. We formulated a few criteria, irrespective of the weather conditions, to select the electrically quiet days and some additional criteria based on the conductivity measurements to discern globally representative data (GRD) from such days. The measurements of the PG and AEC density over the Antarctic plateau demonstrated the diurnal curves similar to the Carnegie pattern, which represents the global thunderstorms and electrified shower clouds (ESCs) occurring on different continents and oceans, we regard the data having such trend as GRD. We found significant variability in the concentration of small bipolar ions/conductivity in the austral summer which in turn affects GRD. However, the concentration of bipolar ions is nearly consistent at similar to 250 negative ions cm(-3) and similar to 300 positive ions cm(-3) in winter and enhances the probability of GRD. Such differences can arise out of the prevalent planetary boundary layer processes in the two seasons. When the PG varied between similar to 50 Vm(-1) and similar to 150 Vm(-1) and the maximum range of conductivity variations was similar to 0.2 x 10(-14). m(-1), the AEPs represented the signatures of the global thunderstorm and ESC activities. Plain Language Summary Monitoring of the atmospheric electricity parameters is a simple technique to monitor global thunderstorm activity and electrified shower clouds. For this, the data need to be free from local disturbances. Obtaining such data in Antarctic Plateau was found to be successful. On the other hand, the coastal Antarctic stations, experience local or regional contributions in it. This paper attempts to provide some techniques to obtain globally representative data (GRD). This paper suggests that the diurnal variation of the concentration of bipolar small ions strongly impacts the GRD. Therefore a day free from the diurnal variation of the concentration of bipolar ions is essential to discern the global signals. The winter season appears to be a better season for this as the summer season experiences mild convection activity that causes local and regional electrical signals that contaminate the data.</t>
  </si>
  <si>
    <t>[Jeeva, K.] Indian Inst Geomagnetism, Equatorial Geophys Res Lab, Tirunelveli, India; [Sinha, A. K.] Univ Bahrain, Sch Sci, Dept Phys, Manama, Bahrain; [Seemala, Gopi K. K.] Indian Inst Geomagnetism, Navi Mumbai, India; [Pawar, S. D.; Kamra, A. K.] Indian Inst Trop Meteorol, Pune, India; [Guha, A.] Tripura Univ, Dept Phys, Suryamaninagar, India; [Williams, E. R.] MIT, Dept Civil &amp; Environm Engn, Cambridge, MA USA; [Ravichandran, M.] Minist Earth Sci, New Delhi, India</t>
  </si>
  <si>
    <t>Department of Science &amp; Technology (India); Indian Institute of Geomagnetism (IIG); University of Bahrain; Department of Science &amp; Technology (India); Indian Institute of Geomagnetism (IIG); Ministry of Earth Sciences (MoES) - India; Indian Institute of Tropical Meteorology (IITM); Tripura University; Massachusetts Institute of Technology (MIT); Ministry of Earth Sciences (MoES) - India</t>
  </si>
  <si>
    <t>Jeeva, K (corresponding author), Indian Inst Geomagnetism, Equatorial Geophys Res Lab, Tirunelveli, India.</t>
  </si>
  <si>
    <t>123.jeeva@gmail.com</t>
  </si>
  <si>
    <t>Sinha, Ashwini Kumar/0000-0003-1329-6579</t>
  </si>
  <si>
    <t>MAY 16</t>
  </si>
  <si>
    <t>e2022JD037696</t>
  </si>
  <si>
    <t>10.1029/2022JD037696</t>
  </si>
  <si>
    <t>I1BG1</t>
  </si>
  <si>
    <t>WOS:001000189800001</t>
  </si>
  <si>
    <t>Song, L; Wu, RG; Chen, W; Li, XC; Lan, XQ; An, L; Zhu, JL</t>
  </si>
  <si>
    <t>Song, Lei; Wu, Renguang; Chen, Wen; Li, Xichen; Lan, Xiaoqing; An, Lu; Zhu, Jialei</t>
  </si>
  <si>
    <t>Intraseasonal Sea Ice Concentration Variability Over the Weddell Sea During Austral Autumn</t>
  </si>
  <si>
    <t>sea ice concentration; intraseasonal variability; the Weddell Sea; atmospheric circulation; thermodynamical process</t>
  </si>
  <si>
    <t>SOUTHERN-OCEAN; ATMOSPHERIC CIRCULATION; CLIMATE VARIABILITY; PROPAGATION; MOISTURE; DRIVERS; IMPACTS; RETREAT; TRENDS; MODES</t>
  </si>
  <si>
    <t>The sea ice concentration (SIC) over the Weddell Sea displays obvious intraseasonal variability during austral autumn with a dominant frequency of 5-20 days. The intraseasonal SIC variability is manifested as development of sea ice anomalies from the northeastern Antarctic Peninsula toward the central Weddell Sea. Rossby wave train associated with the internal atmospheric variability featuring circumglobal zonal wavenumber 4 pattern induces the development of anomalous surface winds and sea ice drifting, leading to the SIC anomalies directly. The thermodynamical processes associated with the intraseasonal SIC variability include the air temperature, the moisturizing of the lower troposphere, the latent and sensible heating, and the downwelling longwave radiation, which contribute to the variation of the local greenhouse effect over the Weddell Sea, and thus lead to the sea ice variation. The investigation of the intraseasonal SIC variability helps the understanding of sea-ice-atmosphere interaction over the Antarctic region. Plain Language Summary The variation of the Antarctic sea ice can modulate the atmospheric circulation over the Southern Hemisphere and play an important role in the sea-ice-atmosphere interaction. The intraseasonal sea ice concentration (SIC) variability over the Antarctic is more evident and with larger extent over the Weddell Sea during austral autumn, featuring a dominant frequency of 5-20 days. The evolution of the intraseasonal SIC variability manifests as SIC anomalies appearing over the northeastern Antarctic Peninsula and then moving eastward to the central Weddell Sea. It is controlled by the propagation of wave train around the Antarctic, which induces surface wind anomalies and sea ice movement. Besides, the air temperature, moisture, the latent and sensible heating, and the doweling longwave radiation can also contribute to the increase or melting of the sea ice through the modulation of the local greenhouse effect.</t>
  </si>
  <si>
    <t>[Song, Lei; Lan, Xiaoqing] Chinese Acad Sci, Inst Atmospher Phys, Ctr Monsoon Syst Res, Beijing, Peoples R China; [Wu, Renguang] Zhejiang Univ, Sch Earth Sci, Dept Atmospher Sci, Hangzhou, Peoples R China; [Chen, Wen] Yunnan Univ, Yunnan Key Lab Meteorol Disasters &amp; Climate Resour, Kunming, Peoples R China; [Chen, Wen] Yunnan Univ, Dept Atmospher Sci, Kunming, Peoples R China; [Li, Xichen] Chinese Acad Sci, Inst Atmospher Phys, Int Ctr Climate &amp; Environm Sci, Beijing, Peoples R China; [An, Lu] Tongji Univ, Ctr Spatial Informat Sci &amp; Sustainable Dev Applica, Shanghai, Peoples R China; [An, Lu] Tongji Univ, Coll Surveying &amp; Geo Informat, Shanghai, Peoples R China; [Zhu, Jialei] Tianjin Univ, Inst Surface Earth Syst Sci, Sch Earth Syst Sci, Tianjin, Peoples R China</t>
  </si>
  <si>
    <t>Chinese Academy of Sciences; Institute of Atmospheric Physics, CAS; Zhejiang University; Yunnan University; Yunnan University; Chinese Academy of Sciences; Institute of Atmospheric Physics, CAS; Tongji University; Tongji University; Tianjin University</t>
  </si>
  <si>
    <t>Song, L (corresponding author), Chinese Acad Sci, Inst Atmospher Phys, Ctr Monsoon Syst Res, Beijing, Peoples R China.</t>
  </si>
  <si>
    <t>songlei@mail.iap.ac.cn</t>
  </si>
  <si>
    <t>Chen, Wen/G-6058-2011; Li, Xichen/ISB-4663-2023; Lan, Xiaoqing/AAU-3476-2020</t>
  </si>
  <si>
    <t>Chen, Wen/0000-0001-9327-9079; Li, Xichen/0000-0001-6325-6626; Zhu, Jialei/0000-0003-2057-8996; AN, LU/0000-0003-3507-5953; Song, Lei/0000-0003-2014-4506</t>
  </si>
  <si>
    <t>National Key Research and Development Program of China [2022YFF0803000]</t>
  </si>
  <si>
    <t>Acknowledgments We thank two anonymous reviewers who have helped the improvement of this manuscript. This study is supported by the National Key Research and Development Program of China (2022YFF0803000).</t>
  </si>
  <si>
    <t>e2022GL102691</t>
  </si>
  <si>
    <t>10.1029/2022GL102691</t>
  </si>
  <si>
    <t>I0OA9</t>
  </si>
  <si>
    <t>WOS:000999843100001</t>
  </si>
  <si>
    <t>Andreasen, JR; Hogg, AE; Selley, HL</t>
  </si>
  <si>
    <t>Andreasen, Julia R. R.; Hogg, Anna E. E.; Selley, Heather L. L.</t>
  </si>
  <si>
    <t>Change in Antarctic ice shelf area from 2009 to 2019</t>
  </si>
  <si>
    <t>AMUNDSEN SEA EMBAYMENT; WEST ANTARCTICA; TOTTEN GLACIER; BREAK-UP; RETREAT; PENINSULA; COLLAPSE; MARGINS; EASTERN; SURFACE</t>
  </si>
  <si>
    <t>Antarctic ice shelves provide buttressing support to the ice sheet, stabilising the flow of grounded ice and its contribution to global sea levels. Over the past 50 years, satellite observations have shown ice shelves collapse, thin, and retreat; however, there are few measurements of the Antarctic-wide change in ice shelf area. Here, we use MODIS (Moderate Resolution Imaging Spectroradiometer) satellite data to measure the change in ice shelf calving front position and area on 34 ice shelves in Antarctica from 2009 to 2019. Over the last decade, a reduction in the area on the Antarctic Peninsula (6693 km(2)) and West Antarctica (5563 km(2)) has been outweighed by area growth in East Antarctica (3532 km(2)) and the large Ross and Ronne-Filchner ice shelves (14 028 km(2)). The largest retreat was observed on the Larsen C Ice Shelf, where 5917 km(2) of ice was lost during an individual calving event in 2017, and the largest area increase was observed on Ronne Ice Shelf in East Antarctica, where a gradual advance over the past decade (535 km(2) yr(-1)) led to a 5889 km(2) area gain from 2009 to 2019. Overall, the Antarctic ice shelf area has grown by 5305 km(2) since 2009, with 18 ice shelves retreating and 16 larger shelves growing in area. Our observations show that Antarctic ice shelves gained 661 Gt of ice mass over the past decade, whereas the steady-state approach would estimate substantial ice loss over the same period, demonstrating the importance of using time-variable calving flux observations to measure change.</t>
  </si>
  <si>
    <t>[Andreasen, Julia R. R.] Univ Minnesota, Dept Soil Water &amp; Climate, St Paul, MN 55108 USA; [Andreasen, Julia R. R.; Hogg, Anna E. E.; Selley, Heather L. L.] Univ Leeds, Sch Earth &amp; Environm, Leeds LS2 9JT, England</t>
  </si>
  <si>
    <t>University of Minnesota System; University of Minnesota Twin Cities; University of Leeds</t>
  </si>
  <si>
    <t>Andreasen, JR (corresponding author), Univ Minnesota, Dept Soil Water &amp; Climate, St Paul, MN 55108 USA.;Andreasen, JR (corresponding author), Univ Leeds, Sch Earth &amp; Environm, Leeds LS2 9JT, England.</t>
  </si>
  <si>
    <t>andr0856@umn.edu</t>
  </si>
  <si>
    <t>Andreasen, Julia/0000-0001-7874-020X</t>
  </si>
  <si>
    <t>University of Minnesota's Department of Soil, Water; Natural Environment Research Council [118294]; NERC [NE/T012757/1] Funding Source: UKRI</t>
  </si>
  <si>
    <t>University of Minnesota's Department of Soil, Water; Natural Environment Research Council(UK Research &amp; Innovation (UKRI)Natural Environment Research Council (NERC)); NERC(UK Research &amp; Innovation (UKRI)Natural Environment Research Council (NERC))</t>
  </si>
  <si>
    <t>This research has been supported by the Natural Environment Research Council (grant no. 118294).</t>
  </si>
  <si>
    <t>10.5194/tc-17-2059-2023</t>
  </si>
  <si>
    <t>G4NR8</t>
  </si>
  <si>
    <t>WOS:000988947000001</t>
  </si>
  <si>
    <t>Razmi, K; Tran, NK; Patil, JG</t>
  </si>
  <si>
    <t>Razmi, Komeil; Tran, Ngoc Kim; Patil, Jawahar G.</t>
  </si>
  <si>
    <t>Gonad Ontogeny and Sex Differentiation in a Poeciliid, Gambusia holbrooki: Transition from a Bi- to a Mono-Lobed Organ</t>
  </si>
  <si>
    <t>sexual identity; pest fish; gonadogenesis; germ cells; gonadosoma</t>
  </si>
  <si>
    <t>PRIMORDIAL GERM-CELLS; RAINBOW-TROUT; E-CADHERIN; ORYZIAS-LATIPES; VIVIPAROUS FISH; MEDAKA; EXPRESSION; DMRT1; GENES; FOXL2</t>
  </si>
  <si>
    <t>This study maps critical events of gonadogenesis in the live-bearing fish Gambusia holbrooki. Significantly, it provides the first evidence for primary gonochorism, the transition of an embryonically bi-lobed gonad to a mono-lobed organ, as occurs in adults and the dimorphically programmed onset of sex differentiation in this species. The outcomes are significant in basic biology and are applicable for developing control options for this notorious pest fish.Despite their uniqueness, the ontogeny and differentiation of the single-lobed gonads in the poeciliids are very poorly understood. To address this, we employed both cellular and molecular approaches to systematically map the development of the testes and ovary in Gambusia holbrooki from pre-parturition to adulthood, encompassing well over 19 developmental stages. The results show that putative gonads form prior to the completion of somitogenesis in this species, a comparatively early occurrence among teleosts. Remarkably, the species recapitulates the typical bi-lobed origin of the gonads during early development that later undergoes steric metamorphosis to form a single-lobed organ. Thereafter, the germ cells undergo mitotic proliferation in a sex-dependent manner before the acquisition of the sexual phenotype. The differentiation of the ovary preceded that of the testes, which occurred before parturition, where the genetic females developed meiotic primary oocytes stage I, indicating ovarian differentiation. However, genetic males showed gonial stem cells in nests with slow mitotic proliferation at the same developmental stage. Indeed, the first signs of male differentiation were obvious only post-parturition. The expression pattern of the gonadosoma markers foxl2, cyp19a1a, amh and dmrt1 in pre- and post-natal developmental stages were consistent with morphological changes in early gonad; they were activated during embryogenesis, followed by the onset of gonad formation, and a sex-dimorphic expression pattern concurrent with sex differentiation of the ovary (foxl2, cyp19a1a) and testes (amh and dmrt1). In conclusion, this study documents for the first time the underlying events of gonad formation in G. holbrooki and shows that this occurs relatively earlier than those previously described for ovi- and viviparous fish species, which may contribute to its reproductive and invasive prowess.</t>
  </si>
  <si>
    <t>[Razmi, Komeil; Tran, Ngoc Kim; Patil, Jawahar G.] Univ Tasmania, Inst Marine &amp; Antarctic Studies, Fisheries &amp; Aquaculture Ctr, Lab Mol Biol, Taroona, Tas 7053, Australia; [Tran, Ngoc Kim] An Giang Univ, Vietnam Natl Univ Ho Chi Minh City, Fac Agr &amp; Nat Resources, Dept Aquaculture, Long Xuyen City 880000, Vietnam</t>
  </si>
  <si>
    <t>University of Tasmania; Vietnam National University Hochiminh City</t>
  </si>
  <si>
    <t>Patil, JG (corresponding author), Univ Tasmania, Inst Marine &amp; Antarctic Studies, Fisheries &amp; Aquaculture Ctr, Lab Mol Biol, Taroona, Tas 7053, Australia.</t>
  </si>
  <si>
    <t>komeil.razmi@utas.edu.au; ngockim.tran@utas.edu.au; jawahar.patil@utas.edu.au</t>
  </si>
  <si>
    <t>ARC [LP140100428]; Australian Research Council; Inland Fisheries Service Tasmania; Australian Research Council [LP140100428] Funding Source: Australian Research Council</t>
  </si>
  <si>
    <t>ARC(Australian Research Council); Australian Research Council(Australian Research Council); Inland Fisheries Service Tasmania; Australian Research Council(Australian Research Council)</t>
  </si>
  <si>
    <t>This research was funded by the ARC Linkage grant (LP140100428), Australian Research Council and Inland Fisheries Service Tasmania.</t>
  </si>
  <si>
    <t>10.3390/biology12050731</t>
  </si>
  <si>
    <t>H4FK6</t>
  </si>
  <si>
    <t>WOS:000995537700001</t>
  </si>
  <si>
    <t>Wu, JH; Xu, W; He, JF; Lan, MS</t>
  </si>
  <si>
    <t>Wu, Jiahui; Xu, Wen; He, Jianfeng; Lan, Musheng</t>
  </si>
  <si>
    <t>YOLO for Penguin Detection and Counting Based on Remote Sensing Images</t>
  </si>
  <si>
    <t>Antarctic penguins; conservation; remote sensing images; object detection; attention module</t>
  </si>
  <si>
    <t>As the largest species of birds in Antarctica, penguins are called biological indicators. Changes in the environment will cause population fluctuations. Therefore, developing a penguin census regularly will not only help carry out conservation activities but also provides a basis for studying climate change. Traditionally, scholars often use indirect methods, e.g., identifying penguin guano and establishing regression relationships to estimate the size of penguin colonies. In this paper, we explore the feasibility of automatic object detection algorithms based on aerial images, which locate each penguin directly. We build a dataset consisting of images taken at 400 m altitude over the island populated by Adelie penguins, which are cropped with a resolution of 640 x 640. To address the challenges of detecting minuscule penguins (often 10 pixels extent) amidst complex backgrounds in our dataset, we propose a new object detection network, named YoloPd (Yolo for penguin detection). Specifically, a multiple frequency features fusion module and a Bottleneck aggregation layer are proposed to strengthen feature representations for smaller penguins. Furthermore, the Transformer aggregation layer and efficient attention module are designed to capture global features with the aim of filtering out background interference. With respect to the latency/accuracy trade-off, YoloPd surpasses the classical detector Faster R-CNN by 8.5% in mean precision (mAP). It also beats the latest detector Yolov7 by 2.3% in F1 score with fewer parameters. Under YoloPd, the average counting accuracy reaches 94.6%, which is quite promising. The results demonstrate the potential of automatic detectors and provide a new direction for penguin counting.</t>
  </si>
  <si>
    <t>[Wu, Jiahui; Xu, Wen] Zhejiang Univ, Coll Informat Sci &amp; Elect Engn, Hangzhou 310013, Peoples R China; [Xu, Wen] Zhejiang Univ, Ocean Coll, Zhoushan 316021, Peoples R China; [He, Jianfeng; Lan, Musheng] Polar Res Inst China, Antarctic Greatwall Ecol Natl Observat &amp; Res Stn, Shanghai 200136, Peoples R China</t>
  </si>
  <si>
    <t>Zhejiang University; Zhejiang University; Polar Research Institute of China</t>
  </si>
  <si>
    <t>He, JF (corresponding author), Polar Res Inst China, Antarctic Greatwall Ecol Natl Observat &amp; Res Stn, Shanghai 200136, Peoples R China.</t>
  </si>
  <si>
    <t>hejianfeng@pric.org.cn</t>
  </si>
  <si>
    <t>Xu, Wen/0000-0001-9138-8773</t>
  </si>
  <si>
    <t>Program of Innovation 2030 on Smart Ocean, Zhejiang University [129000, 194232201, 129000 + 194432201]; Impact and Response of Antarctic Seas to Climate Change (IRASCC) [22-01-02, 2022-02-02]; Assessment of Polar Marine Ecosystems, Polar Research Institute of China [YW2022-01-01, YW2023-01-01]</t>
  </si>
  <si>
    <t>Program of Innovation 2030 on Smart Ocean, Zhejiang University; Impact and Response of Antarctic Seas to Climate Change (IRASCC); Assessment of Polar Marine Ecosystems, Polar Research Institute of China</t>
  </si>
  <si>
    <t>This work is funded by the Program of Innovation 2030 on Smart Ocean, Zhejiang University (Grant No. 129000* 194232201, 129000 + 194432201); Impact and Response of Antarctic Seas to Climate Change (IRASCC NO. 22-01-02, 2022-02-02); Assessment of Polar Marine Ecosystems, Polar Research Institute of China (YW2022-01-01, YW2023-01-01).</t>
  </si>
  <si>
    <t>10.3390/rs15102598</t>
  </si>
  <si>
    <t>H8FJ9</t>
  </si>
  <si>
    <t>WOS:000998252700001</t>
  </si>
  <si>
    <t>Cox, MJ; Smith, AJR; Brierley, AS; Potts, JM; Wotherspoon, S; Terauds, A</t>
  </si>
  <si>
    <t>Cox, M. J.; Smith, A. J. R.; Brierley, A. S.; Potts, J. M.; Wotherspoon, S.; Terauds, A.</t>
  </si>
  <si>
    <t>Scientific echosounder data provide a predator's view of Antarctic krill (Euphausia superba)</t>
  </si>
  <si>
    <t>TARGET-STRENGTH MODEL; VARIABILITY; PERFORMANCE; ABUNDANCE; BIOMASS; SHAPES; SYSTEM</t>
  </si>
  <si>
    <t>Raw acoustic data were collected in East Antarctica from the RSV Aurora Australis during two surveys: the Krill Availability, Community Trophodynamics and AMISOR Surveys (KACTAS) and the Krill Acoustics and Oceanography Survey (KAOS) in the East Antarctic (centre coordinate 66.5 degrees S, 63 degrees E). The KACTAS survey was conducted between 14th to 21st January and 2001, and the KAOS survey was conducted between 16 January and 1 February 2003. We examine the Antarctic krill (Euphausia superba) component of these surveys and provide scientific echosounder (EK500 and EK60) data collected at 38, 120 and 200 kHz, cold water (-1 degrees C) echosounder calibration parameters and accompanying krill length frequency distributions obtained from trawl data. We processed the acoustic data to apply calibration values and remove noise. The processed data were used to isolate echoes arising from swarms of krill and to estimate metrics for each krill swarm, including internal density and individual swarm biomass. The krill swarm data provide insights to a predators' views of krill distribution and density.</t>
  </si>
  <si>
    <t>[Cox, M. J.; Wotherspoon, S.] Australian Antarctic Div, Southern Ocean Ecosyst Program, 203 Channel Highway, Kingston, Tas, Australia; [Cox, M. J.; Terauds, A.] Australian Antarctic Div, Integrated Digital East Antarct Program IDEA, 203 Channel Highway, Kingston, Tas, Australia; [Smith, A. J. R.] Inst Marine &amp; Antarctic Studies, Australian Antarctic Program Partnership, 20 Castray Esplanade, Nipaluna Hobart, Tas 7004, Australia; [Brierley, A. S.] Univ St Andrews, Scottish Oceans Inst, Sch Biol, Gatty Marine Lab,Pelag Ecol Res Grp, St Andrews KY16 8LB, Fife, Scotland; [Potts, J. M.] CPS, Secretariat Pacific Community, BP D5, F-98848 Noumea, New Caledonia</t>
  </si>
  <si>
    <t>Australian Antarctic Division; Australian Antarctic Division; University of Tasmania; University of St Andrews</t>
  </si>
  <si>
    <t>Cox, MJ (corresponding author), Australian Antarctic Div, Southern Ocean Ecosyst Program, 203 Channel Highway, Kingston, Tas, Australia.;Cox, MJ (corresponding author), Australian Antarctic Div, Integrated Digital East Antarct Program IDEA, 203 Channel Highway, Kingston, Tas, Australia.</t>
  </si>
  <si>
    <t>martin.cox@aad.gov.au</t>
  </si>
  <si>
    <t>; Brierley, Andrew/G-8019-2011</t>
  </si>
  <si>
    <t>Smith, Abigail/0000-0003-4408-2290; Brierley, Andrew/0000-0002-6438-6892</t>
  </si>
  <si>
    <t>Australian Antarctic Science (AAS) [2205, 4050, 4636]</t>
  </si>
  <si>
    <t>Australian Antarctic Science (AAS)</t>
  </si>
  <si>
    <t>We are grateful to all participants and crew of the KACTAS and KAOS voyages. The KAOS voyage was supported by Australian Antarctic Science (AAS) grant 2205 and this data processing by AAS grants 4050 and 4636. Thank you to Dave Connell of the Australian Antarctic Data Centre for help arranging processed data upload, storage and metadata.</t>
  </si>
  <si>
    <t>10.1038/s41597-023-02187-y</t>
  </si>
  <si>
    <t>G8YW3</t>
  </si>
  <si>
    <t>WOS:000991956300001</t>
  </si>
  <si>
    <t>Hüne, M; Quintullanca, A; Aldea, C; Landaeta, MF</t>
  </si>
  <si>
    <t>Hune, Mathias; Quintullanca, Alex; Aldea, Cristian; Landaeta, Mauricio F.</t>
  </si>
  <si>
    <t>Diet variations and morphological changes of the rockcod Patagonotothen tessellata (Teleostei: Nototheniidae) in Chilean Central Patagonia</t>
  </si>
  <si>
    <t>ENVIRONMENTAL BIOLOGY OF FISHES</t>
  </si>
  <si>
    <t>Feeding ecology; Geometric morphometrics; Ecomorphology; Sexual dimorphism; Notothenioidei</t>
  </si>
  <si>
    <t>FEEDING-HABITS; ANTARCTIC FISHES; CHANNELS; SEX; DISTRIBUTIONS; PERCIFORMES; DIMORPHISM; RICHARDSON; PATTERNS; PISCES</t>
  </si>
  <si>
    <t>This study provides the first description of the morphology (geometric morphometric analysis), condition (Fulton index), and diet (stomach content analyses) of the rockcod Patagonotothen tessellata from the coast of Chilean Central Patagonia. We found low but significant intersexual variability in the snout extension, mouth size, and the insertion of the pelvic fin supporting the presence of sexual shape dimorphism in P. tessellata. The diet of the males showed a preference for Patagonotothen spp., unidentified crustaceans, and polychaetes (Chaetopteridae), while the diet of females was comprised primarily of unidentified fish and crustaceans. Significant differences in the consumption of algae, other invertebrates, and fishes were observed between sexes, and a significant negative correlation between fish length and the ingestion of amphipods was found. Diet composition showed significant differences between sexes, but not among size groups. Finally, a partial least square analysis showed a weak but significant covariance between diet and morphology: individuals with shorter snouts and smaller eyes had more unidentified crustaceans, amphipods, and fish in their stomach contents, while individuals with narrower trunks contained more unidentified crustaceans, the shrimp Betaeus truncatus, and gastropods; and individuals with slenderer heads had more Patagonotothen spp. in their stomachs.</t>
  </si>
  <si>
    <t>[Hune, Mathias] Ctr Invest Conservac Ecosistemas Australes ICEA, Punta Arenas, Chile; [Quintullanca, Alex] Univ Magallanes, Escuela Biol Marina, Fac Ciencias, Dept Ciencias &amp; Recursos Nat, Punta Arenas, Chile; [Aldea, Cristian] Univ Magallanes, Fac Ciencias, Dept Ciencias &amp; Recursos Nat, Punta Arenas, Chile; [Aldea, Cristian] Univ Magallanes, Ctr Invest GAIA Antartica, Punta Arenas, Chile; [Landaeta, Mauricio F.] Univ Valparaiso, Fac Ciencias, Lab Ictiol &amp; Interacc Biofis LABITI, Inst Biol, Valparaiso, Chile; [Landaeta, Mauricio F.] Univ Valparaiso, Ctr Observ Marino Estudios Riesgos Ambiente Coster, Vina del Mar, Chile</t>
  </si>
  <si>
    <t>Universidad de Magallanes; Universidad de Magallanes; Universidad de Magallanes; Universidad de Valparaiso; Universidad de Valparaiso</t>
  </si>
  <si>
    <t>Hüne, M (corresponding author), Ctr Invest Conservac Ecosistemas Australes ICEA, Punta Arenas, Chile.</t>
  </si>
  <si>
    <t>mathias.hune@centroicea.org</t>
  </si>
  <si>
    <t>Aldea, Cristian/0000-0002-4473-6509; Landaeta, Mauricio/0000-0002-5199-5103</t>
  </si>
  <si>
    <t>0378-1909</t>
  </si>
  <si>
    <t>1573-5133</t>
  </si>
  <si>
    <t>ENVIRON BIOL FISH</t>
  </si>
  <si>
    <t>Environ. Biol. Fishes</t>
  </si>
  <si>
    <t>10.1007/s10641-023-01428-8</t>
  </si>
  <si>
    <t>H6YN3</t>
  </si>
  <si>
    <t>WOS:000987539800001</t>
  </si>
  <si>
    <t>Kawahara, AY; Storer, C; Carvalho, APS; Plotkin, DM; Condamine, FL; Braga, MP; Ellis, EA; St Laurent, RA; Li, XK; Barve, V; Cai, LM; Earl, C; Frandsen, PB; Owens, HL; Valencia-Montoya, WA; Aduse-Poku, K; Toussaint, EFA; Dexter, KM; Doleck, T; Markee, A; Messcher, R; Nguyen, YL; Badon, JAT; Benítez, HA; Braby, MF; Buenavente, PAC; Chan, WP; Collins, SC; Childers, RRA; Dankowicz, E; Eastwood, R; Fric, ZF; Gott, RJ; Hall, JPW; Hallwachs, W; Hardy, NB; Sipe, RLH; Heath, A; Hinolan, JD; Homziak, NT; Hsu, YF; Inayoshi, Y; Itliong, MGA; Janzen, DH; Kitching, IJ; Kunte, K; Lamas, G; Landis, MJ; Larsen, EA; Larsen, TB; Leong, JV; Lukhtanov, V; Maier, CA; Martinez, JI; Martins, DJ; Maruyama, K; Maunsell, SC; Mega, NO; Monastyrskii, A; Morais, ABB; Mueller, CJ; Naive, MAK; Nielsen, G; Padron, PS; Peggie, D; Romanowski, HP; Safian, S; Saito, M; Schroeder, S; Shirey, V; Soltis, D; Soltis, P; Sourakov, A; Talavera, G; Vila, R; Vlasanek, P; Wang, HS; Warren, AD; Willmott, KR; Yago, M; Jetz, W; Jarzyna, MA; Breinholt, JW; Espeland, M; Ries, L; Guralnick, RP; Pierce, NE; Lohman, DJ</t>
  </si>
  <si>
    <t>Kawahara, Akito Y.; Storer, Caroline; Carvalho, Ana Paula S.; Plotkin, David M.; Condamine, Fabien L.; Braga, Mariana P.; Ellis, Emily A.; St Laurent, Ryan A.; Li, Xuankun; Barve, Vijay; Cai, Liming; Earl, Chandra; Frandsen, Paul B.; Owens, Hannah L.; Valencia-Montoya, Wendy A.; Aduse-Poku, Kwaku; Toussaint, Emmanuel F. A.; Dexter, Kelly M.; Doleck, Tenzing; Markee, Amanda; Messcher, Rebeccah; Nguyen, Y-Lan; Badon, Jade Aster T.; Benitez, Hugo A.; Braby, Michael F.; Buenavente, Perry A. C.; Chan, Wei-Ping; Collins, Steve C.; Rabideau Childers, Richard A.; Dankowicz, Even; Eastwood, Rod; Fric, Zdenek F.; Gott, Riley J.; Hall, Jason P. W.; Hallwachs, Winnie; Hardy, Nate B.; Sipe, Rachel L. Hawkins; Heath, Alan; Hinolan, Jomar D.; Homziak, Nicholas T.; Hsu, Yu-Feng; Inayoshi, Yutaka; Itliong, Micael G. A.; Janzen, Daniel H.; Kitching, Ian J.; Kunte, Krushnamegh; Lamas, Gerardo; Landis, Michael J.; Larsen, Elise A.; Larsen, Torben B.; Leong, Jing V.; Lukhtanov, Vladimir; Maier, Crystal A.; Martinez, Jose I.; Martins, Dino J.; Maruyama, Kiyoshi; Maunsell, Sarah C.; Mega, Nicolas Oliveira; Monastyrskii, Alexander; Morais, Ana B. B.; Mueller, Chris J.; Naive, Mark Arcebal K.; Nielsen, Gregory; Padron, Pablo Sebastian; Peggie, Djunijanti; Romanowski, Helena Piccoli; Safian, Szabolcs; Saito, Motoki; Schroeder, Stefan; Shirey, Vaughn; Soltis, Doug; Soltis, Pamela; Sourakov, Andrei; Talavera, Gerard; Vila, Roger; Vlasanek, Petr; Wang, Houshuai; Warren, Andrew D.; Willmott, Keith R.; Yago, Masaya; Jetz, Walter; Jarzyna, Marta A.; Breinholt, Jesse W.; Espeland, Marianne; Ries, Leslie; Guralnick, Robert P.; Pierce, Naomi E.; Lohman, David J.</t>
  </si>
  <si>
    <t>A global phylogeny of butterflies reveals their evolutionary history, ancestral hosts and biogeographic origins</t>
  </si>
  <si>
    <t>SOUTHERN INDIA RHOPALOCERA; WESTERN-GHATS; RANGE EVOLUTION; R PACKAGE; PLANTS; LEPIDOPTERA; DIVERSIFICATION; LIKELIHOOD; ADDITIONS; DISPERSAL</t>
  </si>
  <si>
    <t>Butterflies are a diverse and charismatic insect group that are thought to have evolved with plants and dispersed throughout the world in response to key geological events. However, these hypotheses have not been extensively tested because a comprehensive phylogenetic framework and datasets for butterfly larval hosts and global distributions are lacking. We sequenced 391 genes from nearly 2,300 butterfly species, sampled from 90 countries and 28 specimen collections, to reconstruct a new phylogenomic tree of butterflies representing 92% of all genera. Our phylogeny has strong support for nearly all nodes and demonstrates that at least 36 butterfly tribes require reclassification. Divergence time analyses imply an origin similar to 100 million years ago for butterflies and indicate that all but one family were present before the K/Pg extinction event. We aggregated larval host datasets and global distribution records and found that butterflies are likely to have first fed on Fabaceae and originated in what is now the Americas. Soon after the Cretaceous Thermal Maximum, butterflies crossed Beringia and diversified in the Palaeotropics. Our results also reveal that most butterfly species are specialists that feed on only one larval host plant family. However, generalist butterflies that consume two or more plant families usually feed on closely related plants.</t>
  </si>
  <si>
    <t>[Kawahara, Akito Y.; Storer, Caroline; Carvalho, Ana Paula S.; Plotkin, David M.; Ellis, Emily A.; St Laurent, Ryan A.; Li, Xuankun; Barve, Vijay; Earl, Chandra; Toussaint, Emmanuel F. A.; Dexter, Kelly M.; Markee, Amanda; Gott, Riley J.; Homziak, Nicholas T.; Martinez, Jose I.; Padron, Pablo Sebastian; Sourakov, Andrei; Warren, Andrew D.; Willmott, Keith R.] Univ Florida, Florida Museum Nat Hist, McGuire Ctr Lepidoptera &amp; Biodivers, Gainesville, FL 32611 USA; [Kawahara, Akito Y.; Plotkin, David M.; Gott, Riley J.; Homziak, Nicholas T.; Martinez, Jose I.] Univ Florida, Entomol &amp; Nematol Dept, Gainesville, FL 32611 USA; [Kawahara, Akito Y.] Univ Florida, Dept Biol, Gainesville, FL 32611 USA; [Condamine, Fabien L.] Univ Montpellier, Inst Sci Evolut Montpellier, CNRS, Montpellier, France; [Braga, Mariana P.] Swedish Univ Agr Sci, Dept Ecol, Uppsala, Sweden; [Braga, Mariana P.; Landis, Michael J.] Washington Univ, Dept Biol, Campus Box 1137, St Louis, MO 63130 USA; [St Laurent, Ryan A.; Hall, Jason P. W.] Smithsonian Inst, Natl Museum Nat Hist, Dept Entomol, Washington, DC 20560 USA; [Li, Xuankun] Univ Memphis, Dept Biol Sci, Ctr Biodivers Res, Memphis, TN 38152 USA; [Cai, Liming; Valencia-Montoya, Wendy A.; Chan, Wei-Ping; Rabideau Childers, Richard A.; Dankowicz, Even; Eastwood, Rod; Sipe, Rachel L. Hawkins; Heath, Alan; Maier, Crystal A.; Maunsell, Sarah C.; Talavera, Gerard; Pierce, Naomi E.] Harvard Univ, Dept Organism &amp; Evolutionary Biol, Cambridge, MA 02138 USA; [Cai, Liming; Valencia-Montoya, Wendy A.; Chan, Wei-Ping; Rabideau Childers, Richard A.; Dankowicz, Even; Eastwood, Rod; Sipe, Rachel L. Hawkins; Heath, Alan; Maier, Crystal A.; Maunsell, Sarah C.; Talavera, Gerard; Pierce, Naomi E.] Harvard Univ, Museum Comparat Zool, Cambridge, MA 02138 USA; [Cai, Liming] Univ Calif Riverside, Dept Bot &amp; Plant Sci, Riverside, CA 92521 USA; [Earl, Chandra; Owens, Hannah L.; Soltis, Doug; Soltis, Pamela; Breinholt, Jesse W.; Guralnick, Robert P.] Univ Florida, Florida Museum Nat Hist, Gainesville, FL 32611 USA; [Frandsen, Paul B.] Brigham Young Univ, Dept Plant &amp; Wildlife Sci, Provo, UT 84602 USA; [Owens, Hannah L.] Univ Copenhagen, Globe Inst, Ctr Global Mt Biodivers, Copenhagen, Denmark; [Owens, Hannah L.] Univ Copenhagen, GLOBE Inst, Ctr Macroecol Evolut &amp; Climate, Copenhagen, Denmark; [Aduse-Poku, Kwaku; Doleck, Tenzing; Nguyen, Y-Lan; Itliong, Micael G. A.; Leong, Jing V.; Lohman, David J.] CUNY City Coll, Biol Dept, New York, NY 10031 USA; [Aduse-Poku, Kwaku] Georgia State Univ, Perimeter Coll, Dept Life &amp; Earth Sci, Decatur, GA USA; [Toussaint, Emmanuel F. A.] Nat Hist Museum Geneva, Dept Entomol, Geneva, Switzerland; [Doleck, Tenzing; Lohman, David J.] CUNY, Grad Ctr, PhD Program Biol, New York, NY USA; [Badon, Jade Aster T.] Univ Philippines Los Banos, Inst Biol Sci, Anim Biol Div, Laguna, Philippines; [Benitez, Hugo A.] Univ Catolica Maule, Ctr Invest Estudios Avanzados Maule, Lab Ecol &amp; Morfometria Evolut, Talca, Chile; [Benitez, Hugo A.] Millennium Inst Biodivers Antarctic &amp; Subantarcti, Santiago, Chile; [Braby, Michael F.] Australian Natl Univ, Res Sch Biol, Div Ecol &amp; Evolut, Canberra, ACT, Australia; [Braby, Michael F.] Australian Natl Insect Collect, Canberra, ACT, Australia; [Buenavente, Perry A. C.; Lohman, David J.] Natl Museum Nat Hist, Entomol Sect, Manila, Philippines; [Collins, Steve C.] African Butterfly Res Inst, Nairobi, Kenya; [Leong, Jing V.] CAS, Biol Ctr, Ceske Budejovice, Czech Republic; [Hallwachs, Winnie; Janzen, Daniel H.] Univ Penn, Dept Biol, Philadelphia, PA 19104 USA; [Fric, Zdenek F.; Hardy, Nate B.] Auburn Univ, Dept Entomol &amp; Plant Pathol, Auburn, AL 36849 USA; [Heath, Alan] Iziko South African Museum, Cape Town, South Africa; [Hinolan, Jomar D.] Natl Museum Philippines, Bot &amp; Natl Herbarium Div, Manila, Philippines; [Hsu, Yu-Feng] Natl Taiwan Normal Univ, Coll Life Sci, Taipei, Taiwan; [Kitching, Ian J.] Nat Hist Museum, London, England; [Kunte, Krushnamegh] Tata Inst Fundamental Res, Natl Ctr Biol Sci, Bengaluru, India; [Lamas, Gerardo] Univ Nacl Mayor San Marcos, Museo Hist Nat, Lima, Peru; [Larsen, Elise A.; Shirey, Vaughn; Ries, Leslie] Georgetown Univ, Dept Biol, Washington, DC 20057 USA; [Leong, Jing V.] Univ South Bohemia, Dept Zool, Fac Sci, Ceske Budejovice, Czech Republic; [Lukhtanov, Vladimir] Russian Acad Sci, Inst Zool, Dept Karyosystemat, St Petersburg, Russia; [Martins, Dino J.] SUNY Stony Brook, Turkana Basin Inst, Stony Brook, NY 11794 USA; [Mega, Nicolas Oliveira; Romanowski, Helena Piccoli] Univ Fed Rio Grande do Sul, Dept Zool, Porto Alegre, RS, Brazil; [Monastyrskii, Alexander] Fauna &amp; Flora Int, Vietnam Programme, Hanoi, Vietnam; [Monastyrskii, Alexander] Vietnam Acad Sci &amp; Technol, Vietnam Natl Museum Nat, Hanoi, Vietnam; [Morais, Ana B. B.] Univ Fed Santa Maria, Ctr Ciencias Nat &amp; Exatas, Posgrad Biodiversidade Anim, Santa Maria, RS, Brazil; [Mueller, Chris J.] Australian Museum, Sydney, NSW, Australia; [Naive, Mark Arcebal K.] Chinese Acad Sci, Xishuangbanna Trop Bot Garden, Ctr Integrat Conservat, Mengla, Peoples R China; [Naive, Mark Arcebal K.] Univ Chinese Acad Sci, Beijing, Peoples R China; [Naive, Mark Arcebal K.] Jose Rizal Mem State Univ, Coll Arts &amp; Sci, Tampilisan, Philippines; [Nielsen, Gregory] Aquapro, Villavicencio, Colombia; [Padron, Pablo Sebastian] Univ Azuay, Museo Zool, Entomol Lab, Cuenca, Ecuador; [Peggie, Djunijanti] Natl Res &amp; Innovat Agcy BRIN, Res Ctr Biosystemat &amp; Evolut, Cibinong Bogor, Indonesia; [Safian, Szabolcs] Univ West Hungary, Inst Silviculture &amp; Forest Protect, Sopron, Hungary; [Saito, Motoki] Res Inst Evolutionary Biol, Insect Study Div, Tokyo, Japan; [Talavera, Gerard] CSIC Ajuntament Barcelona, IBB, Barcelona, Spain; [Vila, Roger] Univ Pompeu Fabra, CSIC, Inst Biol Evolutiva, Barcelona, Spain; [Vlasanek, Petr] TG Masaryk Water Res Inst, Prague, Czech Republic; [Wang, Houshuai] South China Agr Univ, Coll Plant Protect, Dept Entomol, Guangzhou, Peoples R China; [Yago, Masaya] Univ Tokyo, Univ Museum, Tokyo, Japan; [Jetz, Walter; Jarzyna, Marta A.] Yale Univ, Dept Ecol &amp; Evolutionary Biol, New Haven, CT USA; [Jetz, Walter] Yale Univ, Ctr Biodivers &amp; Global Change, New Haven, CT USA; [Jarzyna, Marta A.] Ohio State Univ, Translat Data Analyt Inst, Columbus, OH 43210 USA; [Jarzyna, Marta A.] Ohio State Univ, Dept Evolut Ecol &amp; Organismal Biol, Columbus, OH 43210 USA; [Breinholt, Jesse W.] RAPiD Genom, Gainesville, FL USA; [Espeland, Marianne] Zool Res Museum Alexander Koenig, Leibniz Inst Anal Biodivers Change, Bonn, Germany</t>
  </si>
  <si>
    <t>State University System of Florida; University of Florida; State University System of Florida; University of Florida; State University System of Florida; University of Florida; Centre National de la Recherche Scientifique (CNRS); Institut de Recherche pour le Developpement (IRD); Universite de Montpellier; Swedish University of Agricultural Sciences; Washington University (WUSTL); Smithsonian Institution; Smithsonian National Museum of Natural History; University of Memphis; Harvard University; Harvard University; University of California System; University of California Riverside; State University System of Florida; University of Florida; Brigham Young University; University of Copenhagen; University of Copenhagen; City University of New York (CUNY) System; City College of New York (CUNY); University System of Georgia; Georgia State University; City University of New York (CUNY) System; University of the Philippines System; University of the Philippines Los Banos; Universidad Catolica del Maule; Australian National University; Commonwealth Scientific &amp; Industrial Research Organisation (CSIRO); Czech Academy of Sciences; Biology Centre of the Czech Academy of Sciences; University of Pennsylvania; Auburn University System; Auburn University; National Museum of the Philippines; National Taiwan Normal University; Natural History Museum London; Tata Institute of Fundamental Research (TIFR); National Centre for Biological Sciences (NCBS); Universidad Nacional Mayor de San Marcos; Georgetown University; University of South Bohemia Ceske Budejovice; Russian Academy of Sciences; Zoological Institute of the Russian Academy of Sciences; State University of New York (SUNY) System; State University of New York (SUNY) Stony Brook; Universidade Federal do Rio Grande do Sul; Vietnam Academy of Science &amp; Technology (VAST); Universidade Federal de Santa Maria (UFSM); Australian Museum; Chinese Academy of Sciences; Xishuangbanna Tropical Botanical Garden, CAS; Chinese Academy of Sciences; University of Chinese Academy of Sciences, CAS; Universidad del Azuay; National Research &amp; Innovation Agency of Indonesia (BRIN); Consejo Superior de Investigaciones Cientificas (CSIC); Autonomous University of Barcelona; Consejo Superior de Investigaciones Cientificas (CSIC); CSIC-UPF - Institut de Biologia Evolutiva (IBE); Pompeu Fabra University; T.G. Masaryk Water Research Institute; South China Agricultural University; University of Tokyo; Yale University; Yale University; University System of Ohio; Ohio State University; University System of Ohio; Ohio State University; Zoologisches Forschungsmuseum Alexander Koenig (ZFMK)</t>
  </si>
  <si>
    <t>Kawahara, AY (corresponding author), Univ Florida, Florida Museum Nat Hist, McGuire Ctr Lepidoptera &amp; Biodivers, Gainesville, FL 32611 USA.;Kawahara, AY (corresponding author), Univ Florida, Entomol &amp; Nematol Dept, Gainesville, FL 32611 USA.;Kawahara, AY (corresponding author), Univ Florida, Dept Biol, Gainesville, FL 32611 USA.;Pierce, NE (corresponding author), Harvard Univ, Dept Organism &amp; Evolutionary Biol, Cambridge, MA 02138 USA.;Lohman, DJ (corresponding author), CUNY City Coll, Biol Dept, New York, NY 10031 USA.;Lohman, DJ (corresponding author), CUNY, Grad Ctr, PhD Program Biol, New York, NY USA.;Lohman, DJ (corresponding author), Natl Museum Nat Hist, Entomol Sect, Manila, Philippines.</t>
  </si>
  <si>
    <t>kawahara@flmnh.ufl.edu; npierce@oeb.harvard.edu; dlohman@ccny.cuny.edu</t>
  </si>
  <si>
    <t>Naive, Mark Arcebal/AAA-7753-2021; ROMANOWSKI, HELENA PICCOLI/I-3265-2012; Earl, Chandra/IXN-1445-2023; Childers, Richard Anthony Rabideau/I-6684-2019; Larsen, Torben Bjerregaard/JHS-8123-2023; Barve, Vijay/B-8031-2017; Jarzyna, Marta/ABB-5939-2020; Kunte, Krushnamegh/IXD-6758-2023; Vila, Roger/A-1817-2012; Faltynek Fric, Zdenek/H-1468-2014; Talavera, Gerard/A-2982-2012; Benítez, Hugo A/C-5077-2011; Leong, Jing Vir/AAD-4854-2022; Morais, Ana/KFB-9149-2024; Martinez, Jose/ABA-4027-2020; Lukhtanov, Vladimir/C-6740-2008</t>
  </si>
  <si>
    <t>Naive, Mark Arcebal/0000-0002-1548-9465; ROMANOWSKI, HELENA PICCOLI/0000-0001-8342-4607; Childers, Richard Anthony Rabideau/0000-0002-7137-3192; Barve, Vijay/0000-0002-4852-2567; Jarzyna, Marta/0000-0002-6734-0566; Kunte, Krushnamegh/0000-0002-3860-6118; Vila, Roger/0000-0002-2447-4388; Faltynek Fric, Zdenek/0000-0002-3611-8022; Talavera, Gerard/0000-0003-1112-1345; Leong, Jing Vir/0000-0002-4698-5613; Martinez, Jose/0000-0003-4368-2729; Padron, Pablo Sebastian/0000-0001-9104-1657; Hinolan, Jomar/0000-0002-4446-3803; Larsen, Elise/0000-0002-9238-6777; Markee, Amanda/0000-0001-7421-6339; Earl, Chandra/0000-0001-9850-882X; Messcher, Rebeccah/0000-0001-5887-6636; Pires Braga, Mariana/0000-0002-1253-2536; Willmott, Keith/0000-0002-9228-0219; Frandsen, Paul/0000-0002-4801-7579</t>
  </si>
  <si>
    <t>US National Science Foundation (NSF); NSF; Research Council of Norway; Hintelmann Scientific Award for Zoological Systematics; European Research Council under the European Union; Swedish Research Council [DEB-1541500, 1541557, 1541560]; Spanish Ministry of Science and Innovation [DBI-1349345, 1601369, DEB-1557007, IOS-1920895, DBI-1256742, DEB-0639861, SES-0750480, DEB-0447244, DEB-9615760]; Russian Science Foundation [204308]; Ministry of Science and Higher Education of the Russian Federation; MEXT KAKENHI [851188]; JSPS KAKENHI [2020-06422]; CNPQ [PID2019-107078GB-I00/AEI/10.13039/501100011033, PID2020-117739GA-I00/AEI/10.13039/501100011033, RYC2018-025335-I]</t>
  </si>
  <si>
    <t>US National Science Foundation (NSF)(National Science Foundation (NSF)); NSF(National Science Foundation (NSF)); Research Council of Norway(Research Council of Norway); Hintelmann Scientific Award for Zoological Systematics; European Research Council under the European Union(European Research Council (ERC)); Swedish Research Council(Swedish Research Council); Spanish Ministry of Science and Innovation(Spanish Government); Russian Science Foundation(Russian Science Foundation (RSF)); Ministry of Science and Higher Education of the Russian Federation; MEXT KAKENHI(Ministry of Education, Culture, Sports, Science and Technology, Japan (MEXT)Japan Society for the Promotion of ScienceGrants-in-Aid for Scientific Research (KAKENHI)); JSPS KAKENHI(Ministry of Education, Culture, Sports, Science and Technology, Japan (MEXT)Japan Society for the Promotion of ScienceGrants-in-Aid for Scientific Research (KAKENHI)); CNPQ(Conselho Nacional de Desenvolvimento Cientifico e Tecnologico (CNPQ))</t>
  </si>
  <si>
    <t>We thank M. Kuhn and E. Mavrodiev for assembling trait data. S. Epstein, T. Girard-Ang, P. Pezzi and L. Xiao assisted with laboratory work. J. Barber, M. Brownlee, N. Chazot, S. Cinel, J. Daniels, R. Godfrey, A. Gomez, H. Gough, C. Hamilton, G. Hill, P. Houlihan, C. Huang, J. Miller, K. Miner, C. Mitter, K. Mitter, A. Renevier-Faure, J. Rubin, M. Scallion, R. Singh, Y. Sondhi and L. Wu provided specimens or helped to improve the manuscript. C. Wheat and N. Wahlberg kindly provided input when the project began. RAPiD Genomics (Gainesville, FL, USA) conducted sequencing. K. Meusemann (1KITE) provided four-cluster likelihood mapping scripts. T. Barve, K. Casarella, A. Clark, C. Couch, H. Dansby, R. Merritt, L. Nguyen and X. Zheng helped create figures. Maps in Fig. 3 and in all supplementary figures were created with mapchart.net; these maps are licensed under a Creative Commons Attribution-ShareAlike 4.0 International License (https://creativecommons.org/licenses/by-sa/4.0/). High-performance clusters at Brigham Young University, Harvard University, Smithsonian Institution, University of Florida and Zoological Research Museum Alexander Koenig provided computational support. Funding came from the US National Science Foundation (NSF) GoLifeButterflyNet' collaborative grant (DEB-1541500, 1541557, 1541560) to A.Y.K., R.P.G., D.J.L. and N.E.P. Specimen collection and preservation was funded by NSF DBI-1349345, 1601369, DEB-1557007 and IOS-1920895 (A.Y.K.), NSF DEB-1120380 (D.J.L.), grants 9285-13 and WW-227R-17 from the National Geographic Society (D.J.L.), NSF DBI-1256742 (A.Y.K. and K.R.W.), NSF DEB-0639861 (K.R.W.) and NSF SES-0750480, DEB-0447244 and DEB-9615760 (N.E.P.). M.E. was supported by the Research Council of Norway (no. 204308) and the Hintelmann Scientific Award for Zoological Systematics. F.L.C. was supported by the European Research Council under the European Union's Horizon 2020 research and innovation programme (project GAIA, no. 851188). M.P.B. was supported by the Swedish Research Council (IPG no. 2020-06422). R.V. was supported by the Spanish Ministry of Science and Innovation grant PID2019-107078GB-I00/AEI/10.13039/501100011033. G.T. was supported by the Spanish Ministry of Science and Innovation (grants PID2020-117739GA-I00/AEI/10.13039/501100011033 and RYC2018-025335-I). V.L. was supported by the Russian Science Foundation (grant 19-14-00202) and by the Ministry of Science and Higher Education of the Russian Federation (grant 075-15-2021-1069). M.Y. was supported by MEXT KAKENHI no.19916010 and JSPS KAKENHI grants 13010131, 23570111, 26440207, 17K07528 and 21H02215. A.B.B.M., H.P.R. and N.O.M. were supported by CNPQ grants proc 563332/2010-7 and 304273/2014-7. We are thankful for the continuous support from the Museum of Comparative Zoology for fieldwork (Putnam Expedition Grants), and providing funds to support Open Access (Wetmore-Colles Fund).</t>
  </si>
  <si>
    <t>10.1038/s41559-023-02041-9</t>
  </si>
  <si>
    <t>I3ZV5</t>
  </si>
  <si>
    <t>WOS:000992481800002</t>
  </si>
  <si>
    <t>Liu, HX; Otsuka, Y; Hozumi, K; Yu, T</t>
  </si>
  <si>
    <t>Liu, Huixin; Otsuka, Yuichi; Hozumi, Kornyanat; Yu, Tao</t>
  </si>
  <si>
    <t>Day-to-day variability of the equatorial ionosphere in Asian sector during August-October 2019</t>
  </si>
  <si>
    <t>SSW; day-to-day variability; ionosphere perturbation; atmosphere-ionosphere coupling; atmosphere tides</t>
  </si>
  <si>
    <t>This brief report examines the ground-based total electron content (TEC) in Asian sector during August-October 2019, covering the period of a stratosphere sudden warming (SSW) occurred in Antarctica. The analysis reveals pronounced ionospheric day-to-day variability with distinct periodicities. The most dominant and long-lasting periodicities are quasi-10 days and quasi 14-day during September and October, while a quasi 6-day also present in September. The 10-day and 6-day TEC oscillations were attributed by previous studies solely to the Antarctic SSW while assuming negligible geomagnetic effects. By comparing co-located ground mesospheric wind observations, along with the interplanetary electric field (IEF) and geomagnetic activity (Kp index), we demonstrate that the quasi 14-day oscillation is mainly driven by low-level geomagnetic activities, while quasi-6 days oscillation is driven by mesospheric wind changes during the SSW. The 10-day oscillation, on the other hand, is driven by both IEF and mesospheric wind in September, but by IEF in October. These results demonstrate that low-level geomagnetic activities traditionally classified as quiet conditions can induce significant day-to-day oscillations in TEC, and their impacts should not be ignored when studying meteorological (e.g., SSWs) impacts on the ionosphere.</t>
  </si>
  <si>
    <t>[Liu, Huixin] Kyushu Univ, Dept Earth &amp; Planetary Sci, Fukuoka, Japan; [Otsuka, Yuichi] Nagoya Univ, Inst Sun Earth Environm, Nagoya, Japan; [Hozumi, Kornyanat] Natl Inst Informat &amp; Commun Technol, Tokyo, Japan; [Yu, Tao] China Univ Geosci, Inst Geophys &amp; Geomatics, Wuhun, Peoples R China</t>
  </si>
  <si>
    <t>Kyushu University; Nagoya University; National Institute of Information &amp; Communications Technology (NICT) - Japan</t>
  </si>
  <si>
    <t>Liu, HX (corresponding author), Kyushu Univ, Dept Earth &amp; Planetary Sci, Fukuoka, Japan.</t>
  </si>
  <si>
    <t>liu.huixin.295@m.kyushu-u.ac.jp</t>
  </si>
  <si>
    <t>JSPS KAKENHI [18H01270, 17KK0095, JPJSJPR 20181602]; JRPs-LEAD with DFG [20H00197]</t>
  </si>
  <si>
    <t>JSPS KAKENHI(Ministry of Education, Culture, Sports, Science and Technology, Japan (MEXT)Japan Society for the Promotion of ScienceGrants-in-Aid for Scientific Research (KAKENHI)); JRPs-LEAD with DFG</t>
  </si>
  <si>
    <t>This work is supported by the JSPS KAKENHI grants 18H01270, 17KK0095, and JRPs-LEAD with DFG (JPJSJPR 20181602). KH was partially supported by the JSPS KAKENHI Grant Number 20H00197.</t>
  </si>
  <si>
    <t>MAY 15</t>
  </si>
  <si>
    <t>10.3389/fspas.2023.1198739</t>
  </si>
  <si>
    <t>I1KP1</t>
  </si>
  <si>
    <t>WOS:001000439900001</t>
  </si>
  <si>
    <t>Apen, FE; Cottle, JM</t>
  </si>
  <si>
    <t>Apen, Francisco E.; Cottle, John M.</t>
  </si>
  <si>
    <t>Thermal evolution of the lower crust beneath the Transantarctic Mountains</t>
  </si>
  <si>
    <t>CHEMICAL GEOLOGY</t>
  </si>
  <si>
    <t>Lower crust; Antarctica; Petrochronology; Xenoliths; Heat flow</t>
  </si>
  <si>
    <t>SOUTHERN VICTORIA LAND; ANTARCTIC RIFT SYSTEM; FE-MG INTERDIFFUSION; U-PB GEOCHRONOLOGY; MARIE-BYRD-LAND; TECTONIC EVOLUTION; RUTILE ACTIVITIES; PACIFIC MARGIN; ROSS OROGENY; UPPER-MANTLE</t>
  </si>
  <si>
    <t>Models of uplift, rifting, and heat transfer in the Transantarctic Mountains (TAM) rely on knowledge of the thermal evolution of the lower crust, but such information has remained elusive. Granulite xenoliths entrained in &lt;2 Ma rift basalts at the TAM front chronicle the long-term thermal history of the deep crust and yield insight into the Cenozoic evolution of the TAM. Major-element thermobarometry of the xenoliths record elevated temperatures of 860-920 degrees C at-0.8 GPa. In situ coupled U-Pb and trace element zircon and titanite data reveal that the deep crust experienced intense heating at least twice: once at 850-900 degrees C ca. 500 Ma and again at 740-900 degrees C starting ca. 37 Ma. The Cenozoic temperature-time path indicates a high geothermal gradient beneath the TAM front-with 800-900 degrees C at 20-30 km depth and 900-1000 degrees C temperatures at the Moho (30-35 km depth)-and is interpreted to reflect heating by the adjacent West Antarctic Rift System. Despite elevated temperatures in the lower crust, minimal melting beneath the present-day TAM is inferred given that the crust is refractory, having been previously depleted during Ordovician magmatism. The identification of hot crust beneath the TAM forces revisions to estimates of the elastic thickness of the lithosphere, which underpin models invoking a flexural origin for the high elevations of the TAM. The observed Cenozoic heating trend supports models that suggest uplift was driven by a buoyant thermal anomaly beneath the TAM front. The finding of dry and strong deep crust is also in line with models wherein the TAM have maintained high elevations since the Mesozoic.</t>
  </si>
  <si>
    <t>[Apen, Francisco E.; Cottle, John M.] Univ Calif Santa Barbara, Dept Earth Sci, Santa Barbara, CA 93106 USA; [Apen, Francisco E.; Cottle, John M.] Univ Calif Santa Barbara, Earth Res Inst, Santa Barbara, CA 93106 USA; [Apen, Francisco E.] Princeton Univ, Dept Geosci, Princeton, NJ 08544 USA</t>
  </si>
  <si>
    <t>University of California System; University of California Santa Barbara; University of California System; University of California Santa Barbara; Princeton University</t>
  </si>
  <si>
    <t>Apen, FE (corresponding author), Univ Calif Santa Barbara, Dept Earth Sci, Santa Barbara, CA 93106 USA.;Apen, FE (corresponding author), Univ Calif Santa Barbara, Earth Res Inst, Santa Barbara, CA 93106 USA.;Apen, FE (corresponding author), Princeton Univ, Dept Geosci, Princeton, NJ 08544 USA.</t>
  </si>
  <si>
    <t>feapen@princeton.edu; cottle@geol.ucsb.edu</t>
  </si>
  <si>
    <t>UCSB; National Science Foundation (NSF) [NSF-ANT-1443296, NSF-EAR-1650260]; NSF</t>
  </si>
  <si>
    <t>UCSB; National Science Foundation (NSF)(National Science Foundation (NSF)); NSF(National Science Foundation (NSF))</t>
  </si>
  <si>
    <t>We thank Gareth Seward and Andrew Kylander-Clark for assistance with electron microprobe and laser ablation analyses, respectively, and Zachary Eilon, Joshua Garber, Roberta Rudnick, Douglas Wilson, and Bradley Hacker for fruitful discussions throughout this study. Special thanks go to BH for directing a graduate seminar on crustal melting, which inspired many aspects of this study. Thanks also go to Christine Siddoway and Emily Chin for constructive comments on an earlier version of this manuscript. We gratefully acknowledge Robert Emo and two anonymous reviewers for detailed and thoughtful reviews and Balz Kamber for editorial handling and guidance. This work was funded by UCSB, the National Science Foundation (NSF) via grants NSF-ANT-1443296 to Cottle and NSF-EAR-1650260 to Rudnick and Cottle, and an NSF graduate research fellowship to Apen.</t>
  </si>
  <si>
    <t>0009-2541</t>
  </si>
  <si>
    <t>1872-6836</t>
  </si>
  <si>
    <t>CHEM GEOL</t>
  </si>
  <si>
    <t>Chem. Geol.</t>
  </si>
  <si>
    <t>AUG 5</t>
  </si>
  <si>
    <t>10.1016/j.chemgeo.2023.121504</t>
  </si>
  <si>
    <t>I2ZT8</t>
  </si>
  <si>
    <t>WOS:001001522800001</t>
  </si>
  <si>
    <t>Nomura, D; Kawaguchi, Y; Webb, AL; Li, YH; Dall'osto, M; Schmidt, K; Droste, ES; Chamberlain, EJ; Kolabutin, N; Shimanchuk, E; Hoppmann, M; Gallagher, MR; Meyer, H; Mellat, M; Bauch, D; Gabarró, C; Smith, MM; Inoue, J; Damm, E; Delille, B</t>
  </si>
  <si>
    <t>Nomura, Daiki; Kawaguchi, Yusuke; Webb, Alison L.; Li, Yuhong; Dall'osto, Manuel; Schmidt, Katrin; Droste, Elise S.; Chamberlain, Emelia J.; Kolabutin, Nikolai; Shimanchuk, Egor; Hoppmann, Mario; Gallagher, Michael R.; Meyer, Hanno; Mellat, Moein; Bauch, Dorothea; Gabarro, Carolina; Smith, Madison M.; Inoue, Jun; Damm, Ellen; Delille, Bruno</t>
  </si>
  <si>
    <t>Meltwater layer dynamics in a central Arctic lead: Effects of lead width, re-freezing, and mixing during late summer</t>
  </si>
  <si>
    <t>Lead; Sea ice; Meltwater; Re-freezing; Mixing; Arctic Ocean</t>
  </si>
  <si>
    <t>UNDER-ICE WATER; SEA-ICE; MASS-BALANCE; OCEAN; EXCHANGE; ISOTOPE; FLUXES; IMPACT</t>
  </si>
  <si>
    <t>Leads play an important role in the exchange of heat, gases, vapour, and particles between seawater and the atmosphere in ice-covered polar oceans. In summer, these processes can be modified significantly by the formation of a meltwater layer at the surface, yet we know little about the dynamics of meltwater layer formation and persistence. During the drift campaign of the Multidisciplinary drifting Observatory for the Study of Arctic Climate (MOSAiC), we examined how variation in lead width, re-freezing, and mixing events affected the vertical structure of lead waters during late summer in the central Arctic. At the beginning of the 4-week survey period, a meltwater layer occupied the surface 0.8 m of the lead, and temperature and salinity showed strong vertical gradients. Stable oxygen isotopes indicate that the meltwater consisted mainly of sea ice meltwater rather than snow meltwater. During the first half of the survey period (before freezing), the meltwater layer thickness decreased rapidly as lead width increased and stretched the layer horizontally. During the latter half of the survey period (after freezing of the lead surface), stratification weakened and the meltwater layer became thinner before disappearing completely due to surface ice formation and mixing processes. Removal of meltwater during surface ice formation explained about 43% of the reduction in thickness of the meltwater layer. The remaining approximate 57% could be explained by mixing within the water column initiated by disturbance of the lower boundary of the meltwater layer through wind-induced ice floe drift. These results indicate that rapid, dynamic changes to lead water structure can have potentially significant effects on the exchange of physical and biogeochemical components throughout the atmosphere-lead-underlying seawater system.</t>
  </si>
  <si>
    <t>[Nomura, Daiki] Hokkaido Univ, Field Sci Ctr Northern Biosphere, Hakodate, Japan; [Nomura, Daiki] Hokkaido Univ, Fac Fisheries Sci, Hakodate, Japan; [Nomura, Daiki] Hokkaido Univ, Arctic Res Ctr, Sapporo, Japan; [Kawaguchi, Yusuke] Univ Tokyo, Atmosphere &amp; Ocean Res Inst, Kashiwa, Japan; [Webb, Alison L.] Univ Warwick, Sch Life Sci, Coventry, England; [Webb, Alison L.] Univ York, Dept Chem, York, England; [Li, Yuhong] Minist Nat Resources, Inst Oceanog 3, Xiamen, Peoples R China; [Dall'osto, Manuel] CSIC, Inst Marine Sci, Barcelona, Spain; [Schmidt, Katrin] Univ Plymouth, Sch Geog Earth &amp; Environm Sci, Plymouth, England; [Droste, Elise S.] Univ East Anglia, Sch Environm Sci, Norwich, England; [Droste, Elise S.; Hoppmann, Mario; Damm, Ellen] Helmholtz Ctr Polar &amp; Marine Res, Alfred Wegener Inst, Bremerhaven, Germany; [Chamberlain, Emelia J.] Univ Calif San Diego, Scripps Inst Oceanog, La Jolla, CA USA; [Kolabutin, Nikolai; Shimanchuk, Egor] Arctic &amp; Antarctic Res Inst, St Petersburg, Russia; [Gallagher, Michael R.] Univ Colorado, Cooperat Inst Res Environm Sci, Boulder, CO USA; [Gallagher, Michael R.] NOAA, Phys Sci Lab, Boulder, CO USA; [Meyer, Hanno; Mellat, Moein] Helmholtz Ctr Polar &amp; Marine Res, Alfred Wegener Inst, Potsdam, Germany; [Bauch, Dorothea] GEOMAR Helmholtz Ctr Ocean Res Kiel, Kiel, Germany; [Bauch, Dorothea] Univ Kiel CAU, Leibniz Lab, Kiel, Germany; [Gabarro, Carolina] CSIC, Barcelona Expert Ctr BEC, Inst Marine Sci ICM, Barcelona, Spain; [Smith, Madison M.] Univ Seattle, Polar Sci Ctr, Appl Phys Lab, Seattle, WA USA; [Smith, Madison M.] Woods Hole Oceanog Inst, Woods Hole, MA USA; [Inoue, Jun] Natl Inst Polar Res, Tachikawa, Japan; [Delille, Bruno] Univ Liege, Freshwater &amp; Ocean Sci Unit Res FOCUS, Unite Oceanog Chim, Liege, Belgium</t>
  </si>
  <si>
    <t>Hokkaido University; Hokkaido University; Hokkaido University; University of Tokyo; University of Warwick; University of York - UK; Ministry of Natural Resources of the People's Republic of China; Third Institute of Oceanography, Ministry of Natural Resources; Consejo Superior de Investigaciones Cientificas (CSIC); CSIC - Centro Mediterraneo de Investigaciones Marinas y Ambientales (CMIMA); CSIC - Instituto de Ciencias del Mar (ICM); University of Plymouth; University of East Anglia; Helmholtz Association; Alfred Wegener Institute, Helmholtz Centre for Polar &amp; Marine Research; University of California System; University of California San Diego; Scripps Institution of Oceanography; Arctic &amp; Antarctic Research Institute; University of Colorado System; University of Colorado Boulder; National Oceanic Atmospheric Admin (NOAA) - USA; Helmholtz Association; Alfred Wegener Institute, Helmholtz Centre for Polar &amp; Marine Research; Helmholtz Association; GEOMAR Helmholtz Center for Ocean Research Kiel; Consejo Superior de Investigaciones Cientificas (CSIC); CSIC - Centro Mediterraneo de Investigaciones Marinas y Ambientales (CMIMA); CSIC - Instituto de Ciencias del Mar (ICM); Seattle University; Woods Hole Oceanographic Institution; Research Organization of Information &amp; Systems (ROIS); National Institute of Polar Research (NIPR) - Japan; University of Liege</t>
  </si>
  <si>
    <t>Nomura, D (corresponding author), Hokkaido Univ, Field Sci Ctr Northern Biosphere, Hakodate, Japan.;Nomura, D (corresponding author), Hokkaido Univ, Fac Fisheries Sci, Hakodate, Japan.;Nomura, D (corresponding author), Hokkaido Univ, Arctic Res Ctr, Sapporo, Japan.</t>
  </si>
  <si>
    <t>Smith, Madison/JME-8685-2023; Delille, Bruno/C-3486-2008; Gallagher, Michael/IUO-9753-2023; Hoppmann, Mario/KFB-0363-2024; Meyer, Hanno/E-2870-2016; dallosto, manuel/G-3584-2016</t>
  </si>
  <si>
    <t>Hoppmann, Mario/0000-0003-1294-9531; dallosto, manuel/0000-0003-4203-894X</t>
  </si>
  <si>
    <t>Japan Society for the Promotion of Science [JP18H03745, JP18KK0292, JP17KK0083, JP17H04715, JP20H04345]; Joint Research Program of theJapan Arctic Research Network Center; German Federal Ministry of Education and Research [03FO869A]; UK Natural Environment Research Council (NERC) [NE/S002596/1, NE/S002502/1]; NERC; Department forBusiness, Energy &amp; Industrial Strategy (BEIS); National Science Foundation (USA) [NSF OPP 1821911]; NSF Graduate Research Fellowship; Spanish funding Agency (AEI) [2019-111844-2]; NSF [OPP-1724467, OPP-1724748, OPP-2138787]; German funding Agency (DFG) [BA1689/4-1]</t>
  </si>
  <si>
    <t>Japan Society for the Promotion of Science(Ministry of Education, Culture, Sports, Science and Technology, Japan (MEXT)Japan Society for the Promotion of Science); Joint Research Program of theJapan Arctic Research Network Center; German Federal Ministry of Education and Research(Federal Ministry of Education &amp; Research (BMBF)); UK Natural Environment Research Council (NERC)(UK Research &amp; Innovation (UKRI)Natural Environment Research Council (NERC)); NERC(UK Research &amp; Innovation (UKRI)Natural Environment Research Council (NERC)); Department forBusiness, Energy &amp; Industrial Strategy (BEIS); National Science Foundation (USA)(National Science Foundation (NSF)); NSF Graduate Research Fellowship(National Science Foundation (NSF)); Spanish funding Agency (AEI); NSF(National Science Foundation (NSF)); German funding Agency (DFG)(German Research Foundation (DFG))</t>
  </si>
  <si>
    <t>This study was supported by the Japan Society for thePromotion of Science (grant numbers: JP18H03745;JP18KK0292; JP17KK0083; JP17H04715; JP20H04345)and by a grant from the Joint Research Program of theJapan Arctic Research NetworkCenter. MM and HM aresupported through the German Federal Ministry of Edu-cation and Research (grant number 03FO869A). ALW andKS were funded through the UK Natural EnvironmentResearch Council (NERC) (Grants No NE/S002596/1 andNE/S002502/1, respectively). ESD was supported by NERCthrough the EnvEast Doctoral Training Partnership (NE/L002582/1), as well as NERC and the Department forBusiness, Energy &amp; Industrial Strategy (BEIS) through theUK Arctic Office. EJC was supported by the National Sci-ence Foundation (USA) NSF OPP 1821911 and NSF Graduate Research Fellowship. CG was funded through the Spanish funding Agency (AEI) though the grant PCI2019-111844-2. MMS was funded through NSF OPP-1724467, OPP-1724748, and OPP-2138787. DB was funded through the German funding Agency (DFG) through grant BA1689/4-1.</t>
  </si>
  <si>
    <t>10.1525/elementa.2022.00102</t>
  </si>
  <si>
    <t>H5KO5</t>
  </si>
  <si>
    <t>WOS:000996351500001</t>
  </si>
  <si>
    <t>Watanabe, Y; Abe-Ouchi, A; Saito, F; Kino, K; O'ishi, R; Ito, T; Kawamura, K; Chan, WL</t>
  </si>
  <si>
    <t>Watanabe, Yasuto; Abe-Ouchi, Ayako; Saito, Fuyuki; Kino, Kanon; O'ishi, Ryouta; Ito, Takashi; Kawamura, Kenji; Chan, Wing-Le</t>
  </si>
  <si>
    <t>Astronomical forcing shaped the timing of early Pleistocene glacial cycles</t>
  </si>
  <si>
    <t>DEEP-SEA-TEMPERATURE; ANTARCTIC ICE-SHEET; CARBON-DIOXIDE; CO2 RECORD; CLIMATE; INSOLATION; OBLIQUITY; VARIABILITY; VOLUME; TRANSITION</t>
  </si>
  <si>
    <t>The timing of precession and obliquity cycles determined the duration of each glacial/interglacial period during the Early Pleistocene, according to dynamic ice-sheet-climate simulations of the glacial cycles between 1.6 and 1.2 million years ago. Glacial cycles during the early Pleistocene are characterised by a dominant 41,000-year periodicity and amplitudes smaller than those of glacial cycles with similar to 100,000-year periodicity during the late Pleistocene. However, it remains unclear how the 41,000-year glacial cycles during the early Pleistocene respond to Earth's astronomical forcings. Here we employ a three-dimensional ice-sheet model to simulate the glacial cycles at similar to 1.6-1.2 million years before present and analyse the phase angle of precession and obliquity at deglaciations. We show that each deglaciation occurs at every other precession minimum, and when obliquity is large. The lead-lag relationship between precession and obliquity controls the length of interglacial periods, the shape of the glacial cycle, and the glacial ice-sheet geometry. The large amplitudes of obliquity and eccentricity during this period helped to establish robust 41,000-year glacial cycles. This behaviour is explained by the threshold mechanism determined by ice-sheet size and astronomical forcings.</t>
  </si>
  <si>
    <t>[Watanabe, Yasuto; Abe-Ouchi, Ayako; Kino, Kanon; O'ishi, Ryouta; Chan, Wing-Le] Univ Tokyo, Atmosphere &amp; Ocean Res Inst, Kashiwa, Japan; [Watanabe, Yasuto; Abe-Ouchi, Ayako] Univ Tokyo, Grad Sch Sci, Dept Earth &amp; Planetary Sci, Tokyo, Japan; [Abe-Ouchi, Ayako; Kawamura, Kenji] Natl Inst Polar Res, Tokyo, Japan; [Abe-Ouchi, Ayako; Saito, Fuyuki; Kawamura, Kenji] Japan Agcy Marine Earth Sci &amp; Technol, Yokohama, Japan; [Ito, Takashi] Natl Astron Observ Japan, Ctr Computat Astrophys, Tokyo, Japan; [Ito, Takashi] Chiba Inst Technol, Planetary Explorat Res Ctr, Narashino, Japan; [Kawamura, Kenji] Grad Univ Adv Studies, SOKENDAI, Dept Polar Sci, Tokyo, Japan; [Watanabe, Yasuto] Japan Meteorol Agcy, Meteorol Res Inst, Tsukuba, Japan; [Kino, Kanon] Univ Tokyo, Grad Sch Engn, Dept Civil Engn, Tokyo, Japan; [Chan, Wing-Le] Japan Agcy Marine Earth Sci &amp; Technol, Yokohama, Japan</t>
  </si>
  <si>
    <t>University of Tokyo; University of Tokyo; Research Organization of Information &amp; Systems (ROIS); National Institute of Polar Research (NIPR) - Japan; Japan Agency for Marine-Earth Science &amp; Technology (JAMSTEC); National Institutes of Natural Sciences (NINS) - Japan; National Astronomical Observatory of Japan (NAOJ); Chiba Institute of Technology; Graduate University for Advanced Studies - Japan; Meteorological Research Institute - Japan; Japan Meteorological Agency; University of Tokyo; Japan Agency for Marine-Earth Science &amp; Technology (JAMSTEC)</t>
  </si>
  <si>
    <t>Abe-Ouchi, A (corresponding author), Univ Tokyo, Atmosphere &amp; Ocean Res Inst, Kashiwa, Japan.;Abe-Ouchi, A (corresponding author), Univ Tokyo, Grad Sch Sci, Dept Earth &amp; Planetary Sci, Tokyo, Japan.;Abe-Ouchi, A (corresponding author), Natl Inst Polar Res, Tokyo, Japan.;Abe-Ouchi, A (corresponding author), Japan Agcy Marine Earth Sci &amp; Technol, Yokohama, Japan.</t>
  </si>
  <si>
    <t>abeouchi@aori.u-tokyo.ac.jp</t>
  </si>
  <si>
    <t>Chan, Wing-Le/X-3976-2019; Kino, Kanon/AAD-7999-2022; Abe-Ouchi, Ayako A/M-6359-2013; Ito, Takashi/E-5270-2013; Kawamura, Kenji/C-7660-2011</t>
  </si>
  <si>
    <t>Chan, Wing-Le/0000-0002-5646-6104; Kino, Kanon/0000-0003-1853-2948; Abe-Ouchi, Ayako A/0000-0003-1745-5952; Ito, Takashi/0000-0002-0549-9002; SAITO, Fuyuki/0000-0001-5935-9614; Kawamura, Kenji/0000-0003-1163-700X; Watanabe, Yasuto/0000-0003-2580-8973; O'ishi, Ryouta/0000-0002-1001-9309</t>
  </si>
  <si>
    <t>Japan Society for the Promotion of Science (JSPS) KAKENHI [17H06104, JP17H06323, JP19H05595]</t>
  </si>
  <si>
    <t>Japan Society for the Promotion of Science (JSPS) KAKENHI(Ministry of Education, Culture, Sports, Science and Technology, Japan (MEXT)Japan Society for the Promotion of ScienceGrants-in-Aid for Scientific Research (KAKENHI))</t>
  </si>
  <si>
    <t>AcknowledgementsThis research is supported by Japan Society for the Promotion of Science (JSPS) KAKENHI 17H06104, JP17H06323 and JP19H05595. We thank Chronis Tzedakis and two anonymous referees for their thoughtful reviews. We thank Ryotaro Todoroki and Eiichi Tajika for their constructive comments and encouragement. We thank James Buxton, MSc from Edanz Group (www.edanzediting.com/ac), for editing a draft of this manuscript. The numerical experiments were performed using the JAMSTEC Earth Simulator.</t>
  </si>
  <si>
    <t>10.1038/s43247-023-00765-x</t>
  </si>
  <si>
    <t>G3EA5</t>
  </si>
  <si>
    <t>WOS:000988017700002</t>
  </si>
  <si>
    <t>Verchovsky, AB; Abernethy, FAJ; Anand, M; Barber, SJ; Findlay, R; Franchi, IA; Greenwood, RC; Grady, MM</t>
  </si>
  <si>
    <t>Verchovsky, A. B.; Abernethy, F. A. J.; Anand, M.; Barber, S. J.; Findlay, R.; Franchi, I. A.; Greenwood, R. C.; Grady, M. M.</t>
  </si>
  <si>
    <t>Quantitative evolved gas analysis: Winchcombe in comparison with other CM2 meteorites</t>
  </si>
  <si>
    <t>CARBONACEOUS CHONDRITES; AQUEOUS ALTERATION; ISOTOPIC COMPOSITIONS; ANTARCTIC METEORITES; PARENT BODY; SULFUR; HYDROGEN; MINERALOGY; ABUNDANCE; EVOLUTION</t>
  </si>
  <si>
    <t>Two bulk Winchcombe along with six other CM2 meteorite samples were subjected to quantitative evolved gas analysis. The observed release patterns for almost all volatile species demonstrate close similarity for all the samples and especially between those for Winchcombe. This can be considered as a fingerprint for this petrological type of meteorites. We identified several gases including H-2, H2O, O-2, CO, CO2, and SO2 released in different temperature ranges. The sources and mechanisms of their release were also established. Some of the gases, H-2, CO, and CO2, are released as a result of oxidation of macromolecular organic material from oxygen derived from oxygen-bearing minerals (a part of CO2 is also released as a result of decomposition of carbonates). The others, O-2 and H2O, are associated with the phase transformation/decomposition of phyllosilicates and (oxy)hydrates, while a high-temperature release of SO2 is associated mostly with the decomposition of sulfides and in few cases also with sulfates. A low-temperature release of SO2 is due to evaporation and oxidation of elemental sulfur from the meteoritic matrix and organic material. The total concentrations of H (mostly represented by H2O), C, and S, calculated according to calibration of the quadrupole mass spectrometer with reference gases and decomposition of solid samples (CaSO4 center dot 2H(2)O and NaHCO3) are in reasonable agreement with those determined by independent methods. Variations in the ratio of the carbon amounts released as CO2 and CO (CCO2$$ {\mathrm{C}}_{{\mathrm{C}\mathrm{O}}_2} $$/C-CO) between the samples could be an indicator of their terrestrial weathering.</t>
  </si>
  <si>
    <t>[Verchovsky, A. B.; Abernethy, F. A. J.; Anand, M.; Barber, S. J.; Findlay, R.; Franchi, I. A.; Greenwood, R. C.; Grady, M. M.] Open Univ, Sch Phys Sci, Milton Keynes, England; [Verchovsky, A. B.] Open Univ, Sch Phys Sci, Walton Hall, Milton Keynes MK7 6AA, England</t>
  </si>
  <si>
    <t>Open University - UK; Open University - UK</t>
  </si>
  <si>
    <t>Verchovsky, AB (corresponding author), Open Univ, Sch Phys Sci, Walton Hall, Milton Keynes MK7 6AA, England.</t>
  </si>
  <si>
    <t>sasha.verchovsky@open.ac.uk</t>
  </si>
  <si>
    <t>Anand, Mahesh/E-9259-2013</t>
  </si>
  <si>
    <t>Anand, Mahesh/0000-0003-4026-4476; Findlay, Ross/0000-0001-7794-1819; Verchovsky, Alexander/0000-0002-3532-5003; Greenwood, Richard/0000-0002-5544-8027; Barber, Simeon/0000-0003-1408-667X</t>
  </si>
  <si>
    <t>STFC [ST/V000799/1]; STFC [ST/V000799/1, ST/T000228/1]; STFC [ST/V000799/1] Funding Source: UKRI; STFC [ST/T000228/1] Funding Source: UKRI</t>
  </si>
  <si>
    <t>STFC(UK Research &amp; Innovation (UKRI)Science &amp; Technology Facilities Council (STFC)); STFC(UK Research &amp; Innovation (UKRI)Science &amp; Technology Facilities Council (STFC)); STFC(UK Research &amp; Innovation (UKRI)Science &amp; Technology Facilities Council (STFC)); STFC(UK Research &amp; Innovation (UKRI)Science &amp; Technology Facilities Council (STFC))</t>
  </si>
  <si>
    <t>This publication is part of the Winchcombe science team consortium, organized by the UK Fireball Alliance and conducted by the UK Cosmochemistry Network. The authors of this paper thank the UK Fireball Alliance, its constituent networks (UK Fireball Network, SCAMP, UKMON, AllSky7, NEMATODE, GMN), international collaborators (FRIPON, Global Fireball Observatory, Desert Fireball Network, University of Western Ontario and University of Helsinki), and the meteor observation camera owners who participate in the UK Fireball Alliance network for their aid in observing the fireball and helping to predict its fall position. We also thank the scientists and volunteers who participated in the UK Fireball Alliance-led search and recovery of the Winchcombe meteorite, and the local community, who generously reported and donated meteorite finds and enabled the team to search the strewn field. STFC are acknowledged for supporting the Curation and Preliminary Examination of the Winchcombe Carbonaceous Chondrite Fall project (ST/V000799/1), and Natural History Museum staff for curatorial support. Funding from STFC Consolidated Grant ST/T000228/1 is also gratefully acknowledged. We thank two anonymous reviewers for their comments that helped to improve the manuscript.</t>
  </si>
  <si>
    <t>2023 MAY 15</t>
  </si>
  <si>
    <t>10.1111/maps.13983</t>
  </si>
  <si>
    <t>G2YT5</t>
  </si>
  <si>
    <t>WOS:000987880700001</t>
  </si>
  <si>
    <t>Kim, S; Bak, YS; Prebble, JG; Kang, MI; Kim, S; Park, J; Lee, MK; Lee, JI; Yoo, KC; Moon, HS</t>
  </si>
  <si>
    <t>Kim, Sunghan; Bak, Young-Suk; Prebble, Joseph G.; Kang, Myung-Il; Kim, Sookwan; Park, Jinku; Lee, Min Kyung; Lee, Jae Il; Yoo, Kyu-Cheul; Moon, Heung Soo</t>
  </si>
  <si>
    <t>Glacial-interglacial changes in oceanic conditions and depositional process in the continental rise in response to ice sheet (shelf) variation in Bellingshausen Sea, Antarctica</t>
  </si>
  <si>
    <t>Bellingshausen Sea; surface diatom production; contourite; lamination; ice sheet variation</t>
  </si>
  <si>
    <t>SOUTHERN-OCEAN; SEDIMENTARY PROCESSES; SURFACE SEDIMENTS; WEST ANTARCTICA; LATE QUATERNARY; AMUNDSEN SEAS; HIGH-LATITUDE; SCOTIA SEA; GRAIN-SIZE; PENINSULA</t>
  </si>
  <si>
    <t>Antarctic continental margin sediments are eroded from the shelf and transported to the slope/rise in association with changing ice sheet configuration. Understanding the dynamics of this transport pathway is important for utilizing distal deep-sea sedimentary archives to determine past changes in the Antarctic ice sheet. However, these connections are poorly understood. Here we present multi-proxy records of two sediment cores (BS17-GC01 and BS17-GC02) from the Bellingshausen Sea continental rise, to explore relationships between depositional regime and ice sheet dynamics. Two cores show depositional/sedimentological variations on glacial-interglacial scales. Biogenic sediments were deposited during MIS 1, 5, and 7 under open ocean conditions. Glacial to deglacial sediments were laminated as a result of varying intensity of bottom currents. Terrestrially derived sediments are inferred to be transported from shelf both as grounded ice advanced during glacial expansion, and as ice retreated during deglacial periods. Sediment color shifted to brown after deglacial periods with high Mn/Ti and occurrence of bioturbation, indicating increasing bottom water oxygenation in the study area. Since surface water production started to increase from deglacial periods, we infer increased bottom water oxygenation in this setting is due to ventilation (i.e., Antarctic Bottom Water (AABW) formation), implying that AABW formation was increased during interglacial periods from deglacial period whereas was decreased during glacial periods. Thus, sedimentary/depositional changes in BS17-GC01 and BS17-GC02 are closely linked to ice sheet dynamics during the late Quaternary.</t>
  </si>
  <si>
    <t>[Kim, Sunghan; Kang, Myung-Il; Park, Jinku; Lee, Min Kyung; Lee, Jae Il; Yoo, Kyu-Cheul; Moon, Heung Soo] Korea Polar Res Inst, Incheon, South Korea; [Bak, Young-Suk] Jeonbuk Natl Univ, Dept Earth &amp; Environm Sci, Jeonju, South Korea; [Prebble, Joseph G.] GNS Sci, Dept Surface Geosci, Lower Hutt, New Zealand; [Kim, Sookwan] Korea Inst Ocean Sci &amp; Technol, Busan, South Korea</t>
  </si>
  <si>
    <t>Korea Polar Research Institute (KOPRI); Jeonbuk National University; GNS Science - New Zealand; Korea Institute of Ocean Science &amp; Technology (KIOST)</t>
  </si>
  <si>
    <t>Kim, S (corresponding author), Korea Polar Res Inst, Incheon, South Korea.</t>
  </si>
  <si>
    <t>delongksh@kopri.re.kr</t>
  </si>
  <si>
    <t>KOPRI - Ministry of Oceans and Fisheries [PE23090]; New Zealand Government MBIE Antarctic Science Platform [ANTA1801]; National Research of Korea (NRF) - Korea government (MSIT) [2022R1A2C1091796]</t>
  </si>
  <si>
    <t>KOPRI - Ministry of Oceans and Fisheries; New Zealand Government MBIE Antarctic Science Platform; National Research of Korea (NRF) - Korea government (MSIT)(National Research Foundation of KoreaMinistry of Science &amp; ICT (MSIT), Republic of Korea)</t>
  </si>
  <si>
    <t>This research was supported by KOPRI grant funded by the Ministry of Oceans and Fisheries (PE23090). JP was supported by the New Zealand Government MBIE Antarctic Science Platform contract ID ANTA1801. This work was also supported by the National Research of Korea (NRF) grant funded by the Korea government (MSIT) (No. 2022R1A2C1091796).</t>
  </si>
  <si>
    <t>10.3389/fmars.2023.1183516</t>
  </si>
  <si>
    <t>H4TW2</t>
  </si>
  <si>
    <t>WOS:000995914600001</t>
  </si>
  <si>
    <t>Moeller, FU; Herbold, CW; Schintlmeister, A; Mooshammer, M; Motti, C; Glasl, B; Kitzinger, K; Behnam, F; Watzka, M; Schweder, T; Albertsen, M; Richter, A; Webster, NS; Wagner, M</t>
  </si>
  <si>
    <t>Moeller, Florian U. U.; Herbold, Craig W. W.; Schintlmeister, Arno; Mooshammer, Maria; Motti, Cherie; Glasl, Bettina; Kitzinger, Katharina; Behnam, Faris; Watzka, Margarete; Schweder, Thomas; Albertsen, Mads; Richter, Andreas; Webster, Nicole S. S.; Wagner, Michael</t>
  </si>
  <si>
    <t>Taurine as a key intermediate for host-symbiont interaction in the tropical sponge Ianthella basta</t>
  </si>
  <si>
    <t>ISME JOURNAL</t>
  </si>
  <si>
    <t>IN-SITU HYBRIDIZATION; FREE AMINO-ACIDS; OLIGONUCLEOTIDE PROBES; GENOMIC ANALYSIS; MARINE SPONGES; SOLE SOURCE; LIFE-STYLE; NITROGEN; CARBON; BACTERIAL</t>
  </si>
  <si>
    <t>Marine sponges are critical components of marine benthic fauna assemblages, where their filter-feeding and reef-building capabilities provide bentho-pelagic coupling and crucial habitat. As potentially the oldest representation of a metazoan-microbe symbiosis, they also harbor dense, diverse, and species-specific communities of microbes, which are increasingly recognized for their contributions to dissolved organic matter (DOM) processing. Recent omics-based studies of marine sponge microbiomes have proposed numerous pathways of dissolved metabolite exchange between the host and symbionts within the context of the surrounding environment, but few studies have sought to experimentally interrogate these pathways. By using a combination of metaproteogenomics and laboratory incubations coupled with isotope-based functional assays, we showed that the dominant gammaproteobacterial symbiont, 'Candidatus Taurinisymbion ianthellae', residing in the marine sponge, Ianthella basta, expresses a pathway for the import and dissimilation of taurine, a ubiquitously occurring sulfonate metabolite in marine sponges. 'Candidatus Taurinisymbion ianthellae' incorporates taurine-derived carbon and nitrogen while, at the same time, oxidizing the dissimilated sulfite into sulfate for export. Furthermore, we found that taurine-derived ammonia is exported by the symbiont for immediate oxidation by the dominant ammonia-oxidizing thaumarchaeal symbiont, 'Candidatus Nitrosospongia ianthellae'. Metaproteogenomic analyses also suggest that 'Candidatus Taurinisymbion ianthellae' imports DMSP and possesses both pathways for DMSP demethylation and cleavage, enabling it to use this compound as a carbon and sulfur source for biomass, as well as for energy conservation. These results highlight the important role of biogenic sulfur compounds in the interplay between Ianthella basta and its microbial symbionts.</t>
  </si>
  <si>
    <t>[Moeller, Florian U. U.; Herbold, Craig W. W.; Schintlmeister, Arno; Mooshammer, Maria; Glasl, Bettina; Kitzinger, Katharina; Behnam, Faris; Wagner, Michael] Univ Vienna, Ctr Microbiol &amp; Environm Syst Sci, Div Microbial Ecol, Vienna, Austria; [Schintlmeister, Arno; Wagner, Michael] Univ Vienna, Ctr Microbiol &amp; Environm Syst Sci, Large Instrument Facil Environm &amp; Isotope Mass Spe, Vienna, Austria; [Motti, Cherie; Webster, Nicole S. S.] Australian Inst Marine Sci, Townsville, Qld, Australia; [Watzka, Margarete; Richter, Andreas] Univ Vienna, Ctr Microbiol &amp; Environm Syst Sci, Div Terr Ecosyst Res, Vienna, Austria; [Schweder, Thomas] Inst Marine Biotechnol EV, Greifswald, Germany; [Schweder, Thomas] Univ Greifswald, Inst Pharm, Pharmaceut Biotechnol, Greifswald, Germany; [Albertsen, Mads; Wagner, Michael] Aalborg Univ, Ctr Microbial Communities, Dept Chem &amp; Biosci, Aalborg, Denmark; [Webster, Nicole S. S.] Univ Queensland, Australian Ctr Ecogenom, Sch Chem &amp; Mol Biosci, St Lucia, Qld, Australia; [Webster, Nicole S. S.] Australian Antarctic Div, Kingston, Tas, Australia</t>
  </si>
  <si>
    <t>University of Vienna; University of Vienna; Australian Institute of Marine Science; University of Vienna; Universitat Greifswald; Aalborg University; University of Queensland; Australian Antarctic Division</t>
  </si>
  <si>
    <t>Wagner, M (corresponding author), Univ Vienna, Ctr Microbiol &amp; Environm Syst Sci, Div Microbial Ecol, Vienna, Austria.;Wagner, M (corresponding author), Univ Vienna, Ctr Microbiol &amp; Environm Syst Sci, Large Instrument Facil Environm &amp; Isotope Mass Spe, Vienna, Austria.;Wagner, M (corresponding author), Aalborg Univ, Ctr Microbial Communities, Dept Chem &amp; Biosci, Aalborg, Denmark.</t>
  </si>
  <si>
    <t>michael.wagner@univie.ac.at</t>
  </si>
  <si>
    <t>Watzka, Margarete/C-3843-2014; Motti, Cherie/A-2588-2012; Herbold, Craig William/S-4397-2018; Richter, Andreas/D-8483-2012; Schweder, Thomas/GQB-0990-2022; Mooshammer, Maria/E-6696-2012; Wagner, Michael/A-7801-2011; Albertsen, Mads/T-7358-2018</t>
  </si>
  <si>
    <t>Motti, Cherie/0000-0002-3292-2785; Herbold, Craig William/0000-0003-3479-0197; Richter, Andreas/0000-0003-3282-4808; Schweder, Thomas/0000-0002-7213-3596; Wagner, Michael/0000-0002-9778-7684; Kitzinger, Katharina/0000-0001-7382-7103; Schintlmeister, Arno/0000-0002-1146-0032; Albertsen, Mads/0000-0002-6151-190X</t>
  </si>
  <si>
    <t>1751-7362</t>
  </si>
  <si>
    <t>1751-7370</t>
  </si>
  <si>
    <t>ISME J</t>
  </si>
  <si>
    <t>ISME J.</t>
  </si>
  <si>
    <t>10.1038/s41396-023-01420-1</t>
  </si>
  <si>
    <t>M1FE7</t>
  </si>
  <si>
    <t>WOS:000987114800001</t>
  </si>
  <si>
    <t>Guro, P; Karlov, D; Kuznetsova, I; Sazanova, A; Alekhina, I; Belimov, A; Safronova, V</t>
  </si>
  <si>
    <t>Guro, Polina; Karlov, Denis; Kuznetsova, Irina; Sazanova, Anna; Alekhina, Irina; Belimov, Andrey; Safronova, Vera</t>
  </si>
  <si>
    <t>Whole-Genome Sequence of Rhizobacterium Sphingomonas sp. Strain 7/4-4, Isolated from the Root Nodule of Astragalus tugarinovii Basil Growing in the Russian Arctic</t>
  </si>
  <si>
    <t>The complete genome sequence of Sphingomonas sp. strain 7/4-4, which was isolated from the root nodule of the circumpolar legume Astragalus tugarinovii Basil, is reported. The assembly contains 4,423,370 bp in 1 circular chromosome, with a GC content of 65.94%. The genome sequence of strain 7/4-4 could provide insights into the metabolic potential of Arctic rhizobacteria. The complete genome sequence of Sphingomonas sp. strain 7/4-4, which was isolated from the root nodule of the circumpolar legume Astragalus tugarinovii Basil, is reported. The assembly contains 4,423,370 bp in 1 circular chromosome, with a GC content of 65.94%. The genome sequence of strain 7/4-4 could provide insights into the metabolic potential of Arctic rhizobacteria.</t>
  </si>
  <si>
    <t>[Guro, Polina; Karlov, Denis; Kuznetsova, Irina; Sazanova, Anna; Belimov, Andrey; Safronova, Vera] All Russia Res Inst Agr Microbiol, St Petersburg, Russia; [Alekhina, Irina] Arctic &amp; Antarctic Res Inst, St Petersburg, Russia</t>
  </si>
  <si>
    <t>Guro, P (corresponding author), All Russia Res Inst Agr Microbiol, St Petersburg, Russia.</t>
  </si>
  <si>
    <t>polinaguro@gmail.com</t>
  </si>
  <si>
    <t>Safronova, Vera/W-2400-2018; Belimov, Andrey A./V-7408-2018; Alekhina, Irina A/L-2163-2016</t>
  </si>
  <si>
    <t>Russian Science Foundation [20-76-10042]</t>
  </si>
  <si>
    <t>This work was supported by the Russian Science Foundation (grant 20-76-10042).</t>
  </si>
  <si>
    <t>10.1128/mra.00141-23</t>
  </si>
  <si>
    <t>WOS:000987774200001</t>
  </si>
  <si>
    <t>Gülher, E; Alganci, U</t>
  </si>
  <si>
    <t>Gulher, Emre; Alganci, Ugur</t>
  </si>
  <si>
    <t>Satellite-Derived Bathymetry Mapping on Horseshoe Island, Antarctic Peninsula, with Open-Source Satellite Images: Evaluation of Atmospheric Correction Methods and Empirical Models</t>
  </si>
  <si>
    <t>satellite-derived bathymetry; Landsat 8; Sentinel 2; machine learning; deep learning; atmospheric correction</t>
  </si>
  <si>
    <t>WATER DEPTH; COASTAL WATER; LANDSAT; INLAND; APPROXIMATION; ALGORITHMS; RETRIEVAL; SEA</t>
  </si>
  <si>
    <t>Satellite-derived bathymetry (SDB) is the process of estimating water depth in shallow coastal and inland waters using satellite imagery. Recent advances in technology and data processing have led to improvements in the accuracy and availability of SDB. The increased availability of free optical satellite sensors, such as Landsat missions and Sentinel 2 satellites, has increased the quantity and frequency of SDB research and mapping efforts. In addition, machine learning (ML)- and deep learning (DL)-based algorithms, which can learn to identify features that are indicative of water depth, such as color or texture variations, have started to be used for extracting bathymetry information from satellite imagery. This study aims to produce an initial optical image-based SBD map of Horseshoe Island's shallow coasts and to perform a comprehensive and comparative evaluation with Landsat 8 and Sentinel 2 satellite images. Our research considers the performance of empirical SDB models (classical, ML-based, and DL-based) and the effects of the atmospheric correction methods ACOLITE, iCOR, and ATCOR. For all band combinations and depth intervals, the ML-based random forest and XGBoost models delivered the highest performance and best fitting ability by achieving the lowest error with MAEs smaller than 1 m up to 10 m depth and a maximum correlation of R-2 around 0.80. These models are followed by the DL-based ANN and CNN models. Nonetheless, the non-linearity of the reflectance-depth connection was significantly reduced by the ML-based models. Furthermore, Landsat 8 showed better performance for 10-20 m depth intervals and in the entire range of (0-20 m), while Sentinel 2 was slightly better up to 10 m depth intervals. Lastly, ACOLITE, iCOR, and ATCOR provided reliable and consistent results for SDB, where ACOLITE provided the highest automation.</t>
  </si>
  <si>
    <t>[Gulher, Emre] Istanbul Tech Univ, Grad Sch, Geomat Engn Program, TR-34469 Istanbul, Turkiye; [Alganci, Ugur] Istanbul Tech Univ, Civil Engn Fac, Geomat Engn Dept, TR-34469 Istanbul, Turkiye</t>
  </si>
  <si>
    <t>Istanbul Technical University; Istanbul Technical University</t>
  </si>
  <si>
    <t>Alganci, U (corresponding author), Istanbul Tech Univ, Civil Engn Fac, Geomat Engn Dept, TR-34469 Istanbul, Turkiye.</t>
  </si>
  <si>
    <t>gulher18@itu.edu.tr; alganci@itu.edu.tr</t>
  </si>
  <si>
    <t>Alganci, Ugur/N-9221-2013; GÜLHER, Emre/ISB-2777-2023</t>
  </si>
  <si>
    <t>Alganci, Ugur/0000-0002-5693-3614; GULHER, EMRE/0000-0002-6548-6561</t>
  </si>
  <si>
    <t>Scientific and Technological Research Council of Turkey (TUBITAK), 1001 program [121Y366]</t>
  </si>
  <si>
    <t>Scientific and Technological Research Council of Turkey (TUBITAK), 1001 program(Turkiye Bilimsel ve Teknolojik Arastirma Kurumu (TUBITAK))</t>
  </si>
  <si>
    <t>This study was funded by the Scientific and Technological Research Council of Turkey (TUBITAK), 1001 program, Project No: 121Y366.</t>
  </si>
  <si>
    <t>MAY 14</t>
  </si>
  <si>
    <t>10.3390/rs15102568</t>
  </si>
  <si>
    <t>H6GJ2</t>
  </si>
  <si>
    <t>WOS:000996922400001</t>
  </si>
  <si>
    <t>Manning, J; Macleod, C; Lucieer, V</t>
  </si>
  <si>
    <t>Manning, Julian; Macleod, Catriona; Lucieer, Vanessa</t>
  </si>
  <si>
    <t>Seascape Visual Characterization: Combining Viewing Geometry and Physical Features to Quantify the Perception of Seascape</t>
  </si>
  <si>
    <t>seascape character assessment; visual character assessment; GIS modeling; spatial planning; visual geometry; spatiovisual analysis; visual quality</t>
  </si>
  <si>
    <t>LANDSCAPE; IMPACT; PHOTOGRAPHS</t>
  </si>
  <si>
    <t>The visual impacts of marine-based economic activities on seascape quality and its inherent value for different user groups are considered to be a highly contentious issue and difficult to quantify. In recent years, with the growth of the blue economy, the need to better understand the visual perceptions of seascapes has become essential when seeking societal support for new development. This article presents a unique method for assessing and quantifying seascape perception by characterizing a person viewing the geometry of seascape views both from the land and the sea. The method first utilizes a geographic information system (GIS) model to deconstruct the viewing geometry of a seascape view into five geometric elements, including (1) area of viewshed, (2) length of the visible coastline, (3) horizontal extent of the view, (4) vertical extent of the view, and (5) distance to the view. These geometric elements in the second step were reconstructed through an analytical hierarchical process (AHP) to determine the visual quality perception of participants. The results showed a significant improvement in the visual characterization of the seascape and its visual quality perception in comparison with conventional visual characterization methods. The findings indicate that the model promotes multiple perceptual perspectives by facilitating constructive discussions about social acceptance of the visual impact of a specific marine-based development.</t>
  </si>
  <si>
    <t>[Manning, Julian; Macleod, Catriona; Lucieer, Vanessa] Univ Tasmania, Inst Marine &amp; Antarctic Studies IMAS, Hobart, Tas 7001, Australia; [Manning, Julian; Macleod, Catriona] Univ Tasmania, Ctr Marine Socioecol CMS, Hobart, Tas 7001, Australia</t>
  </si>
  <si>
    <t>Manning, J (corresponding author), Univ Tasmania, Inst Marine &amp; Antarctic Studies IMAS, Hobart, Tas 7001, Australia.;Manning, J (corresponding author), Univ Tasmania, Ctr Marine Socioecol CMS, Hobart, Tas 7001, Australia.</t>
  </si>
  <si>
    <t>julian.manning@utas.edu.au</t>
  </si>
  <si>
    <t>MacLeod, Catriona K/J-7176-2014; Lucieer, Vanessa/D-1697-2009</t>
  </si>
  <si>
    <t>Lucieer, Vanessa/0000-0001-7531-5750; Manning, Julian/0000-0003-4481-5474</t>
  </si>
  <si>
    <t>Tasmania Graduate Research Scholarship (TGRS); National Environmental Science Program (NESP) Marine and Coastal Hub</t>
  </si>
  <si>
    <t>J. Manning was supported by a Tasmania Graduate Research Scholarship (TGRS), the PhD scholarship information can be found here. V. Lucieer was supported by the National Environmental Science Program (NESP) Marine and Coastal Hub</t>
  </si>
  <si>
    <t>10.3390/su15108009</t>
  </si>
  <si>
    <t>H6FF7</t>
  </si>
  <si>
    <t>WOS:000996892500001</t>
  </si>
  <si>
    <t>Soloviev, A; Petrunin, A; Gvozdik, S; Sidorov, R</t>
  </si>
  <si>
    <t>Soloviev, Anatoly; Petrunin, Alexey; Gvozdik, Sofia; Sidorov, Roman</t>
  </si>
  <si>
    <t>A Set of Geophysical Fields for Modeling of the Lithosphere Structure and Dynamics in the Russian Arctic Zone</t>
  </si>
  <si>
    <t>DATA</t>
  </si>
  <si>
    <t>Arctic zone; gravity field; heat flow; tomography model; Moho; sedimentary basins</t>
  </si>
  <si>
    <t>SEISMIC TOMOGRAPHY; GREENLAND ICE; ARABIAN PLATE; UPPER-MANTLE; VELOCITY; MAP; THICKNESS; SEDIMENTS; DENSITY; REGION</t>
  </si>
  <si>
    <t>This paper presents a set of various geological and geophysical data for the Arctic zone, including some detailed models for the eastern part of the Russian Arctic zone. This hard-to-access territory has a complex geological structure, which is poorly studied by direct geophysical methods. Therefore, these data can be used in an integrative analysis for different purposes. These are the gravity field, heat flow, and various seismic tomography models. The gravity field data include several reductions calculated during our preceding studies, which are more appropriate for the study of the Earth's interiors than the initial free air anomalies. Specifically, these are the Bouguer, isostatic, and decompensative gravity anomalies. A surface heat flow map included in the dataset is based on a joint inversion of multiple geophysical data constrained by the observations from the International Heat Flow Commission catalog. Available seismic tomography models were analyzed to select the best one for further investigation. We provide the models for the sedimentary cover and the Moho depth, which are significantly improved compared to the existing ones. The database provides a basis for qualitative and quantitative analysis of the region. Dataset: http://www.wdcb.ru/arctic_antarctic/arctic_geoph.fields.html. Dataset License: CC-BY-NC</t>
  </si>
  <si>
    <t>[Soloviev, Anatoly; Petrunin, Alexey; Gvozdik, Sofia; Sidorov, Roman] Geophys Ctr Russian Acad Sci GC RAS, Moscow 119296, Russia; [Soloviev, Anatoly; Petrunin, Alexey] Russian Acad Sci IPE RAS, Schmidt Inst Phys Earth, Moscow 123242, Russia; [Gvozdik, Sofia] Lomonosov Moscow State Univ MSU, Fac Geol, Moscow 119234, Russia</t>
  </si>
  <si>
    <t>Russian Academy of Sciences; Schmidt Institute of Physics of the Earth of the Russian Academy of Sciences; Lomonosov Moscow State University</t>
  </si>
  <si>
    <t>Gvozdik, S; Sidorov, R (corresponding author), Geophys Ctr Russian Acad Sci GC RAS, Moscow 119296, Russia.;Gvozdik, S (corresponding author), Lomonosov Moscow State Univ MSU, Fac Geol, Moscow 119234, Russia.</t>
  </si>
  <si>
    <t>s.gvozdik@gcras.ru; r.sidorov@gcras.ru</t>
  </si>
  <si>
    <t>Gvozdik, Sofia/JDW-8557-2023; Soloviev, Anatoly/M-3954-2016; Sidorov, Roman/A-8238-2014; Petrunin, Alexey/N-4247-2018</t>
  </si>
  <si>
    <t>Gvozdik, Sofia/0000-0001-6925-9860; Soloviev, Anatoly/0000-0002-6476-9471; Sidorov, Roman/0000-0003-2615-4326; Petrunin, Alexey/0000-0002-5439-4178</t>
  </si>
  <si>
    <t>2306-5729</t>
  </si>
  <si>
    <t>Data</t>
  </si>
  <si>
    <t>10.3390/data8050091</t>
  </si>
  <si>
    <t>Computer Science, Information Systems; Multidisciplinary Sciences</t>
  </si>
  <si>
    <t>Computer Science; Science &amp; Technology - Other Topics</t>
  </si>
  <si>
    <t>H5EK9</t>
  </si>
  <si>
    <t>WOS:000996191400001</t>
  </si>
  <si>
    <t>Akhoudas, CH; Sallée, JB; Reverdin, G; Haumann, FA; Pauthenet, E; Chapman, CC; Margirier, F; Lo Monaco, C; Metzl, N; Meilland, J; Stranne, C</t>
  </si>
  <si>
    <t>Akhoudas, Camille Hayatte; Sallee, Jean-Baptiste; Reverdin, Gilles; Haumann, F. Alexander; Pauthenet, Etienne; Chapman, Christopher C. C.; Margirier, Felix; Lo Monaco, Claire; Metzl, Nicolas; Meilland, Julie; Stranne, Christian</t>
  </si>
  <si>
    <t>Isotopic evidence for an intensified hydrological cycle in the Indian sector of the Southern Ocean</t>
  </si>
  <si>
    <t>ANTARCTIC SEA-ICE; FRESH-WATER; MIXED-LAYER; TRENDS; SALINITY; SHELVES; WEST; PRECIPITATION; TEMPERATURE; VARIABILITY</t>
  </si>
  <si>
    <t>The hydrological cycle is expected to intensify in a warming climate. However, observational evidence of such changes in the Southern Ocean is difficult to obtain due to sparse measurements and a complex superposition of changes in precipitation, sea ice, and glacial meltwater. Here we disentangle these signals using a dataset of salinity and seawater oxygen isotope observations collected in the Indian sector of the Southern Ocean. Our results show that the atmospheric water cycle has intensified in this region between 1993 and 2021, increasing the salinity in subtropical surface waters by 0.06 +/- 0.07 g kg(-1) per decade, and decreasing the salinity in subpolar surface waters by -0.02 +/- 0.01 g kg(-1) per decade. The oxygen isotope data allow to discriminate the different freshwater processes showing that in the subpolar region, the freshening is largely driven by the increase in net precipitation (by a factor two) while the decrease in sea ice melt is largely balanced by the contribution of glacial meltwater at these latitudes. These changes extend the growing evidence for an acceleration of the hydrological cycle and a melting cryosphere that can be expected from global warming. Based on concurrent salinity and oxygen isotope observations, the authors find that amplification of the atmospheric water cycle is the main contributor to changes in surface salinity in the Indian Southern Ocean over the past three decades.</t>
  </si>
  <si>
    <t>[Akhoudas, Camille Hayatte; Stranne, Christian] Stockholm Univ, Dept Geol Sci, Stockholm, Sweden; [Akhoudas, Camille Hayatte; Stranne, Christian] Stockholm Univ, Bolin Ctr Climate Res, Stockholm, Sweden; [Sallee, Jean-Baptiste; Reverdin, Gilles; Lo Monaco, Claire; Metzl, Nicolas] Sorbonne Univ, CNRS, IRD, MNHN,LOCEAN, Paris, France; [Haumann, F. Alexander] Alfred Wegener Inst, Helmholtz Ctr Polar &amp; Marine Res, Bremerhaven, Germany; [Haumann, F. Alexander] Ludwig Maximilians Univ Munchen, Munich, Germany; [Haumann, F. Alexander] Princeton Univ, Atmospher &amp; Ocean Sci Program, Princeton, NJ USA; [Pauthenet, Etienne] Inst Univ Europeen Mer, LOPS, CNRS, IFREMER,IRD,UBO, Plouzane, France; [Chapman, Christopher C. C.] CSIRO, Environm Earth Syst Sci Program, Hobart, Tas, Australia; [Margirier, Felix] Georgia Inst Technol, Sch Earth &amp; Atmospher Sci, Atlanta, GA USA; [Meilland, Julie] Univ Bremen, MARUM, Bremen, Germany</t>
  </si>
  <si>
    <t>Stockholm University; Institut de Recherche pour le Developpement (IRD); Centre National de la Recherche Scientifique (CNRS); Sorbonne Universite; Museum National d'Histoire Naturelle (MNHN); Helmholtz Association; Alfred Wegener Institute, Helmholtz Centre for Polar &amp; Marine Research; University of Munich; National Oceanic Atmospheric Admin (NOAA) - USA; Princeton University; Universite de Bretagne Occidentale; Institut Universitaire Europeen de la Mer (IUEM); Centre National de la Recherche Scientifique (CNRS); Ifremer; Institut de Recherche pour le Developpement (IRD); Commonwealth Scientific &amp; Industrial Research Organisation (CSIRO); University System of Georgia; Georgia Institute of Technology; University of Bremen</t>
  </si>
  <si>
    <t>Akhoudas, CH (corresponding author), Stockholm Univ, Dept Geol Sci, Stockholm, Sweden.;Akhoudas, CH (corresponding author), Stockholm Univ, Bolin Ctr Climate Res, Stockholm, Sweden.</t>
  </si>
  <si>
    <t>camille.akhoudas@geo.su.se</t>
  </si>
  <si>
    <t>Haumann, Alexander/J-6679-2014; stranne, christian/L-4382-2013; Chapman, Christopher/AAV-2844-2021; SALLEE, Jean baptiste/HDO-5355-2022; Margirier, Félix/JLL-5095-2023</t>
  </si>
  <si>
    <t>Haumann, Alexander/0000-0002-8218-977X; Chapman, Christopher/0000-0002-0877-4778; Margirier, Félix/0000-0002-1205-3834; Akhoudas, Camille/0000-0003-4685-9948; metzl, nicolas/0000-0002-1165-1074; Pauthenet, Etienne/0000-0002-0531-3810; Meilland, Julie/0000-0001-8966-3115</t>
  </si>
  <si>
    <t>European Union [821001]; NSF's Southern Ocean Carbon and Climate Observations and Modeling (SOCCOM) [80NSSC19K1115]; NASA [101041743]; European Union (ERC) [101060452]; IPEV; OSU Ecce-Terra, LOCEAN; INSU; IPEV; CNFH; OSU Ecce-Terra; LOCEAN; IPSL; [PLR-1425989]; Horizon Europe - Pillar II [101060452] Funding Source: Horizon Europe - Pillar II</t>
  </si>
  <si>
    <t>European Union(European Union (EU)); NSF's Southern Ocean Carbon and Climate Observations and Modeling (SOCCOM); NASA(National Aeronautics &amp; Space Administration (NASA)); European Union (ERC)(European Union (EU)European Research Council (ERC)); IPEV; OSU Ecce-Terra, LOCEAN; INSU(Centre National de la Recherche Scientifique (CNRS)); IPEV; CNFH; OSU Ecce-Terra; LOCEAN; IPSL; ; Horizon Europe - Pillar II(European Union (EU)Horizon Europe - Pillar II)</t>
  </si>
  <si>
    <t>This project has received funding from the European Union's Horizon 2020 research and innovation program under grant agreement no. 821001, and from the European Union's Horizon Europe Funding Program for research and innovation under grant agreement Nr. 101060452. F.A.H. was supported by NSF's Southern Ocean Carbon and Climate Observations and Modeling (SOCCOM, PLR-1425989) Project, by NASA Grant 80NSSC19K1115, and by the European Union (ERC, VERTEXSO, 101041743). The authors gratefully thank the captain and the crew of the RV Marion Dufresne for their help in acquiring the long-term dataset as part of the OISO cruises and acknowledge INSU, IPEV and CNFH support for maintaining the OISO surveys. We also wish to acknowledge Catherine Pierre, Aicha Naamar and Jerpme Demange for their skilled assistance in data analysis. The isotopic data were acquired at the L-CISE isotopic laboratory of OSU Ecce-Terra at LOCEAN, with support from OSU Ecce-Terra, LOCEAN and IPSL. This is a contribution to the LEFE Ker-Trend project.</t>
  </si>
  <si>
    <t>MAY 13</t>
  </si>
  <si>
    <t>10.1038/s41467-023-38425-5</t>
  </si>
  <si>
    <t>I3AC5</t>
  </si>
  <si>
    <t>WOS:001001531500013</t>
  </si>
  <si>
    <t>Brown, C; Ahmadia, GN; Andradi-Brown, DA; Arafeh-Dalmau, N; Buelow, CA; Campbell, MD; Edgar, GJ; Geldmann, J; Gill, D; Stuart-Smith, RD</t>
  </si>
  <si>
    <t>Brown, Chris; Ahmadia, Gabby N.; Andradi-Brown, Dominic A.; Arafeh-Dalmau, Nur; Buelow, Christina A.; Campbell, Max D.; Edgar, Graham J.; Geldmann, Jonas; Gill, David; Stuart-Smith, Rick D.</t>
  </si>
  <si>
    <t>Entry fees enhance marine protected area management and outcomes</t>
  </si>
  <si>
    <t>Marine protected area; Conservation finance; Fish biomass; Management effectiveness</t>
  </si>
  <si>
    <t>USER FEES; R PACKAGE; CONSERVATION; INTEGRATION; FISHERIES; TOURISM</t>
  </si>
  <si>
    <t>Well-resourced marine protected areas (MPA) are better managed, leading to improved ecological outcomes. Tourism is often cited as an important source of financial support for MPA management, yet it is unclear whether funding from visitor entry fees improves the effectiveness of the world's MPAs. Here we ask whether fees to enter MPAs associate with enhanced fish biomass, a key ecological goal of many MPAs, and whether relations exist among entry fees and management effectiveness. In an analysis of 86 MPAs, we found entry fees were associated with greater fish biomass when compared to parks without entry fees, but only for parks with lower scores for management effectiveness. A global assessment of management survey responses from 214 MPAs suggested the hypothesis that MPA entry fees benefit budget security and staff capacity to carry out critical management activities. Together, the results suggest a mechanism whereby entry fees support greater capacity to educate parks users on rules and enforce those rules. Future work should look at the details of MPA budgets to unravel the relationship between funding, management activities and ecological outcomes. Dependency on tourism also comes with the important implication that declines in tourism caused by socio-economic shocks and geopolitical events may have affected the financial security and therefore possibly the ecological effectiveness of MPAs.</t>
  </si>
  <si>
    <t>[Brown, Chris; Buelow, Christina A.; Campbell, Max D.] Griffith Univ, Australian Rivers Inst, Coastal &amp; Marine Res Ctr, Nathan, Qld 4111, Australia; [Ahmadia, Gabby N.; Andradi-Brown, Dominic A.] World Wildlife Fund, Ocean Conservat, Washington, DC USA; [Arafeh-Dalmau, Nur] Univ Queensland, Ctr Biodivers &amp; Conservat Sci, Sch Biol Sci, St Lucia, Qld, Australia; [Arafeh-Dalmau, Nur] Univ Calif Los Angeles, Dept Geog, Los Angeles, CA USA; [Edgar, Graham J.; Stuart-Smith, Rick D.] Univ Tasmania, Inst Marine &amp; Antarctic Studies, Hobart 7001, Australia; [Geldmann, Jonas] Univ Copenhagen, Globe Inst, Ctr Macroecol Evolut &amp; Climate, Univ Pk 15, Copenhagen, Denmark; [Gill, David] Duke Univ, Marine Lab, Nicholas Sch Environm, Beaufort, NC USA; [Arafeh-Dalmau, Nur] Hopkins Marine Stn, Oceans Dept, Pacific Grove, CA 93950 USA; [Arafeh-Dalmau, Nur] Stanford Ctr Ocean Solut, Pacific Grove, CA 93950 USA</t>
  </si>
  <si>
    <t>Griffith University; World Wildlife Fund; University of Queensland; University of California System; University of California Los Angeles; University of Tasmania; University of Copenhagen; Duke University</t>
  </si>
  <si>
    <t>Brown, C (corresponding author), 170 Kessels Rd, Nathan, Qld 4111, Australia.</t>
  </si>
  <si>
    <t>chris.brown@griffith.edu.au</t>
  </si>
  <si>
    <t>Geldmann, Jonas/H-8131-2019; Stuart-Smith, Rick/M-1829-2013; Arafeh-Dalmau, Nur/D-4223-2019</t>
  </si>
  <si>
    <t>Geldmann, Jonas/0000-0002-1191-7610; Stuart-Smith, Rick/0000-0002-8874-0083; Arafeh-Dalmau, Nur/0000-0001-9053-0037</t>
  </si>
  <si>
    <t>Australian Research Council [FT210100792]; Fundacion Bancaria la Caixa' under the Postgraduate Fellowship [LCF/BQ/AA16/11580053]; University of Queensland under the Research Training Scholarship; Independent Research Fund Denmark [0165-00018B]; Pew Fellows Program in Marine Conservation at The Pew Charitable Trusts [FT190100599]; Australian Research Council [FT190100599, FT210100792] Funding Source: Australian Research Council</t>
  </si>
  <si>
    <t>Australian Research Council(Australian Research Council); Fundacion Bancaria la Caixa' under the Postgraduate Fellowship; University of Queensland under the Research Training Scholarship; Independent Research Fund Denmark(Det Frie Forskningsrad (DFF)); Pew Fellows Program in Marine Conservation at The Pew Charitable Trusts; Australian Research Council(Australian Research Council)</t>
  </si>
  <si>
    <t>CJB and CAB acknowledge support from the Global Wetlands Proj-ect, supported by a charitable organization that neither seeks nor permits publicity for its efforts. CJB was supported by a Future Fellowship (FT210100792) from the Australian Research Council. N.A.-D. ac-knowledges support from the Fundacion Bancaria la Caixa' under the Postgraduate Fellowship (LCF/BQ/AA16/11580053) and from the University of Queensland under the Research Training Scholarship. JG was supported by The Independent Research Fund Denmark (grant no. 0165-00018B) . RDS-S was supported by the Pew Fellows Program in Marine Conservation at The Pew Charitable Trusts and ARC FT190100599.</t>
  </si>
  <si>
    <t>10.1016/j.biocon.2023.110105</t>
  </si>
  <si>
    <t>I3CP6</t>
  </si>
  <si>
    <t>WOS:001001596600001</t>
  </si>
  <si>
    <t>Luhn, A</t>
  </si>
  <si>
    <t>Luhn, Alec</t>
  </si>
  <si>
    <t>Melting of Antarctic ice may be reversible as land under it rises</t>
  </si>
  <si>
    <t>NEW SCIENTIST</t>
  </si>
  <si>
    <t>News Item</t>
  </si>
  <si>
    <t>NEW SCIENTIST LTD</t>
  </si>
  <si>
    <t>25 BEDFORD ST, LONDON, ENGLAND</t>
  </si>
  <si>
    <t>0262-4079</t>
  </si>
  <si>
    <t>NEW SCI</t>
  </si>
  <si>
    <t>New Sci.</t>
  </si>
  <si>
    <t>G1BV1</t>
  </si>
  <si>
    <t>WOS:000986602900004</t>
  </si>
  <si>
    <t>Buchan, SJ; Duran, M; Rojas, C; Wuth, J; Mahu, R; Stafford, KM; Yoma, NB</t>
  </si>
  <si>
    <t>Buchan, Susannah J. J.; Duran, Miguel; Rojas, Constanza; Wuth, Jorge; Mahu, Rodrigo; Stafford, Kathleen M. M.; Yoma, Nestor Becerra</t>
  </si>
  <si>
    <t>An HMM-DNN-Based System for the Detection and Classification of Low-Frequency Acoustic Signals from Baleen Whales, Earthquakes, and Air Guns off Chile</t>
  </si>
  <si>
    <t>Hidden Markov Model; machine learning; marine passive acoustic monitoring; whales; air guns; earthquakes</t>
  </si>
  <si>
    <t>HIDDEN MARKOV-MODELS; BLUE WHALE; BALAENOPTERA-BOREALIS; STATISTICAL-ANALYSIS; AUTOMATIC DETECTION; UNDERWATER NOISE; AMBIENT NOISE; OCEAN; CALLS; SOUNDS</t>
  </si>
  <si>
    <t>Marine passive acoustic monitoring can be used to study biological, geophysical, and anthropogenic phenomena in the ocean. The wide range of characteristics from geophysical, biological, and anthropogenic sounds sources makes the simultaneous automatic detection and classification of these sounds a significant challenge. Here, we propose a single Hidden Markov Model-based system with a Deep Neural Network (HMM-DNN) for the detection and classification of low-frequency biological (baleen whales), geophysical (earthquakes), and anthropogenic (air guns) sounds. Acoustic data were obtained from the Preparatory Commission for the Comprehensive Nuclear-Test-Ban Treaty Organization station off Juan Fernandez, Chile (station HA03) and annotated by an analyst (498 h of audio data containing 30,873 events from 19 different classes), and then divided into training (60%), testing (20%), and tuning (20%) subsets. Each audio frame was represented as an observation vector obtained through a filterbank-based spectral feature extraction procedure. The HMM-DNN training procedure was carried out discriminatively by setting HMM states as targets. A model with Gaussian Mixtures Models and HMM (HMM-GMM) was trained to obtain an initial set of HMM target states. Feature transformation based on Linear Discriminant Analysis and Maximum Likelihood Linear Transform was also incorporated. The HMM-DNN system displayed good capacity for correctly detecting and classifying events, with high event-level accuracy (84.46%), high weighted average sensitivity (84.46%), and high weighted average precision (89.54%). Event-level accuracy increased with higher event signal-to-noise ratios. Event-level metrics per class also showed that our HMM-DNN system generalized well for most classes but performances were best for classes that either had a high number of training exemplars (e.g., generally above 50) and/or were for classes of signals that had low variability in spectral features, duration, and energy levels. Fin whale and Antarctic blue whale song and air guns performed particularly well.</t>
  </si>
  <si>
    <t>[Buchan, Susannah J. J.] Univ Concepcion, Ctr Oceanog Res COPAS Sur Austral, Casilla 160-C, Concepcion 4070043, Chile; [Buchan, Susannah J. J.; Rojas, Constanza] Ctr Estudios Avanzados Zonas Aridas CEAZA, Coquimbo 1780000, Chile; [Buchan, Susannah J. J.; Wuth, Jorge; Mahu, Rodrigo; Yoma, Nestor Becerra] Univ Chile, Elect Engn Dept, Speech &amp; Proc Transmiss Lab, Santiago 8330111, Chile; [Buchan, Susannah J. J.; Duran, Miguel] Univ Concepcion, Dept Ingn Electr, Concepcion 4070043, Chile; [Stafford, Kathleen M. M.] Oregon State Univ, Marine Mammal Inst, Newport, OR 97365 USA</t>
  </si>
  <si>
    <t>Universidad de Concepcion; Universidad de Chile; Universidad de Concepcion; Oregon State University</t>
  </si>
  <si>
    <t>Buchan, SJ (corresponding author), Univ Concepcion, Ctr Oceanog Res COPAS Sur Austral, Casilla 160-C, Concepcion 4070043, Chile.;Buchan, SJ (corresponding author), Ctr Estudios Avanzados Zonas Aridas CEAZA, Coquimbo 1780000, Chile.;Buchan, SJ (corresponding author), Univ Chile, Elect Engn Dept, Speech &amp; Proc Transmiss Lab, Santiago 8330111, Chile.;Buchan, SJ (corresponding author), Univ Concepcion, Dept Ingn Electr, Concepcion 4070043, Chile.</t>
  </si>
  <si>
    <t>sbuchan@udec.cl</t>
  </si>
  <si>
    <t>Yoma, Nestor Becerra/I-8230-2015</t>
  </si>
  <si>
    <t>Stafford, Kathleen Mary/0000-0003-0039-5025</t>
  </si>
  <si>
    <t>Fondecyt de Iniciacion grant from the Agencia Nacional de Investigacion y Desarrollo (ANID) [11190597]; ANID/FONDECYT [1211946]; Centro COPAS Sur-Austral - ANID [AFB170006]; Centro COPAS Coastal - ANID [FB210021]</t>
  </si>
  <si>
    <t>Fondecyt de Iniciacion grant from the Agencia Nacional de Investigacion y Desarrollo (ANID); ANID/FONDECYT; Centro COPAS Sur-Austral - ANID; Centro COPAS Coastal - ANID</t>
  </si>
  <si>
    <t>This study was made possible by funding from the Fondecyt de Iniciacion grant from the Agencia Nacional de Investigacion y Desarrollo (ANID) No. 11190597 awarded to S.J.B.; and the Fondecyt Regular grant from ANID/FONDECYT No. 1211946 awarded to N.B.Y. Thanks also goes to support from the Centro COPAS Sur-Austral AFB170006 and Centro COPAS Coastal FB210021 both funded by ANID.</t>
  </si>
  <si>
    <t>10.3390/rs15102554</t>
  </si>
  <si>
    <t>H7ZV5</t>
  </si>
  <si>
    <t>WOS:000998108100001</t>
  </si>
  <si>
    <t>O'Gorman, JP; Bona, P; Canale, JI; Tineo, DE; Fernandez, MS; Cardenas, M; Reguero, M</t>
  </si>
  <si>
    <t>O'Gorman, Jose Patricio; Bona, Paula; Canale, Juan Ignacio; Tineo, David Eric; Fernandez, Marta Susana; Cardenas, Magali; Reguero, Marcelo</t>
  </si>
  <si>
    <t>A new mosasaurine specimen (Squamata, Mosasauridae) from the Upper Cretaceous of Antarctica with comments on the Weddellian diversity of Mosasaurinae</t>
  </si>
  <si>
    <t>ALCHERINGA</t>
  </si>
  <si>
    <t>Marine reptiles; Seymour (Marambio) Island; Lopez de Bertodano Formation; Maastrichtian</t>
  </si>
  <si>
    <t>JAMES-ROSS-BASIN; SEYMOUR-ISLAND; FAMILY MOSASAURIDAE; BERTODANO FORMATION; MARAMBIO GROUP; NORTH-ISLAND; REPTILIA; GENUS; BIOSTRATIGRAPHY; TANIWHASAURUS</t>
  </si>
  <si>
    <t>Mosasaurs were globally distributed throughout the Cretaceous oceans, including those surrounding Antarctica. A mosasaur humerus (IAA-Pv 819) from upper Maastrichtian beds of the Lopez de Bertodano Formation of Antarctica is phylogenetically recovered in a mosasaurine polytomy as a close relative of Plotosaurus beninsoni and Mosasaurus spp. Comparisons between IAA-Pv 819 and other Weddellian mosasaurs reveal differences indicating that morphological disparity and taxonomic diversity of Antarctic mosasaurines may be higher than previously recognized.Jose Patricio O'Gorman [], Bona Paula [], Division Paleontologia Vertebrados, Museo de La Plata, Universidad Nacional de La Plata, Paseo del Bosque s/n., B1900FWA, La Plata, Buenos Aires, Argentina; CONICET: Consejo Nacional de Investigaciones Cientificas y Tecnicas, Godoy Cruz 2290, C1425FQB, Ciudad Autonoma de Buenos Aires, Argentina. Juan Ignacio Canale [], area Laboratorio e Investigacion, Museo Municipal Ernesto Bachmann, Dr. Natali s/n, Q8311AZA Villa El Chocon, Neuquen, Argentina; CONICET: Consejo Nacional de Investigaciones Cientificas y Tecnicas, Godoy Cruz 2290, C1425FQB, Ciudad Autonoma de Buenos Aires, Argentina; Universidad Nacional de Rio Negro (UNRN), Isidro Lobo 516, General Roca (8332), Rio Negro, Argentina. David E. Tineo [], Facultad de Ciencias Naturales y Museo, Universidad Nacional de La Plata, Calles 60 y 122 s/n, B1900FWA, La Plata, Buenos Aires, Argentina; CONICET: Consejo Nacional de Investigaciones Cientificas y Tecnicas, Godoy Cruz 2290, C1425FQB, Ciudad Autonoma de Buenos Aires, Argentina. Marta Susana Fernandez [], Division Paleontologia Vertebrados, Museo de La Plata, Universidad Nacional de La Plata, Paseo del Bosque s/n., B1900FWA, La Plata, Buenos Aires, Argentina; CONICET: Consejo Nacional de Investigaciones Cientificas y Tecnicas, Godoy Cruz 2290, C1425FQB, Ciudad Autonoma de Buenos Aires, Argentina. Magali Cardenas [], Museo Argentino de Ciencias Naturales Bernardino Rivadavia, Av. angel Gallardo 470, CABA, Argentina. CONICET: Consejo Nacional de Investigaciones Cientificas y Tecnicas, Argentina, Godoy Cruz 2290, C1425FQB, Ciudad Autonoma de Buenos Aires, Argentina. Marcelo Reguero [], Division Paleontologia Vertebrados, Museo de La Plata, Universidad Nacional de La Plata, Paseo del Bosque s/n., B1900FWA, La Plata, Buenos Aires, Argentina; CONICET: Consejo Nacional de Investigaciones Cientificas y Tecnicas, Godoy Cruz 2290, C1425FQB, Ciudad Autonoma de Buenos Aires, Argentina; Instituto Antartico Argentino, 25 de Mayo 1143, B1650HMK, San Martin, Buenos Aires, Argentina.</t>
  </si>
  <si>
    <t>[O'Gorman, Jose Patricio; Bona, Paula] Univ Nacl Plata, Div Paleontologia Vertebrados, Museo Plata, Plata, Paseo Bosque s-n, RA-B1900FWA Buenos Aires, Argentina; [Canale, Juan Ignacio] CONICET Consejo Nacl Deinvest Cientif &amp; Tecn, Ciudad Autonoma,Godoy Cruz 2290, RA-C1425FQB Buenos Aires, Argentina; [Tineo, David Eric] CONICET Consejo Nacl Invest Cientif &amp; Tecn, Area Lab Invest, Museo MunicipalErnesto Bachmann, Villa Chocon, Ciudad Autonoma Buenos Aires,Dr Nata, RA-C1425FQB Neuquen, Argentina; [Tineo, David Eric] Univ Nacl Rio Negro UNRN, Isidro Lobo 516, RA-8332 Rio Negro, Argentina; [Fernandez, Marta Susana] Univ Nacl Plata, Fac Ciencias Nat, Museo Plata, Calles 60 &amp; 122 s-n, RA-B1900FWA Buenos Aires, Argentina; [Fernandez, Marta Susana] CONICET Consejo Nacl Invest Cientif &amp; Tecn, Marta Susana Fernandez, Ciudad Autonoma, Godoy Cruz 2290, RA-C1425FQB Buenos Aires, Argentina; [Cardenas, Magali] Univ Nacl Plata, Div Paleontologia Vertebrados, Museo Plata, Paseo Bosque s-n, RA-B1900FWA Buenos Aires, Argentina; [Cardenas, Magali] ONICET: Consejo Nacl Deinvest Cientif &amp; Tecn, Ciudad Autonoma,Godoy Cruz 2290, RA-C1425FQB Buenos Aires, Argentina; [Reguero, Marcelo] Museo Argentino Ciencias NaturalesBernardino Riva, Av Angel Gallardo 470, CABA, Argentina; [Reguero, Marcelo] CONICET Consejo Nacl Invest Cientif &amp; Tecn, Godoy Cruz 2290, Ciudad Autonoma, RA-C1425FQB Buenos Aires, Argentina; [Reguero, Marcelo] CONICET Consejo Nacl Invest Cientif &amp; Tecn, Godoy Cruz 2290,Ciudad Autonoma, RA-C1425FQB Buenos Aires, Argentina; [Reguero, Marcelo] Inst Antart Argentino, 25 Mayo 1143, San Martin, RA-B1650HMK Buenos Aires, Argentina</t>
  </si>
  <si>
    <t>National University of La Plata; Museo La Plata; National University of La Plata; Museo La Plata; National University of La Plata; Museo La Plata; Instituto Antartico Argentino</t>
  </si>
  <si>
    <t>O'Gorman, JP (corresponding author), Univ Nacl Plata, Div Paleontologia Vertebrados, Museo Plata, Plata, Paseo Bosque s-n, RA-B1900FWA Buenos Aires, Argentina.</t>
  </si>
  <si>
    <t>joseogorman@fcnym.unlp.edu.ar; paulabona26@gmail.com; jicanale@unrn.edu.ar; martafer@fcnym.unlp.edu.ar; magalicardenas2706@gmail.com; regui@fcnym.unlp.edu.ar</t>
  </si>
  <si>
    <t>Tineo, David/0000-0001-5378-5102</t>
  </si>
  <si>
    <t>Direccion Nacional del Antartico; Instituto Antartico Argentino; Agencia Nacional de Promocion Cientifica y Tecnologica [PICT 2017-0607]</t>
  </si>
  <si>
    <t>Direccion Nacional del Antartico; Instituto Antartico Argentino; Agencia Nacional de Promocion Cientifica y Tecnologica(ANPCyTSpanish Government)</t>
  </si>
  <si>
    <t>Our research was funded by the Direccion Nacional del Antartico and the Instituto Antartico Argentino, and by the Agencia Nacional de Promocion Cientifica y Tecnologica [PICT 2017-0607].</t>
  </si>
  <si>
    <t>0311-5518</t>
  </si>
  <si>
    <t>1752-0754</t>
  </si>
  <si>
    <t>Alcheringa</t>
  </si>
  <si>
    <t>10.1080/03115518.2023.2203739</t>
  </si>
  <si>
    <t>R4UA9</t>
  </si>
  <si>
    <t>WOS:000988884400001</t>
  </si>
  <si>
    <t>Skaret, G; Macaulay, GJ; Pedersen, R; Wang, X; Klevjer, TA; Krag, LA; Krafft, BA</t>
  </si>
  <si>
    <t>Skaret, G.; Macaulay, G. J.; Pedersen, R.; Wang, X.; Klevjer, T. A.; Krag, L. A.; Krafft, B. A.</t>
  </si>
  <si>
    <t>Distribution and biomass estimation of Antarctic krill (Euphausia superba) off the South Orkney Islands during 2011-2020</t>
  </si>
  <si>
    <t>acoustics; bathymetry; CCAMLR; industry-based survey; LSSS; acoustic-trawl survey</t>
  </si>
  <si>
    <t>TARGET-STRENGTH MODEL; SCOTIA SEA; ARCTOCEPHALUS-GAZELLA; CHINSTRAP PENGUINS; ATLANTIC SECTOR; ACOUSTIC DATA; ABUNDANCE; DIET; VARIABILITY; ZOOPLANKTON</t>
  </si>
  <si>
    <t>Antarctic krill is a key species in the Southern Ocean and subject to the most extensive fishery in the Antarctic. The Norwegian Institute of Marine Research has conducted acoustic-trawl monitoring of krill off the South Orkneys annually since 2011 in collaboration with the krill fishing industry. Average krill biomass within the 60000 km(2) survey area ranged from 1.4 to 7.8 million tonnes in the period 2011-2020, strongly supporting that this is among the regions in the Scotia Sea with consistently highest krill densities. There were no significant (p approximate to 0.18, non-parametric Mann-Kendall test) monotonic trends in estimated krill biomass over the 10 years. The highest krill densities were associated with the shelf edge and submarine canyons on the north side of the South Orkneys. Our comparison with the CCAMLR 9.3% reference exploitation rate suggests that management of the krill fishery in the South Orkneys region is precautionary. The monitoring is run on fishing vessels, so e.g. acoustic frequencies applied could not always be in compliance with the standard CCAMLR methodology. Estimated deviance in krill backscatter when comparing 38 kHz to the standard 120 kHz ranged from -1.1% to 12.8%. Our results show that industry-based surveys are cost-efficient approaches to high-quality monitoring of krill.</t>
  </si>
  <si>
    <t>[Skaret, G.; Macaulay, G. J.; Pedersen, R.; Klevjer, T. A.; Krafft, B. A.] Inst Marine Res, N-5817 Bergen, Norway; [Wang, X.] Chinese Acad Fishery Sci, Yellow Sea Fisheries Res Inst, 106 Nanjing Rd, Qingdao 266071, Peoples R China; [Krag, L. A.] Natl Inst Aquat Resource, DTU Aqua, North Sea Sci Pk, DK-9850 Hirtshals, Denmark</t>
  </si>
  <si>
    <t>Institute of Marine Research - Norway; Chinese Academy of Fishery Sciences; Yellow Sea Fisheries Research Institute, CAFS; Technical University of Denmark</t>
  </si>
  <si>
    <t>Skaret, G (corresponding author), Inst Marine Res, N-5817 Bergen, Norway.</t>
  </si>
  <si>
    <t>georg.skaret@hi.no</t>
  </si>
  <si>
    <t>Krag, Ludvig Ahm/0000-0002-1531-1499; wang, xinliang/0000-0002-9321-3069</t>
  </si>
  <si>
    <t>Norwegian Research Council (NFR) [222798]; Norwegian Ministry of Foreign Affairs; Norwegian Institute of Marine Research (IMR)</t>
  </si>
  <si>
    <t>Norwegian Research Council (NFR)(Research Council of Norway); Norwegian Ministry of Foreign Affairs; Norwegian Institute of Marine Research (IMR)</t>
  </si>
  <si>
    <t>This study was funded as part of the project KRILL, supported by the Norwegian Research Council (NFR grant 222798), the Norwegian Ministry of Foreign Affairs, and the Norwegian Institute of Marine Research (IMR).</t>
  </si>
  <si>
    <t>10.1093/icesjms/fsad076</t>
  </si>
  <si>
    <t>K0EH2</t>
  </si>
  <si>
    <t>WOS:000986374600001</t>
  </si>
  <si>
    <t>Roussel, ML; Wiener, V; Genthon, C; Vignon, E; Bazile, E; Agosta, C; Berne, A; Durán-Alarcón, C; Dufresne, JL; Claud, C</t>
  </si>
  <si>
    <t>Roussel, Marie-Laure; Wiener, Valentin; Genthon, Christophe; Vignon, Etienne; Bazile, Eric; Agosta, Cecile; Berne, Alexis; Duran-Alarcon, Claudio; Dufresne, Jean-Louis; Claud, Chantal</t>
  </si>
  <si>
    <t>Assessing the simulation of snowfall at Dumont d'Urville, Antarctica, during the YOPP-SH special observing campaign</t>
  </si>
  <si>
    <t>QUARTERLY JOURNAL OF THE ROYAL METEOROLOGICAL SOCIETY</t>
  </si>
  <si>
    <t>Antarctica; meteorology; observations; precipitation radar; snowfall; YOPP</t>
  </si>
  <si>
    <t>SURFACE MASS-BALANCE; COASTAL ADELIE LAND; BOUNDARY-LAYER; VERTICAL STRUCTURE; EAST ANTARCTICA; DRIFTING-SNOW; PRECIPITATION; CLIMATE; MAR; STATIONS</t>
  </si>
  <si>
    <t>The performance of a set of atmospheric models and meteorological reanalyses in the representation of precipitation days in Antarctica is assessed using ground-based observations such as a precipitation gauge and a Micro Rain Radar during the Year Of Polar Prediction Special Observing Period at Dumont d'Urville (November 2018-February 2019), East Antarctic coast. The occurrence of precipitation is overall well predicted, but the number of days and intensity with snowfall are overestimated by the models. This is reflected by high values of bias, probability of detection, and false alarm ratios, in particular for reanalyses, due to too frequent simulated precipitating days. The Heidke skill score shows the overall great contribution of the models in the forecasting of precipitating days, and the best performances are achieved by numerical weather prediction models. The chronology is better represented when the models benefit from the data assimilation of in-situ observations, such as in reanalysis or weather forecasting models. Precipitation amounts at the surface are overestimated by most of the models. In addition, data from a ground-based radar make it possible to evaluate the representation of the vertical profiles of snowfall rate. We can show that an excessive sublimation in the atmospheric boundary layer can compensate for overly strong precipitation flux in the mid and low troposphere. Therefore, the need to expand the measurement of precipitation across the atmospheric column using radars is highlighted, in particular in Antarctica where the cold cloud microphysics is poorly known and observations are particularly rare.</t>
  </si>
  <si>
    <t>[Roussel, Marie-Laure; Wiener, Valentin; Genthon, Christophe; Vignon, Etienne; Dufresne, Jean-Louis; Claud, Chantal] Sorbonne Univ, Ecole Polytech IPP, Inst Pierre Simon Laplace, Lab Meteorol Dynam,CNRS, Paris, France; [Bazile, Eric] Meteo France, GMAP, Ctr Natl Rech Meteorol, Toulouse, France; [Agosta, Cecile] Univ Paris Saclay, Lab Sci Climat &amp; Environm, IPSL, CEA,CNRS,UVSQ, Gif Sur Yvette, France; [Berne, Alexis] Swiss Fed Inst Technol Lausanne, Environm Remote Sensing Lab, Lausanne, Switzerland; [Duran-Alarcon, Claudio] Univ Aveiro, CESAM Ctr Environm &amp; Marine Studies, Dept Phys, Aveiro, Portugal; [Roussel, Marie-Laure] Ecole Polytech, Lab Meteorol Dynam, F-91128 Palaiseau, France</t>
  </si>
  <si>
    <t>Universite Paris Cite; Universite Paris Saclay; Sorbonne Universite; Centre National de la Recherche Scientifique (CNRS); CNRS - National Institute for Earth Sciences &amp; Astronomy (INSU); Meteo France; CEA; Centre National de la Recherche Scientifique (CNRS); Universite Paris Saclay; Universite Paris Cite; Swiss Federal Institutes of Technology Domain; Ecole Polytechnique Federale de Lausanne; Universidade de Aveiro; Institut Polytechnique de Paris; Sorbonne Universite</t>
  </si>
  <si>
    <t>Roussel, ML (corresponding author), Ecole Polytech, Lab Meteorol Dynam, F-91128 Palaiseau, France.</t>
  </si>
  <si>
    <t>marie-laure.roussel@lmd.polytechnique.fr</t>
  </si>
  <si>
    <t>Dufresne, Jean-Louis/I-5616-2015</t>
  </si>
  <si>
    <t>Dufresne, Jean-Louis/0000-0003-4764-9600; Roussel, Marie-Laure/0000-0002-8667-3729; Duran-Alarcon, Claudio/0000-0001-9559-8161</t>
  </si>
  <si>
    <t>Centre National de la Recherche Scientifique; EECLAT; CNES; Institut Polaire Francais Paul Emile Victor CALVA [103]</t>
  </si>
  <si>
    <t>Centre National de la Recherche Scientifique(Centre National de la Recherche Scientifique (CNRS)); EECLAT; CNES(Centre National D'etudes Spatiales); Institut Polaire Francais Paul Emile Victor CALVA</t>
  </si>
  <si>
    <t>Centre National de la Recherche Scientifique, EECLAT, CNES; Institut Polaire Francais Paul Emile Victor CALVA, Grant/Award Number: 103</t>
  </si>
  <si>
    <t>0035-9009</t>
  </si>
  <si>
    <t>1477-870X</t>
  </si>
  <si>
    <t>Q J ROY METEOR SOC</t>
  </si>
  <si>
    <t>Q. J. R. Meteorol. Soc.</t>
  </si>
  <si>
    <t>10.1002/qj.4463</t>
  </si>
  <si>
    <t>I3LP0</t>
  </si>
  <si>
    <t>WOS:000986846500001</t>
  </si>
  <si>
    <t>Rull, V</t>
  </si>
  <si>
    <t>Rull, Valenti</t>
  </si>
  <si>
    <t>Eocene/Oligocene global disruption and the revolution of Caribbean mangroves</t>
  </si>
  <si>
    <t>PERSPECTIVES IN PLANT ECOLOGY EVOLUTION AND SYSTEMATICS</t>
  </si>
  <si>
    <t>Eocene; Oligocene boundary; Neogene; Climatic change; Paleogeography; Sea level; Mangroves; Evolution; Biogeography; Caribbean; Neotropics</t>
  </si>
  <si>
    <t>EOCENE-OLIGOCENE TRANSITION; LOWER MIOCENE COMMUNITIES; LATE-MIDDLE EOCENE; NUCLEAR RIBOSOMAL DNA; GULF-OF-MEXICO; NEOTROPICAL PALEOBOTANY; NICHE CONSERVATISM; CLIMATE-CHANGE; PHYLOGENETIC-RELATIONSHIPS; MOLECULAR PHYLOGENETICS</t>
  </si>
  <si>
    <t>In a recent paper, the author demonstrated that, in contrast with the prevailing view of eventual gradual regional differentiation from a hypothetical Cretaceous pantropical mangrove belt around the Tethys Sea, the Caribbean mangroves originated de novo in the Eocene after the evolutionary appearance of the first mangrove-forming tree species known for the region, the ancestor of the extant Pelliciera. This paper represents a second step in the analysis of the evolution of Caribbean mangroves dealing with the most important change experienced by these communities, occurring across the Eocene-Oligocene transition (EOT), which is termed here the Caribbean mangrove revolution. This shift consisted of the disappearance of the primeval Pelliciera mangroves and their replacement by mangrove communities dominated by Rhizophora, a newly emerged mangrove tree that still dominates extant Caribbean mangroves. This paper first reviews the available literature on the EOT global disruption (tectonic and paleogeographic reorganizations, ocean circulation, cooling, Antarctic glaciation, sealevel fall) and its regional manifestations in the study area, along with the corresponding biotic responses. This provides the paleoenvironmental framework with which to analyze the EOT mangrove revolution using the &gt;80 pollen records available for the region. In the circum-Caribbean region, cooling of 3-6 degrees C and a sea-level fall of 67 m were recorded between 33.8 and 33.5 Ma, which led to significant shifts in dispersal pathways and barriers, as well as in marine paleocurrents. Late Eocene mangroves were dominated by the autochthonous Pelliciera (up to 60% of pollen assemblages), while Rhizophora, which likely arrived from the Indo-Pacific region by long-distance dispersal, was absent or very scarce. After the EOT, the situation was radically different, as the mangroves were widely dominated by Rhizophora, and Pelliciera, when present, was a subordinate mangrove element (&lt;10%). At the same time, Pelliciera, which had been restricted to a small patch (Central America and NW South America or CA/NWSA) during the Eocene, expanded its range across the Caribbean and beyond, always as a minor component of Rhizophora mangroves. The dominance shift could have been due to the EOT cooling, by favoring the expansion of the euryclimatic and vagile Rhizophora over the stenoclimatic Pelliciera, of limited dispersal ability. This is considered a case of competitor coexistence by niche segregation. In addition, Rhizophora could have facilitated the expansion of Pelliciera by providing refuge against environmental and biotic stressors, notably light intensity and salinity. The Eocene Pelliciera mangroves never returned, but this species survived to the present as a minor element and experienced significant range shifts along three main phases, namely, EOT-Miocene expansion to the whole Neotropics, Mio-Pliocene contraction to the southern Caribbean margin and Pliocene to recent reorganization to the original Eocene CA/NWSA location. The potential role of Neogene and Pleistocene climatic shifts and human activities in these biogeographical loops (taxon cycles) is discussed, with an emphasis on precipitation. The paper ends by suggesting some prospects for future research.</t>
  </si>
  <si>
    <t>[Rull, Valenti] CSIC, Spanish Natl Res Council, Bot Inst Barcelona, Pg Migdia S-N, Barcelona 08038, Spain; [Rull, Valenti] Univ Auto noma Barcelona, Inst Catal Paleontol Miquel Crusafont, ICTA ICP Bld,C Columnes S-N, Barcelona 08193, Spain</t>
  </si>
  <si>
    <t>Consejo Superior de Investigaciones Cientificas (CSIC); CSIC - Institut Botanic de Barcelona (ICUB)</t>
  </si>
  <si>
    <t>Rull, V (corresponding author), CSIC, Spanish Natl Res Council, Bot Inst Barcelona, Pg Migdia S-N, Barcelona 08038, Spain.;Rull, V (corresponding author), Univ Auto noma Barcelona, Inst Catal Paleontol Miquel Crusafont, ICTA ICP Bld,C Columnes S-N, Barcelona 08193, Spain.</t>
  </si>
  <si>
    <t>vrull@csic.es</t>
  </si>
  <si>
    <t>Rull, Valentí/B-9783-2008</t>
  </si>
  <si>
    <t>Rull, Valenti/0000-0002-9961-105X</t>
  </si>
  <si>
    <t>ELSEVIER GMBH</t>
  </si>
  <si>
    <t>MUNICH</t>
  </si>
  <si>
    <t>HACKERBRUCKE 6, 80335 MUNICH, GERMANY</t>
  </si>
  <si>
    <t>1433-8319</t>
  </si>
  <si>
    <t>PERSPECT PLANT ECOL</t>
  </si>
  <si>
    <t>Perspect. Plant Ecol. Evol. Syst.</t>
  </si>
  <si>
    <t>10.1016/j.ppees.2023.125733</t>
  </si>
  <si>
    <t>Plant Sciences; Ecology</t>
  </si>
  <si>
    <t>Plant Sciences; Environmental Sciences &amp; Ecology</t>
  </si>
  <si>
    <t>O3AB6</t>
  </si>
  <si>
    <t>WOS:001042568100001</t>
  </si>
  <si>
    <t>Sun, YB; Zhang, YF; Tang, Y; Wang, ZY; Yan, W; Xu, WH; Qu, HZ; Xi, AH</t>
  </si>
  <si>
    <t>Sun, Yaobin; Zhang, Yunfeng; Tang, Yu; Wang, Zhenyu; Yan, Wen; Xu, Weihai; Qu, Haizhou; Xi, Aihua</t>
  </si>
  <si>
    <t>Early Oligocene gravity-flow deposits at the base of the Meiji Reef system in the South China Sea, and their palaeoclimate significance</t>
  </si>
  <si>
    <t>Marine gravity flow; Reef building; Oligocene; U-Pb dating; Well NK1; Southern South China Sea</t>
  </si>
  <si>
    <t>NORTHERN CONTINENTAL-SLOPE; PACIFIC; HISTORY; GREENHOUSE; YINGGEHAI; MECHANISM; MODEL</t>
  </si>
  <si>
    <t>In this paper, we describe gravity flow facies that form the base of the Meiji Reef system in the South China Sea, and discuss their palaeoclimate significance. These Early Oligocene (26.1-23.5 Myr) deposits occur in Well NK1 and comprise a 110.6 m thick succession developed on top of volcanic basement. The deposits can be divided into two intervals, both of which are dominated by debris flow facies. The lower 17.6 m thick interval has a gravel content of 50-65% with parent rocks including dacite, basalt, tuff, and coral reef fragments. From base to top, these units coarsen upward and show increasing gravel contents. Gravel clasts are well-rounded but poorly sorted (diameter 10-350 mm), which, together with their complex composition, indicate transportation by the gravity flows from the near-shore volcanic rock basement to the slope. The upper 93 m thick interval comprises abundant bioclastic materials, including benthic foraminifera, crustal red algae, and red algae detritus, with a few volcanic gravel clasts. The content of volcanic rock gravels decreases towards the top, which may be attributed to the reduction or disappearance of volcanic rocks in the provenance area due to the establishment of coral reef facies that cap the succession and dominate the overlying interval from a core depth of 885.6 m to the seafloor. Based on U-Pb dating, the cap-shaped red algae laminae at the facies transition were formed at 24.6 +/- 1.1 Ma, dating the earliest initiation of reef building to end-Oligocene times. The emergence of gravity flow sediments during the early Oligocene may be attributed to the onset of the Antarctic glaciation and concurrent regional tectonic activities that led to a shallowing of the sea. The origin of debris with high roundness char-acteristics is believed to be associated with transportation along the slope triggered by tectonic and climatic events, resulting in the formation of debris flow deposits. Studying the gravity flow facies at the Meiji Reef system is crucial for determining the onset of reef-building and helps establish the relationship between gravity flow deposition, paleoclimate, and regional tectonic evolution in the South China Sea.</t>
  </si>
  <si>
    <t>[Sun, Yaobin; Zhang, Yunfeng; Tang, Yu; Wang, Zhenyu; Qu, Haizhou; Xi, Aihua] Southwest Petr Univ, Sch Geosci &amp; Technol, Chengdu 610500, Peoples R China; [Zhang, Yunfeng; Wang, Zhenyu; Qu, Haizhou] Southwest Petr Univ, State Key Lab Oil &amp; Gas Reservoir Geol &amp; Exploitat, Chengdu 610500, Peoples R China; [Zhang, Yunfeng; Wang, Zhenyu; Qu, Haizhou] Southwest Petr Univ, Nat Gas Geol Key Lab Sichuan Prov, Chengdu 610500, Peoples R China; [Yan, Wen; Xu, Weihai] Chinese Acad Sci, South China Sea Inst Oceanol, Innovat Acad South China Sea Ecol &amp; Environm Engn, Key Lab Ocean &amp; Marginal Sea Geol, Guangzhou 510301, Peoples R China; [Yan, Wen; Xu, Weihai] Southern Marine Sci &amp; Engn Guangdong Lab Guangzhou, Guangzhou 511458, Peoples R China</t>
  </si>
  <si>
    <t>Southwest Petroleum University; Southwest Petroleum University; Southwest Petroleum University; Chinese Academy of Sciences; South China Sea Institute of Oceanology, CAS; Southern Marine Science &amp; Engineering Guangdong Laboratory; Southern Marine Science &amp; Engineering Guangdong Laboratory (Guangzhou)</t>
  </si>
  <si>
    <t>Zhang, YF (corresponding author), Southwest Petr Univ, Sch Geosci &amp; Technol, Chengdu 610500, Peoples R China.</t>
  </si>
  <si>
    <t>zhyf@swpu.edu.cn</t>
  </si>
  <si>
    <t>National Key R&amp;D Program of China [2021YFC3100603]; National Natural Science Foundation of China [42272181]</t>
  </si>
  <si>
    <t>National Key R&amp;D Program of China; National Natural Science Foundation of China(National Natural Science Foundation of China (NSFC))</t>
  </si>
  <si>
    <t>Acknowledgments We thank the constructive comments from Dr. Howard Falcon-Lang and two anonymous reviewers, which improved the quality of our manuscript significantly. This work was funded by the National Key R&amp;D Program of China (No.2021YFC3100603) ; the National Natural Science Foundation of China (Grant No. 42272181) . We thank Yang Xiao for his assistance during the LA-ICP-MS U-Pb geochronology analyses.</t>
  </si>
  <si>
    <t>10.1016/j.palaeo.2023.111621</t>
  </si>
  <si>
    <t>J6NP2</t>
  </si>
  <si>
    <t>WOS:001010768300001</t>
  </si>
  <si>
    <t>Lv, YY; Sun, XS; Jia, H; Hao, RY; Jan, MZ; Xu, XB; Li, SJ; Dong, XP; Pan, JF</t>
  </si>
  <si>
    <t>Lv, Yinyin; Sun, Xiaosong; Jia, Hui; Hao, Ruoyi; Jan, Mraz; Xu, Xianbing; Li, Shengjie; Dong, Xiuping; Pan, Jinfeng</t>
  </si>
  <si>
    <t>Antarctic krill (Euphausia superba) oil high internal phase emulsions improved the lipid quality and gel properties of surimi gel</t>
  </si>
  <si>
    <t>Antarctic krill oil; High internal phase emulsion; Surimi; TBARS; omega-3 PUFA</t>
  </si>
  <si>
    <t>PHYSICOCHEMICAL PROPERTIES; PRE-EMULSIFICATION; MICROSTRUCTURE; STABILITY</t>
  </si>
  <si>
    <t>In the study, high internal phase emulsions (HIPEs) prepared from Antarctic krill oil (AKO) were added into surimi and the effects on gel properties, lipid quality and stability were investigated. It is found that HIPEs-added groups exhibited higher gel strength and lower cooking loss than Oil-added counterparts. HIPEs-added groups had higher proportion of capillary water, and microstructure of HIPEs-added gels showed fewer large voids and small size droplets. HIPEs-added groups also showed less pronounced myosin heavy chain band. HIPEs- and Oiladded gels showed &gt; 3500 mg/kg EPA + DHA and 0.4-0.8 mg/kg astaxanthin, and most HIPEs-added groups had higher levels of them but lower TBARS values. Results suggest AKO-HIPEs could reduce the intervention by lipids on myosin crosslinking during gelation, and protect fatty acids and asxtanthin from oxidation due to oxygen-isolation led by their high accumulation. Thus, AKO-HIPEs can be applied to fortify ?-3 PUFA and maintain good gel properties in surimi product.</t>
  </si>
  <si>
    <t>[Lv, Yinyin; Sun, Xiaosong; Xu, Xianbing; Li, Shengjie; Dong, Xiuping; Pan, Jinfeng] Dalian Polytech Univ, Natl Engn Res Ctr Seafood, Collaborat Innovat Ctr Prov &amp; Ministerial Coconstr, Liaoning Prov Collaborat Innovat Ctr Marine Food D, Dalian 116034, Peoples R China; [Jia, Hui; Hao, Ruoyi; Jan, Mraz] Univ South Bohemia Ceske Budejovice, Inst Aquaculture &amp; Protect Waters, Fac Fisheries &amp; Protect Waters, South Bohemian Res Ctr Aquaculture &amp; Biodivers Hyd, Ceske Budejovice 37005, Czech Republic</t>
  </si>
  <si>
    <t>Dalian Polytechnic University; University of South Bohemia Ceske Budejovice</t>
  </si>
  <si>
    <t>Pan, JF (corresponding author), Dalian Polytech Univ, Natl Engn Res Ctr Seafood, Collaborat Innovat Ctr Prov &amp; Ministerial Coconstr, Liaoning Prov Collaborat Innovat Ctr Marine Food D, Dalian 116034, Peoples R China.</t>
  </si>
  <si>
    <t>pjf613@163.com</t>
  </si>
  <si>
    <t>Li, Shengjie/IQR-5605-2023; Mraz, Jan/F-7915-2015</t>
  </si>
  <si>
    <t>Li, Shengjie/0000-0001-6940-6066; Mraz, Jan/0000-0003-3545-1269; Pan, Jinfeng/0000-0001-6275-5773</t>
  </si>
  <si>
    <t>Department of Science &amp; Technology of Liaoning Province; Department of Science &amp; Technology of Liaoning Province [2023- 252-1668498863497]; Department of Education of Liaoning Province [LJKZ0528]</t>
  </si>
  <si>
    <t>Department of Science &amp; Technology of Liaoning Province; Department of Science &amp; Technology of Liaoning Province; Department of Education of Liaoning Province</t>
  </si>
  <si>
    <t>This work was supported by Department of Science &amp; Technology of Liaoning Province, Fund for Basic Research for Application (Grant 2023- 252-1668498863497) and Department of Education of Liaoning Province, General Fund (Grant LJKZ0528) .</t>
  </si>
  <si>
    <t>10.1016/j.foodchem.2023.136352</t>
  </si>
  <si>
    <t>I4XG3</t>
  </si>
  <si>
    <t>WOS:001002820900001</t>
  </si>
  <si>
    <t>Cai, WJ; Gao, LB; Luo, YY; Li, XC; Zheng, XT; Zhang, XB; Cheng, XH; Jia, F; Purich, A; Santoso, A; Du, Y; Holland, DM; Shi, JR; Xiang, BQ; Xie, SP</t>
  </si>
  <si>
    <t>Cai, Wenju; Gao, Libao; Luo, Yiyong; Li, Xichen; Zheng, Xiaotong; Zhang, Xuebin; Cheng, Xuhua; Jia, Fan; Purich, Ariaan; Santoso, Agus; Du, Yan; Holland, David M.; Shi, Jia-Rui; Xiang, Baoqiang; Xie, Shang-Ping</t>
  </si>
  <si>
    <t>Southern Ocean warming and its climatic impacts</t>
  </si>
  <si>
    <t>Southern Ocean warming; Westerly winds; Circulation change; Greenhouse warming</t>
  </si>
  <si>
    <t>ANTARCTIC BOTTOM WATER; SEA-ICE; OVERTURNING CIRCULATION; HEAT UPTAKE; OZONE DEPLETION; MODE WATER; TRANSPORT; TRENDS; WIND; DRIVEN</t>
  </si>
  <si>
    <t>The Southern Ocean has warmed substantially, and up to early 21st century, Antarctic stratospheric ozone depletion and increasing atmospheric CO2 have conspired to intensify Southern Ocean warming. Despite a projected ozone recovery, fluxes to the Southern Ocean of radiative heat and freshwater from enhanced precipitation and melting sea ice, ice shelves, and ice sheets are expected to increase, as is a Southern Ocean westerly poleward intensification. The warming has far-reaching climatic implications for melt of Antarctic ice shelf and ice sheet, sea level rise, and remote circulations such as the intertropical convergence zone and tropical ocean-atmosphere circulations, which affect extreme weathers, agricul-ture, and ecosystems. The surface warm and freshwater anomalies are advected northward by the mean circulation and deposited into the ocean interior with a zonal-mean maximum at-45 degrees S. The increased momentum and buoyancy fluxes enhance the Southern Ocean circulation and water mass transforma-tion, further increasing the heat uptake. Complex processes that operate but poorly understood include interactive ice shelves and ice sheets, oceanic eddies, tropical-polar interactions, and impact of the Southern Ocean response on the climate change forcing itself; in particular, limited observations and low resolution of climate models hinder rapid progress. Thus, projection of Southern Ocean warming will likely remain uncertain, but recent community effort has laid a solid foundation for substantial progress.(c) 2023 Science China Press. Published by Elsevier B.V. and Science China Press. This is an open access article under the CC BY license (http://creativecommons.org/licenses/by/4.0/).</t>
  </si>
  <si>
    <t>[Cai, Wenju; Luo, Yiyong; Zheng, Xiaotong] Ocean Univ China, Frontiers Sci Ctr Deep Ocean Multispheres &amp; Earth, Qingdao 266100, Peoples R China; [Cai, Wenju; Luo, Yiyong; Zheng, Xiaotong] Ocean Univ China, Key Lab Phys Oceanog, Qingdao 266100, Peoples R China; [Cai, Wenju; Luo, Yiyong; Zheng, Xiaotong] Pilot Natl Lab Marine Sci &amp; Technol, Lab Ocean &amp; Climate Dynam, Qingdao 266237, Peoples R China; [Cai, Wenju; Zhang, Xuebin; Santoso, Agus] Commonwealth Sci &amp; Ind Res Org CSIRO Oceans &amp; Atmo, Ctr Southern Hemisphere Oceans Res, Hobart 7004, Australia; [Gao, Libao] Minist Nat Resources, Inst Oceanog 1, Qingdao 266061, Peoples R China; [Gao, Libao] Minist Nat Resources, Key Lab Marine Sci &amp; Numer Modeling, Qingdao 266061, Peoples R China; [Gao, Libao] Pilot Natl Lab Marine Sci &amp; Technol, Lab Reg Oceanog &amp; Numer Modeling, Qingdao 266237, Peoples R China; [Li, Xichen] Chinese Acad Sci, Inst Atmospher Phys, Beijing 100029, Peoples R China; [Cheng, Xuhua] Hohai Univ, Coll Oceanog, Nanjing 210098, Peoples R China; [Jia, Fan] Chinese Acad Sci, Inst Oceanol, Key Lab Ocean Circulat &amp; Waves, Qingdao 266071, Peoples R China; [Purich, Ariaan] Univ New South W ales, Climate Change Res Ctr, Sydney 2052, Australia; [Purich, Ariaan; Santoso, Agus] Univ New South Wales, Australian Res Council Ctr Excellence Climate Extr, Sydney 2052, Australia; [Du, Yan] Chinese Acad Sci, South China Sea Inst Oceanol, State Key Lab Trop Oceanog, Guangzhou 510301, Peoples R China; [Du, Yan] Southern Marine Sci &amp; Engn Guangdong Lab, Guangzhou 511458, Peoples R China; [Holland, David M.] NYU, Courant Inst Math Sci, New York, NY 10012 USA; [Shi, Jia-Rui] Woods Hole Oceanog Inst, Woods Hole, MA 02543 USA; [Xiang, Baoqiang] NOAA, Geophys Fluid Dynam Lab, Princeton, NJ 08540 USA; [Xiang, Baoqiang] Univ Corp Atmospher Res, Boulder, CO 80307 USA; [Xie, Shang-Ping] Univ Calif San Diego, Scripps Inst Oceanog, La Jolla, CA 92093 USA</t>
  </si>
  <si>
    <t>Ocean University of China; Ocean University of China; Laoshan Laboratory; Commonwealth Scientific &amp; Industrial Research Organisation (CSIRO); Ministry of Natural Resources of the People's Republic of China; First Institute of Oceanography, Ministry of Natural Resources; Ministry of Natural Resources of the People's Republic of China; Laoshan Laboratory; Chinese Academy of Sciences; Institute of Atmospheric Physics, CAS; Hohai University; Chinese Academy of Sciences; Institute of Oceanology, CAS; University of New South Wales Sydney; Chinese Academy of Sciences; South China Sea Institute of Oceanology, CAS; Southern Marine Science &amp; Engineering Guangdong Laboratory; Southern Marine Science &amp; Engineering Guangdong Laboratory (Guangzhou); New York University; Woods Hole Oceanographic Institution; National Oceanic Atmospheric Admin (NOAA) - USA; National Center Atmospheric Research (NCAR) - USA; University of California System; University of California San Diego; Scripps Institution of Oceanography</t>
  </si>
  <si>
    <t>Cai, WJ (corresponding author), Ocean Univ China, Frontiers Sci Ctr Deep Ocean Multispheres &amp; Earth, Qingdao 266100, Peoples R China.;Cai, WJ (corresponding author), Ocean Univ China, Key Lab Phys Oceanog, Qingdao 266100, Peoples R China.;Cai, WJ (corresponding author), Pilot Natl Lab Marine Sci &amp; Technol, Lab Ocean &amp; Climate Dynam, Qingdao 266237, Peoples R China.;Cai, WJ (corresponding author), Commonwealth Sci &amp; Ind Res Org CSIRO Oceans &amp; Atmo, Ctr Southern Hemisphere Oceans Res, Hobart 7004, Australia.</t>
  </si>
  <si>
    <t>Wenju.Cai@csiro.au</t>
  </si>
  <si>
    <t>Santoso, Agus/J-7350-2012; Xie, Shang-Ping/C-1254-2009; Cai, Wei-Jun/C-1361-2013; Shi, Jia-Rui/HNJ-0985-2023; Zhang, Xuebin/A-3405-2012; Cheng, Xuhua/AAQ-6124-2020; Li, Xichen/ISB-4663-2023; Zheng, Xiao-Tong/H-4231-2012</t>
  </si>
  <si>
    <t>Xie, Shang-Ping/0000-0002-3676-1325; Shi, Jia-Rui/0000-0001-7505-1281; Zhang, Xuebin/0000-0003-1731-3524; Cheng, Xuhua/0000-0001-6815-1970; Zheng, Xiao-Tong/0000-0001-6335-1383; Gao, Libao/0000-0002-0402-9340</t>
  </si>
  <si>
    <t>National Key Research and Development Program of China [2018YFA0605700, 41876008]; Joint Research Centre for Southern Hemisphere Oceans Research (CSHOR); Australian Research Council Special Research Initiative for Securing Antarctica's Environmental Future [2020YFA0608801]; National Natural Science Foundation of China [SR200100005, 42230405, 41976006, 41730534, 41830538, AGS-1934392]; Program of Impact and Response of Antarctic Seas to Climate Change [41876231]; Youth Innovation Promotion Association of Chinese Academy of Sciences [IRASCC 01-01-01A]; National Science Foundation [2021205, 183311KYSB20200015]; Chinese Academy of Sciences [OCE-2048336]</t>
  </si>
  <si>
    <t>National Key Research and Development Program of China; Joint Research Centre for Southern Hemisphere Oceans Research (CSHOR); Australian Research Council Special Research Initiative for Securing Antarctica's Environmental Future(Australian Research Council); National Natural Science Foundation of China(National Natural Science Foundation of China (NSFC)); Program of Impact and Response of Antarctic Seas to Climate Change; Youth Innovation Promotion Association of Chinese Academy of Sciences; National Science Foundation(National Science Foundation (NSF)); Chinese Academy of Sciences(Chinese Academy of Sciences)</t>
  </si>
  <si>
    <t>This work was supported by the National Key Research and Development Program of China (2018YFA0605700) . Wenju Cai, Agus Santoso, and Xuebin Zhang were supported by the Joint Research Centre for Southern Hemisphere Oceans Research (CSHOR) between the Qingdao National Laboratory for MarineScience and Technology (QNLM) and the Commonwealth Scientific and Industrial Research Organisation (CSIRO) . Ariaan Purich was supported by the Australian Research Council Special Research Initiative for Securing Antarctica's Environmental Future (SR200100005) . Libao Gao was supported by the National Natural Science Foundation of China (41876231) and the Program of Impact and Response of Antarctic Seas to Climate Change (IRASCC 01-01-01A) . Yiyong Luo was supported by the National Natural Science Foundation of China (42230405 and 41976006) . Fan Jia was supported by the National Key Research and Development Program of China (2020YFA0608801) , the National Natural Science Foundation of China (41876008 and 41730534) , and the Youth Innovation Promotion Association of Chinese Academy of Sciences (2021205) . Shang-Ping Xie was supported by the National Science Foundation (AGS-1934392) . Yan Du was supported by the National Natural Science Foundation of China (41830538) and the International Partnership Program of Chinese Academy of Sciences (183311KYSB20200015) . Jia-Rui Shi was supported by the National Science Foundation (OCE-2048336) . We thank Ziguang Li (Ocean University of China) , Guojian Wang (Commonwealth Scientific and Industrial Research Organisation) , Guijun Guo (First Institute of Oceanography, Ministry of Natural Resources) , Fukai Liu (Ocean University of China) , Hai Wang (Ocean University of China) , Mei-jiao Xin (Institute of Atmospheric Physics, Chinese Academy of Sciences) , Lixiao Xu (Ocean University of China) , Zhiwei Zhang (Ocean University of China) , and Yongcan Zu (First Institute of Oceanography, Ministry of Natural Resources) for their contribution.</t>
  </si>
  <si>
    <t>10.1016/j.scib.2023.03.049</t>
  </si>
  <si>
    <t>I2NJ9</t>
  </si>
  <si>
    <t>WOS:001001200200001</t>
  </si>
  <si>
    <t>Lin, YP; Li, YH; Huang, YH; Chen, ZH; Wang, L; Li, DY; Tao, SQ</t>
  </si>
  <si>
    <t>Lin, Yunpeng; Li, Yunhai; Huang, Yuanhui; Chen, Zhihua; Wang, Liang; Li, Dongyi; Tao, Shuqin</t>
  </si>
  <si>
    <t>Suspended particulate organic carbon and its carbon isotopic composition in the surface water around the Antarctic Peninsula during summer 2017-2018</t>
  </si>
  <si>
    <t>delta C-13(POC); energy-dispersive spectrometer; POC; sea ice; suspended particulate matter</t>
  </si>
  <si>
    <t>SEA-ICE; SOUTHERN-OCEAN; PRYDZ BAY; MARINE PLANKTON; FRACTIONATION; TEMPERATURE; DYNAMICS; MATTER; DELTA-C-13; EXPORT</t>
  </si>
  <si>
    <t>The concentration of suspended particulate organic carbon (POC) and its carbon isotopic composition (delta(CPOC)-C-13) were analysed in this study with the aim of exploring the sources and factors influencing levels of POC in the surface water around the Antarctic Peninsula. The scanning electron microscopy results suggest that diatom particles formed the main component of suspended particulate matter, indicating that POC was mainly from in situ primary production. The high concentrations of chlorophyll a and POC in sea water mainly occurred in nearshore and sea-ice edge regions, which might be controlled by nutrient and reactive iron inputs stemming from sea-ice melting. The delta(CPOC)-C-13 in the study area is significantly lower than that in low-latitude waters, with a range of -31.8 parts per thousand to -22.8 parts per thousand (mean -28.9 parts per thousand), which was controlled by the high CO2 concentration in the Southern Ocean and might be influenced by phytoplankton growth rates and assemblages. This study helps us to understand material cycling in the Antarctic region under the conditions of global climate change.</t>
  </si>
  <si>
    <t>[Lin, Yunpeng; Li, Yunhai; Wang, Liang; Li, Dongyi; Tao, Shuqin] Minist Nat Resources, Inst Oceanog 3, Xiamen 361005, Peoples R China; [Li, Yunhai; Huang, Yuanhui; Chen, Zhihua] Qingdao Natl Lab Marine Sci &amp; Technol, Lab Marine Geol, Qingdao 266237, Peoples R China; [Huang, Yuanhui; Chen, Zhihua] Minist Nat Resources, Key Lab Marine Geol &amp; Metallogeny, Qingdao 266061, Peoples R China</t>
  </si>
  <si>
    <t>Third Institute of Oceanography, Ministry of Natural Resources; Ministry of Natural Resources of the People's Republic of China; Laoshan Laboratory; Ministry of Natural Resources of the People's Republic of China</t>
  </si>
  <si>
    <t>Li, YH (corresponding author), Minist Nat Resources, Inst Oceanog 3, Xiamen 361005, Peoples R China.;Li, YH (corresponding author), Qingdao Natl Lab Marine Sci &amp; Technol, Lab Marine Geol, Qingdao 266237, Peoples R China.</t>
  </si>
  <si>
    <t>liyunhai@tio.org.cn</t>
  </si>
  <si>
    <t>Tao, Shuqin/0000-0001-8529-8579; Li, Yunhai/0000-0001-9047-7256</t>
  </si>
  <si>
    <t>Chinese Arctic and Antarctic Administration, Ministry of Natural Resources [IRASCC2021-01-03-02, 02-03]; National Natural Science Foundation of China [41676191]</t>
  </si>
  <si>
    <t>Chinese Arctic and Antarctic Administration, Ministry of Natural Resources; National Natural Science Foundation of China(National Natural Science Foundation of China (NSFC))</t>
  </si>
  <si>
    <t>This work was supported by the Chinese Arctic and Antarctic Administration, Ministry of Natural Resources(No. IRASCC2021-01-03-02 and 02-03) and National Natural Science Foundation of China (No. 41676191).</t>
  </si>
  <si>
    <t>10.1017/S0954102023000093</t>
  </si>
  <si>
    <t>WOS:000986796900001</t>
  </si>
  <si>
    <t>Burada, GK; McDonald, A; Renwick, J; Jolly, B</t>
  </si>
  <si>
    <t>Burada, Girija Kalyani; McDonald, Adrian; Renwick, James; Jolly, Ben</t>
  </si>
  <si>
    <t>Delineating Polynya Area Using Active and Passive Microwave Sensors for the Western Ross Sea Sector of Antarctica</t>
  </si>
  <si>
    <t>Sentinel-1; coastal polynya; sea ice; passive microwave; SAR; Ross Sea</t>
  </si>
  <si>
    <t>ICE PRODUCTION; DISCRIMINATION; DYNAMICS; EVENTS; CLASSIFICATION; WINTER</t>
  </si>
  <si>
    <t>A polynya is an area of open water or reduced concentration of sea ice surrounded by either concentrated sea ice or land ice. They are often seen as sites of intense ocean-atmosphere heat exchange and as ice production factories. Given their importance, it is crucial to quantify the accuracy of satellite-derived polynya information. Polynyas in their early evolution phase are generally narrow and occur at scales likely too fine to be detected by widely used passive microwave (PMW) radiometric sensors. We derived 40 m scale polynya information over the western Ross Sea from high-resolution Synthetic Aperture Radar (SAR) Sentinel-1 C-band data and examined discrepancies with larger-scale estimates. We utilized two automated algorithms, supervised (a rule-based approach) and unsupervised (a combination of texture analysis with k-means clustering), to accurately identify the polynya areas. We generated data for validation using Sentinel-1 data at instances where polynyas can be visually delineated. Results from PMW sensors (NSIDC and AMSR2) and SAR-based algorithms (rule-based and texture-based) are compared with manually delineated polynya areas obtained through Sentinel-1. Analysis using PMW sensors revealed that NSIDC overestimates larger polynyas and underestimates smaller polynyas compared to AMSR2. We were more accurately able to identify polynya presence and area using Sentinel-1 SAR observations, especially in clear cases and cases when PMW data miscalculates the polynya's presence. Of our SAR-based algorithms, the rule-based approach was more accurate than the texture-based approach at identifying clear polynyas when validated against manually delineated regions. Altogether, we emphasize the need for finer spatio-temporal resolution data for polynya studies.</t>
  </si>
  <si>
    <t>[Burada, Girija Kalyani; Renwick, James] Victoria Univ Wellington, Sch Geog Environm &amp; Earth Sci, Wellington 6012, New Zealand; [McDonald, Adrian] Univ Canterbury, Sch Phys &amp; Chem Sci, Christchurch 8041, New Zealand; [Jolly, Ben] Landcare Res, Palmerston North 4474, New Zealand</t>
  </si>
  <si>
    <t>Victoria University Wellington; University of Canterbury; Landcare Research - New Zealand</t>
  </si>
  <si>
    <t>Burada, GK (corresponding author), Victoria Univ Wellington, Sch Geog Environm &amp; Earth Sci, Wellington 6012, New Zealand.</t>
  </si>
  <si>
    <t>girijakalyani.burada@vuw.ac.nz</t>
  </si>
  <si>
    <t>McDonald, Adrian/0000-0002-1456-6254</t>
  </si>
  <si>
    <t>New Zealand Antarctic Science Platform [ANTA1801]</t>
  </si>
  <si>
    <t>New Zealand Antarctic Science Platform</t>
  </si>
  <si>
    <t>This research is funded by the New Zealand Antarctic Science Platform (Grant Number ANTA1801) (https://www.antarcticscienceplatform.org.nz/ (accessed on 8 May 2023)).</t>
  </si>
  <si>
    <t>MAY 12</t>
  </si>
  <si>
    <t>10.3390/rs15102545</t>
  </si>
  <si>
    <t>H8BX9</t>
  </si>
  <si>
    <t>WOS:000998162700001</t>
  </si>
  <si>
    <t>Maccapan, D; Careddu, G; Calizza, E; Sporta Caputi, S; Rossi, L; Costantini, ML</t>
  </si>
  <si>
    <t>Maccapan, Deborah; Careddu, Giulio; Calizza, Edoardo; Sporta Caputi, Simona; Rossi, Loreto; Costantini, Maria Letizia</t>
  </si>
  <si>
    <t>Effects of Sea-Ice Persistence on the Diet of Adelie Penguin (Pygoscelis adeliae) Chicks and the Trophic Differences between Chicks and Adults in the Ross Sea, Antarctica</t>
  </si>
  <si>
    <t>Pygoscelis adeliae; trophic ecology; isotopic niche; sea-ice break-up; feeding strategies; stable isotopes; krill</t>
  </si>
  <si>
    <t>STABLE-ISOTOPE ANALYSIS; TERRA-NOVA BAY; EARLY-LIFE STAGES; EUPHAUSIA-SUPERBA; ENVIRONMENTAL VARIABILITY; PLEURAGRAMMA-ANTARCTICUM; SEASONAL-VARIATION; TEMPORAL VARIATION; POPULATION-CHANGES; FORAGING BEHAVIOR</t>
  </si>
  <si>
    <t>In Antarctica, prey availability for the mesopredator Adelie penguin, Pygoscelis adeliae, depends on sea-ice dynamics. By affecting cycles of sea-ice formation and melt, climate change could thus affect penguin diet and recruitment. In the light of climate change, this raises concerns about the fate of this dominant endemic species, which plays a key role in the Antarctic food web. However, few quantitative studies measuring the effects of sea-ice persistence on the diet of penguin chicks have yet been conducted. The purpose of this study was to fill this gap by comparing penguin diets across four penguin colonies in the Ross Sea and evaluating latitudinal and interannual variation linked to different sea-ice persistence. Diet was evaluated by analysing the d(13)C and d(15)N values of penguin guano, and sea-ice persistence by means of satellite images. Isotopic values indicate that penguins consumed more krill in colonies with longer sea-ice persistence. In these colonies, the d(13)C values of chicks were lower and closer to the pelagic chain than those of adults, suggesting that the latter apparently catch prey inshore for self-feeding and offshore for their chicks. The results indicate that sea-ice persistence is among the principal factors that influence the spatiotemporal variability of the penguins' diet.</t>
  </si>
  <si>
    <t>[Maccapan, Deborah; Careddu, Giulio; Calizza, Edoardo; Sporta Caputi, Simona; Rossi, Loreto; Costantini, Maria Letizia] Sapienza Univ Rome, Dept Environm Biol, Via Sardi 70, I-00185 Rome, Italy; [Careddu, Giulio; Calizza, Edoardo; Sporta Caputi, Simona; Rossi, Loreto; Costantini, Maria Letizia] Natl Interuniv Consortium Marine Sci, CoNISMa, Piazzale Flaminio 9, I-00196 Rome, Italy</t>
  </si>
  <si>
    <t>Sapienza University Rome; CoNISMa</t>
  </si>
  <si>
    <t>Careddu, G (corresponding author), Sapienza Univ Rome, Dept Environm Biol, Via Sardi 70, I-00185 Rome, Italy.;Careddu, G (corresponding author), Natl Interuniv Consortium Marine Sci, CoNISMa, Piazzale Flaminio 9, I-00196 Rome, Italy.</t>
  </si>
  <si>
    <t>giulio.careddu@uniroma1.it</t>
  </si>
  <si>
    <t>Sporta Caputi, Simona/AAL-1803-2021</t>
  </si>
  <si>
    <t>Sporta Caputi, Simona/0000-0003-2878-6175; Careddu, Giulio/0000-0002-7553-9161</t>
  </si>
  <si>
    <t>MIUR-PNRA [PNRA-2015/AZ1.01, PNRA16_00291]</t>
  </si>
  <si>
    <t>MIUR-PNRA(Ministry of Education, Universities and Research (MIUR))</t>
  </si>
  <si>
    <t>This research was supported by PNRA-2015/AZ1.01 (M.L. Costantini) and PNRA16_00291 (L. Rossi) funded by MIUR-PNRA.</t>
  </si>
  <si>
    <t>10.3390/biology12050708</t>
  </si>
  <si>
    <t>H4EO0</t>
  </si>
  <si>
    <t>WOS:000995515000001</t>
  </si>
  <si>
    <t>Savenets, MV; Pysarenko, L; Krakovska, S; Parnikoza, I; Pishniak, D</t>
  </si>
  <si>
    <t>Savenets, Mykhailo, V; Pysarenko, Larysa; Krakovska, Svitlana; Parnikoza, Ivan; Pishniak, Denys</t>
  </si>
  <si>
    <t>Local temperature near native vascular plants in the Argentine Islands-Kyiv Peninsula region, Antarctic Peninsula: annual variability and approximation using standard meteorological measurements</t>
  </si>
  <si>
    <t>Microclimate; microhabitat; mini-logger; Deschampsia antarctica; Colobanthus quitensis; vegetation</t>
  </si>
  <si>
    <t>MARITIME ANTARCTICA; CLIMATE-CHANGE; MICROCLIMATE; RESPONSES; ECOSYSTEMS; LICHENS; SOILS; POLAR</t>
  </si>
  <si>
    <t>We describe the main features of LT variability that influence native vascular plants in the Antarctic and examine the relationship between the temperature regime at the micro-level and meteorological conditions at the macro-level. We used a period of over a year, during which 37 specialized mini-loggers recorded LT near vascular plants in the Argentine Islands-Kyiv Peninsula region of the Antarctic Peninsula. Rather than measuring standard air or soil temperature, these loggers detect the temperature near the ground, in the microhabitats that harbour vascular plants. On a daily scale, LT correlates with standard (2-m) air temperature, with the values higher at rock slopes than at rock terraces and ledges. A moderate correlation was found with wind and radiation parameters. Seasonality accounted for 75-93% of total LT variability, with better results on open rock terraces compared to protected areas and clefts. LT day-to-day variability during the cold season is mostly responsible for differences in R2 of the annual cycle. We estimated daily mean LT using regression dependencies from 2-m air temperature and wind speed measured at a nearby meteorological station. R2 for these statistical models varies from 0.46 to 0.68. However, they underestimate the observed LT. LT measured on rock slopes showed better modelling results with air temperature, whereas wind speed was a better predictor on rock ledges. This study contributes to our understanding of the microscale temperature regime that influences native vascular plants and provides a method for its rough approximation using standard meteorological parameters.</t>
  </si>
  <si>
    <t>[Savenets, Mykhailo, V; Pysarenko, Larysa; Krakovska, Svitlana] Ukrainian Hydrometeorol Inst, Kiev, Ukraine; [Krakovska, Svitlana; Parnikoza, Ivan; Pishniak, Denys] State Inst Natl Antarctic Sci Ctr, Kiev, Ukraine; [Parnikoza, Ivan] Natl Acad Sci Ukraine, Inst Mol Biol &amp; Genet, Kiev, Ukraine; [Savenets, Mykhailo, V] Ukrainian Hydrometeorol Inst, Nauky Prospekt 37, UA-03028 Kiev, Ukraine</t>
  </si>
  <si>
    <t>National Academy of Sciences Ukraine; Ukrainian Hydrometeorological Institute of the State Emergency Service of Ukraine &amp; National Academy of Sciences of Ukraine; Ministry of Education &amp; Science of Ukraine; State Institution National Antarctic Scientific Center; National Academy of Sciences Ukraine; Institute of Molecular Biology &amp; Genetics of NASU; National Academy of Sciences Ukraine; Ukrainian Hydrometeorological Institute of the State Emergency Service of Ukraine &amp; National Academy of Sciences of Ukraine</t>
  </si>
  <si>
    <t>Savenets, MV (corresponding author), Ukrainian Hydrometeorol Inst, Kiev, Ukraine.;Savenets, MV (corresponding author), Ukrainian Hydrometeorol Inst, Nauky Prospekt 37, UA-03028 Kiev, Ukraine.</t>
  </si>
  <si>
    <t>savenets@uhmi.org.ua</t>
  </si>
  <si>
    <t>Savenets, Mykhailo/AAB-7027-2020</t>
  </si>
  <si>
    <t>Savenets, Mykhailo/0000-0001-9429-6209</t>
  </si>
  <si>
    <t>Masaryk University [MUNI/A/0952/2013]</t>
  </si>
  <si>
    <t>Masaryk University</t>
  </si>
  <si>
    <t>The authors acknowledge Kamil Laska and his work for allowing us to use data from the MicroClimate Monitoring Station, which has been supported by the Masaryk University project under MUNI/A/0952/2013 Analysis, Evaluation, and Visualization of Global Environmental Changes in the Landscape Sphere. The authors are grateful to Anna Evchun, at the State Institution National Antarctic Scientific Center, Kyiv, Ukraine, for preparing the map of the region and spatial distribution of loggers. The authors thank the reviewers whose valuable com ments and constructive criticism allowed us to improve the paper. The authors thank David Crookall for help in manuscript proofreading. Last but not least, the authors acknowledge the Armed Forces of Ukraine, local Territory Defense Forces and volunteers for making it possible for us to complete this work.</t>
  </si>
  <si>
    <t>10.33265/polar.v42.8339</t>
  </si>
  <si>
    <t>H5HA4</t>
  </si>
  <si>
    <t>WOS:000996259300001</t>
  </si>
  <si>
    <t>Shaffer, JMC; Giddings, LA; Samples, RM; Mikucki, JA</t>
  </si>
  <si>
    <t>Shaffer, Jacob M. C.; Giddings, Lesley-Ann; Samples, Robert M. M.; Mikucki, Jill A. A.</t>
  </si>
  <si>
    <t>Genomic and phenotypic characterization of a red-pigmented strain of Massilia frigida isolated from an Antarctic microbial mat</t>
  </si>
  <si>
    <t>prodigiosin biosynthesis; Antarctic Massilia; psychrophilic bacteria; whole-genome sequencing; Don Juan Pond Basin</t>
  </si>
  <si>
    <t>MCMURDO DRY VALLEYS; DON-JUAN POND; ESCHERICHIA-COLI; SP-NOV.; SERRATIA-MARCESCENS; SPECIES DEFINITION; GENE-CLUSTER; SP. NOV.; SEQUENCE; PROTEIN</t>
  </si>
  <si>
    <t>The McMurdo Dry Valleys of Antarctica experience a range of selective pressures, including extreme seasonal variation in temperature, water and nutrient availability, and UV radiation. Microbial mats in this ecosystem harbor dense concentrations of biomass in an otherwise desolate environment. Microbial inhabitants must mitigate these selective pressures via specialized enzymes, changes to the cellular envelope, and the production of secondary metabolites, such as pigments and osmoprotectants. Here, we describe the isolation and characterization of a Gram-negative, rod-shaped, motile, red-pigmented bacterium, strain DJPM01, from a microbial mat within the Don Juan Pond Basin of Wright Valley. Analysis of strain DJMP01's genome indicates it can be classified as a member of the Massilia frigida species. The genome contains several genes associated with cold and salt tolerance, including multiple RNA helicases, protein chaperones, and cation/proton antiporters. In addition, we identified 17 putative secondary metabolite gene clusters, including a number of nonribosomal peptides and ribosomally synthesized and post-translationally modified peptides (RiPPs), among others, and the biosynthesis pathway for the antimicrobial pigment prodigiosin. When cultivated on complex agar, multiple prodiginines, including the antibiotic prodigiosin, 2-methyl-3-propyl-prodiginine, 2-methyl-3-butyl-prodiginine, 2-methyl-3-heptyl-prodiginine, and cycloprodigiosin, were detected by LC-MS. Genome analyses of sequenced members of the Massilia genus indicates prodigiosin production is unique to Antarctic strains. UV-A radiation, an ecological stressor in the Antarctic, was found to significantly decrease the abundance of prodiginines produced by strain DJPM01. Genomic and phenotypic evidence indicates strain DJPM01 can respond to the ecological conditions of the DJP microbial mat, with prodiginines produced under a range of conditions, including extreme UV radiation.</t>
  </si>
  <si>
    <t>[Shaffer, Jacob M. C.; Mikucki, Jill A. A.] Univ Tennessee, Dept Microbiol, Knoxville, TN 37996 USA; [Giddings, Lesley-Ann; Samples, Robert M. M.] Smith Coll, Dept Chem, Northampton, MA USA</t>
  </si>
  <si>
    <t>University of Tennessee System; University of Tennessee Knoxville; Smith College</t>
  </si>
  <si>
    <t>Mikucki, JA (corresponding author), Univ Tennessee, Dept Microbiol, Knoxville, TN 37996 USA.</t>
  </si>
  <si>
    <t>jmikucki@utk.edu</t>
  </si>
  <si>
    <t>10.3389/fmicb.2023.1156033</t>
  </si>
  <si>
    <t>H1DM3</t>
  </si>
  <si>
    <t>WOS:000993433300001</t>
  </si>
  <si>
    <t>Dunham, ET; Sheikh, A; Opara, D; Matsuda, N; Liu, MC; McKeegan, KD</t>
  </si>
  <si>
    <t>Dunham, E. T.; Sheikh, A.; Opara, D.; Matsuda, N.; Liu, M. -C.; McKeegan, K. D.</t>
  </si>
  <si>
    <t>Calcium-aluminum-rich inclusions in non-carbonaceous chondrites: Abundances, sizes, and mineralogy</t>
  </si>
  <si>
    <t>TRACE-ELEMENT ABUNDANCES; REFRACTORY INCLUSIONS; COMPOSITIONAL CLASSIFICATION; CA,AL-RICH INCLUSIONS; PROTOPLANETARY DISKS; ENSTATITE CHONDRITES; ISOTOPIC EVIDENCE; CV3 CHONDRITES; SOLAR NEBULA; CM CHONDRITE</t>
  </si>
  <si>
    <t>As the Sun was forming, calcium-aluminum-rich inclusions (CAIs) were the first rocks to have condensed in the hottest regions of the solar nebula disk. Carbonaceous chondrites (CCs) contain abundant CAIs but are thought to have accreted in the outer Solar System, requiring that CAIs must have been transported outward. Curiously, CAIs are rare in ordinary, enstatite, rumuruti, and kakangari chondrites, non-carbonaceous chondrites (NCs), that likely formed in the inner Solar System. Thus, CAI abundances and characteristics can provide constraints on the early dynamical evolution of the disk. In this work, we address whether the hypothesis of an early-formed proto-Jupiter opening a gap in the disk can explain the dichotomy in the relative abundance of CAIs in CC and NC chondrites. We searched 76 NC meteorite sections to find 232 CAIs which have an average apparent diameter of 46 mu m and comprise 0.01 area%, about half the size of and similar to 200 times less abundant than CC CAIs on average. Unlike CC CAIs, only 4% of the NC CAIs contain melilite and most contain alteration features suggesting that NC CAIs underwent pervasive fluid-assisted thermal metamorphism on asteroidal parent bodies. However, based on NC CAI populations correlating with meteorite metamorphic grade, we argue that disk dynamics is likely the primary reason behind the existence of small (&lt;100 mu m) and rare NC CAIs. Our data support astrophysical models which suggest that, after outward transport of CAIs, formation of a gap in the disk trapped CAIs in the outer Solar System.</t>
  </si>
  <si>
    <t>[Dunham, E. T.; Matsuda, N.; Liu, M. -C.; McKeegan, K. D.] Univ Calif Los Angeles, Dept Earth Planetary &amp; Space Sci, Los Angeles, CA 90025 USA; [Dunham, E. T.] Univ Calif Santa Cruz, Dept Earth &amp; Planetary Sci, Santa Cruz, CA 95064 USA; [Sheikh, A.; Opara, D.] Harvard MIT Sci Res Mentoring Program, Boston, MA 02142 USA; [Liu, M. -C.] Lawrence Livermore Natl Lab, Livermore, CA 94550 USA</t>
  </si>
  <si>
    <t>University of California System; University of California Los Angeles; University of California System; University of California Santa Cruz; United States Department of Energy (DOE); Lawrence Livermore National Laboratory</t>
  </si>
  <si>
    <t>Dunham, ET (corresponding author), Univ Calif Los Angeles, Dept Earth Planetary &amp; Space Sci, Los Angeles, CA 90025 USA.</t>
  </si>
  <si>
    <t>etdunham@g.ucla.edu</t>
  </si>
  <si>
    <t>Liu, Ming-Chang/D-1885-2010; McKeegan, Kevin/A-4107-2008</t>
  </si>
  <si>
    <t>Liu, Ming-Chang/0000-0003-4030-5258; McKeegan, Kevin/0000-0002-1827-729X; Dunham, Emilie/0000-0003-3695-3295</t>
  </si>
  <si>
    <t>NSF; NASA [80NSSC18K0602, 2020-1829]; Harvard-MIT Science Research Mentoring Program from the City of Cambridge; Heising-Simons foundation; NSF Instrumentation &amp; Facilities Program; 51 Pegasi b grant [80NSSC20K0759]</t>
  </si>
  <si>
    <t>NSF(National Science Foundation (NSF)); NASA(National Aeronautics &amp; Space Administration (NASA)); Harvard-MIT Science Research Mentoring Program from the City of Cambridge; Heising-Simons foundation; NSF Instrumentation &amp; Facilities Program; 51 Pegasi b grant</t>
  </si>
  <si>
    <t>We thank associate editor Don Brownlee and editors Sasha Krot and Steve Simon for greatly improving this paper. We are grateful to Steven Desch, Jeffery Cuzzi, Alan Rubin, Bidong Zhang, Kaitlyn McCain, and Myriam Telus for helpful discussions. We thank Frank Kyte and Brian Damiata for their support of data collection on the UCLA electron microprobe and Elizabeth Bell for her support of UCLA scanning electron microscope (SEM) data collection. The samples used in this study were allocated to us by the Meteorite Working Group and the UCLA meteorite collection. The US Antarctic meteorite samples are recovered by the Antarctic Search for Meteorites (ANSMET) program, which has been funded by NSF and NASA, and characterized and curated by the Department of Mineral Sciences of the Smithsonian Institution and the Astromaterials Acquisition and Curation Office at NASA Johnson Space Center. We acknowledge support of the Harvard-MIT Science Research Mentoring Program from the City of Cambridge, the Heising-Simons foundation, Clara Sousa-Silva and Daniel Yahalomi. The UCLA ion microprobe laboratory is partially supported by a grant from the NSF Instrumentation &amp; Facilities Program. This work is supported by 51 Pegasi b grant #2020-1829 (ETD), and NASA grants 80NSSC20K0759 and 80NSSC18K0602 (ML).</t>
  </si>
  <si>
    <t>10.1111/maps.13975</t>
  </si>
  <si>
    <t>AW2P0</t>
  </si>
  <si>
    <t>WOS:000986188000001</t>
  </si>
  <si>
    <t>Frame, B</t>
  </si>
  <si>
    <t>Frame, Bob</t>
  </si>
  <si>
    <t>In search of the last continent: Australia and early Antarctic exploration</t>
  </si>
  <si>
    <t>POLAR RECORD</t>
  </si>
  <si>
    <t>[Frame, Bob] Univ Canterbury, Gateway Antarct, Christchurch, New Zealand</t>
  </si>
  <si>
    <t>University of Canterbury</t>
  </si>
  <si>
    <t>Frame, B (corresponding author), Univ Canterbury, Gateway Antarct, Christchurch, New Zealand.</t>
  </si>
  <si>
    <t>research@frameworks.nz</t>
  </si>
  <si>
    <t>Frame, Bob/0000-0003-2447-4174</t>
  </si>
  <si>
    <t>0032-2474</t>
  </si>
  <si>
    <t>1475-3057</t>
  </si>
  <si>
    <t>POLAR REC</t>
  </si>
  <si>
    <t>POLAR REC.</t>
  </si>
  <si>
    <t>MAY 11</t>
  </si>
  <si>
    <t>10.1017/S0032247423000098</t>
  </si>
  <si>
    <t>Ecology; Environmental Sciences</t>
  </si>
  <si>
    <t>M3TL0</t>
  </si>
  <si>
    <t>WOS:001029445100001</t>
  </si>
  <si>
    <t>Xue, J; Ge, LJ; Wang, HH; Liang, JJ; Wang, QC; Lu, WB; Cui, YW; Xie, HJ; Jian, SK; Jin, DP; Jin, QZ; Li, T; Shen, Q</t>
  </si>
  <si>
    <t>Xue, Jing; Ge, Lijun; Wang, Honghai; Liang, Jingjing; Wang, Qingcheng; Lu, Weibo; Cui, Yiwei; Xie, Hujun; Jian, Shikai; Jin, Danping; Jin, Qizhi; Li, Ting; Shen, Qing</t>
  </si>
  <si>
    <t>Comprehensive Screening for EPA/DHA-Structured Phospholipids in Aquatic Products by a Specific Precursor Ion Scanning-Based HILIC-MS/MS Method</t>
  </si>
  <si>
    <t>EPA; DHA-structured phospholipids; lipidomics; precursor ion scan; aquatic products; multivariatestatistical analysis</t>
  </si>
  <si>
    <t>INTERACTION LIQUID-CHROMATOGRAPHY; FATTY-ACID; MARINE; PHOSPHATIDYLCHOLINE; IDENTIFICATION; METABOLISM; TRIPTOLIDE; DELIVERY; MUSSEL; LIPIDS</t>
  </si>
  <si>
    <t>Comprehensive screening for functionalsubstances from naturalresources is always a hot research topic. Eicosapentaenoic acid- (EPA)and docosahexaenoic acid (DHA)-structured phospholipids (PLEPA/DHA) have versatile cardiovascular benefits as well as superior bioavailability.Herein, the abundance of PLEPA/DHA in 16 aquatic productswas specifically and selectively screened using a recently developedprecursor ion scan-driven hydrophilic interaction chromatography-massspectrometry (PreIS-HILIC/MS) method with the fatty acyl moietiesof EPA (m/z 301.6) and DHA (m/z 327.6) locked. The aim focused on thecharacteristics and differences in the varieties and contents of EPA/DHA-structuredphosphatidylcholine (PCEPA/DHA) and EPA/DHA-structuredphosphatidylethanolamine (PEEPA/DHA) molecular species.A total of 80 PLEPA/DHA molecules were identified in thesenatural sources, including 47 PCEPA/DHA and 33 PEEPA/DHA. After analysis, PC 16:0/20:5 and PC 16:0/22:6 are present in allaquatic products and at high levels. Antarctic krill was found tobe the best resource of PLEPA/DHA in total (2574.69 mu g center dot g(-1)), followed by mackerel (2330.11 mu g center dot g(-1)), salmon (2109.91 mu g center dot g(-1)), and Farrer's scallop (1883.59 mu g center dot g(-1)), while abalone contained the lowest level of PLEPA/DHA (310.44 mu g center dot g(-1)). Besides, sea cucumberand sea bass contained the highest contents of EPA-structured andDHA-structured ether phospholipids, respectively, which could be highlyrecommended as dietary sources of special functional phospholipids.Finally, the multiple discrepancies between the 16 aquatic productswere revealed by multivariate statistical analysis. These findingsimprove the awareness of the composition and content of PLEPA/DHA contained in aquatic products, providing a reference for their integrateddevelopment.</t>
  </si>
  <si>
    <t>[Xue, Jing; Ge, Lijun; Wang, Honghai; Lu, Weibo; Cui, Yiwei; Xie, Hujun; Jian, Shikai; Jin, Danping; Shen, Qing] Zhejiang Gongshang Univ, Inst Seafood, Collaborat Innovat Ctr Seafood Deep Proc, Zhejiang Prov Joint Key Lab Aquat Prod Proc, Hangzhou 310023, Peoples R China; [Liang, Jingjing] Zhejiang Prov Inst Food &amp; Drug Control, Hangzhou 310052, Peoples R China; [Wang, Qingcheng] Hangzhou Linping Hosp Tradit Chinese Med, Hangzhou 310012, Peoples R China; [Jin, Qizhi] Wenzhou Med Univ, Quzhou Affiliated Hosp, Quzhou Peoples Hosp, Dept Cardiol, Quzhou 324000, Peoples R China; [Li, Ting] Wenzhou Med Univ, Affiliated Hosp 2, Dept Anesthesia &amp; Crit Care, Clin Res Unit, Wenzhou 325035, Peoples R China</t>
  </si>
  <si>
    <t>Zhejiang Gongshang University; Wenzhou Medical University; Wenzhou Medical University</t>
  </si>
  <si>
    <t>Shen, Q (corresponding author), Zhejiang Gongshang Univ, Inst Seafood, Collaborat Innovat Ctr Seafood Deep Proc, Zhejiang Prov Joint Key Lab Aquat Prod Proc, Hangzhou 310023, Peoples R China.;Jin, QZ (corresponding author), Wenzhou Med Univ, Quzhou Affiliated Hosp, Quzhou Peoples Hosp, Dept Cardiol, Quzhou 324000, Peoples R China.;Li, T (corresponding author), Wenzhou Med Univ, Affiliated Hosp 2, Dept Anesthesia &amp; Crit Care, Clin Res Unit, Wenzhou 325035, Peoples R China.</t>
  </si>
  <si>
    <t>jqzys@163.com; liting1021@aliyun.com; leonqshen@163.com</t>
  </si>
  <si>
    <t>Li, Ting/J-5960-2014</t>
  </si>
  <si>
    <t>Li, Ting/0000-0001-5625-3339</t>
  </si>
  <si>
    <t>National Natural Science Foundation of China [32172304]; Zhejiang Provincial Public Welfare Technology Research Project [LTGN23C200007]; Eyas Program Incubation Project of Zhejiang Provincial Administration for Market Regulation [CY2022232]; Wenzhou Science and Technology Grant [Y20210128]; Special Fund of Basic Operating Expenses of Colleges and Universities of Zhejiang Province [XRK22002]</t>
  </si>
  <si>
    <t>National Natural Science Foundation of China(National Natural Science Foundation of China (NSFC)); Zhejiang Provincial Public Welfare Technology Research Project; Eyas Program Incubation Project of Zhejiang Provincial Administration for Market Regulation; Wenzhou Science and Technology Grant; Special Fund of Basic Operating Expenses of Colleges and Universities of Zhejiang Province</t>
  </si>
  <si>
    <t>The authors thank the National Natural Science Foundation of China (32172304), the Zhejiang Provincial Public Welfare Technology Research Project (LTGN23C200007), the Eyas Program Incubation Project of Zhejiang Provincial Administration for Market Regulation (CY2022232), the Wenzhou Science and Technology Grant (Y20210128), and the Special Fund of Basic Operating Expenses of Colleges and Universities of Zhejiang Province( XRK22002).</t>
  </si>
  <si>
    <t>10.1021/acs.jafc.3c00505</t>
  </si>
  <si>
    <t>J7IP7</t>
  </si>
  <si>
    <t>WOS:001011323300001</t>
  </si>
  <si>
    <t>Zare, M; Heidari, E; Choupani, SMH; Akhavan, SR; Rombenso, A; Esmaeili, N</t>
  </si>
  <si>
    <t>Zare, Mahyar; Heidari, Elaheh; Choupani, Seyedeh Mahsa Hosseini; Akhavan, Sobhan R.; Rombenso, Artur; Esmaeili, Noah</t>
  </si>
  <si>
    <t>The Recovery Time between Early Mild Stress and Final Acute Stress Affects Survival Rate, Immunity, Health, and Physiology of Oscar (Astronotus ocellatus)</t>
  </si>
  <si>
    <t>antioxidant response; blood performance; blood biochemistry; stress physiology; stress response</t>
  </si>
  <si>
    <t>TROUT ONCORHYNCHUS-MYKISS; JUVENILE RAINBOW-TROUT; OXIDATIVE STRESS; LIPID-METABOLISM; AMAZONIAN OSCAR; BROWN TROUT; RESPONSES; GROWTH; HYPOXIA; CORTISOL</t>
  </si>
  <si>
    <t>This study investigated how the time interval between the last EMS (netting) and the acute confinement stress (AC stress) at the end of the experiment can influence growth, haematology, blood biochemistry, immunological response, antioxidant system, liver enzymes, and stress response of oscar (Astronotus ocellatus; 5.7 +/- 0.8 g). Nine experimental treatments were tested, as follows: Control, Stress28 (EMS in weeks two and eight), Stress27 (EMS in weeks two and seven), Stress26 (EMS in weeks two and six), Stress25 (EMS in weeks two and five), Stress24 (EMS in week two and four), Stress23 (EMS in week two and three), Stress78 (EMS in week seven and eight), and Stress67 (EMS in week six and seven). After the nine-week experimental period, while it was not significant, fish exposed to Stress78 (26.78 g) and Stress67 (30.05 g) had the lowest growth rates. After AC stress, fish exposed to Stress78 (63.33%) and Control (60.00%) showed the lowest survival rate. The Stress78 fish displayed low resilience, illustrated by values of blood performance, LDL, total protein, lysozyme, ACH50, immunoglobin, complement component 4, complement component 3, cortisol, superoxide dismutase, catalase, and alanine aminotransferase. In conclusion, gathering consecutive stress and not enough recovery time in the Stress78 group negatively affected stress responsiveness and the health of oscar.</t>
  </si>
  <si>
    <t>[Zare, Mahyar] Univ South Bohemia Ceske Budejovice, Inst Aquaculture &amp; Protect Waters, Fac Fisheries &amp; Protect Waters, South Bohemian Res Ctr Aquaculture &amp; Biodivers Hyd, Ceske Budejovice 37005, Czech Republic; [Heidari, Elaheh] Shahid Beheshti Univ, Fac Life Sci &amp; Biotechnol, Dept Anim Marine &amp; Aquat Biol &amp; Biotechnol, Tehran 1983969411, Iran; [Choupani, Seyedeh Mahsa Hosseini] Tarbiat Modares Univ, Fac Marine Sci, Dept Fisheries, Noor 46414356, Iran; [Akhavan, Sobhan R.] Nelson Marlborough Inst Technol, 322 Hardy St,Private Bag 19, Nelson 7010, New Zealand; [Rombenso, Artur] Bribie Isl Res Ctr, Livestock &amp; Aquaculture Program, Agr &amp; Food, Woorim, Qld 4507, Australia; [Esmaeili, Noah] Univ Tasmania, Inst Marine &amp; Antarctic Studies, Hobart, Tas 7005, Australia</t>
  </si>
  <si>
    <t>University of South Bohemia Ceske Budejovice; Shahid Beheshti University; Tarbiat Modares University; Nelson Marlborough Institute of Technology; Queensland Department of Agriculture &amp; Fisheries; University of Tasmania</t>
  </si>
  <si>
    <t>Esmaeili, N (corresponding author), Univ Tasmania, Inst Marine &amp; Antarctic Studies, Hobart, Tas 7005, Australia.</t>
  </si>
  <si>
    <t>noah.esmaeili@utas.edu.au</t>
  </si>
  <si>
    <t>Zare, Mahyar/IWU-8340-2023; Esmaeili, Noah/Q-4536-2019; Rombenso, Artur/B-6978-2019</t>
  </si>
  <si>
    <t>Zare, Mahyar/0000-0002-4063-0563; Esmaeili, Noah/0000-0001-8704-939X; Rombenso, Artur/0000-0002-4723-0888</t>
  </si>
  <si>
    <t>10.3390/ani13101606</t>
  </si>
  <si>
    <t>H2ZO8</t>
  </si>
  <si>
    <t>WOS:000994703400001</t>
  </si>
  <si>
    <t>Torres-Rojas, F; Hernández, P; Vargas, IT; Nancucheo, I</t>
  </si>
  <si>
    <t>Torres-Rojas, Felipe; Hernandez, Pedro; Vargas, Ignacio T.; Nancucheo, Ivan</t>
  </si>
  <si>
    <t>Electrotrophic perchlorate reduction by a psychrotolerant acidophile isolated from an acid rock drainage in Antarctica</t>
  </si>
  <si>
    <t>BIOELECTROCHEMISTRY</t>
  </si>
  <si>
    <t>Acidithiobacillus ferrivorans; Acidophile; Antarctica; Biocathode; Extremophile; Oxyanions</t>
  </si>
  <si>
    <t>DENITRIFYING BIOCATHODE; BIOFILM FORMATION; MICROORGANISMS; NITRATE; COMMUNITIES; PERFORMANCE; GROWTH; STREAM</t>
  </si>
  <si>
    <t>A new extremophilic isolate (USS-CCA7) was obtained from an acidic environment (pH -3.2) in Antarctica phylogenetically related to Acidithiobacillus ferrivorans; its electrotrophic capacities were evaluated in a three-electrode electrochemical cell. Cyclic voltammetry showed cathodic peaks of-428 mV,-536 mV, and-634 mV (vs. Ag/AgCl; pH = 1.7; 3 M KCl) for nitrate, oxygen, and perchlorate, respectively. The catalytic role of this microorganism was also observed by a decrease in the charge transfer resistance registered via electrochemical impedance spectroscopy. Five-day chronoamperometry of culture at pH = 1.7, USS-CCA7 showed a perchlorate removal rate of 19.106 +/- 1.689 mgL-1 day-1 and a cathodic efficiency of 112 +/- 5.2 %. Growth on electrodes was observed by epifluorescence and scanning electron microscopy. Interestingly, the results showed that toward higher pH, the cathodic peak of perchlorate is reduced in the voltammetric profiles. This study highlights the use of this psychrotolerant acidophile for the bioremediation of harsh perchlorate-pressured terrestrial under acidic conditions.</t>
  </si>
  <si>
    <t>[Torres-Rojas, Felipe; Nancucheo, Ivan] Univ San Sebastian, Fac Ingn Arquitectura &amp; Diseno, Lientur 1457, Concepcion 4080871, Chile; [Vargas, Ignacio T.] Pontificia Univ Catolica Chile, Dept Ingn Hidraul &amp; Ambiental, Ave Vicuna Mackenna 4860, Santiago, Chile; [Vargas, Ignacio T.] Ctr Desarrollo Urbano Sustentable CEDEUS, Santiago, Chile; [Nancucheo, Ivan] Lientur 1457, Concepcion 4080871, Chile</t>
  </si>
  <si>
    <t>Universidad San Sebastian; Pontificia Universidad Catolica de Chile</t>
  </si>
  <si>
    <t>Nancucheo, I (corresponding author), Lientur 1457, Concepcion 4080871, Chile.</t>
  </si>
  <si>
    <t>ivan.nancucheo@uss.cl</t>
  </si>
  <si>
    <t>Vargas, Ignacio/B-5954-2014</t>
  </si>
  <si>
    <t>Vargas, Ignacio/0000-0001-5974-2795; Torres-rojas, Felipe/0000-0001-5595-6809</t>
  </si>
  <si>
    <t>Chilean Antarctic Institute (INACH) [RT_12-18]; FONDECYT project [1201134]; CEDEUS center ANID/FONDAP [1522A0002]</t>
  </si>
  <si>
    <t>Chilean Antarctic Institute (INACH); FONDECYT project(Comision Nacional de Investigacion Cientifica y Tecnologica (CONICYT)CONICYT FONDECYT); CEDEUS center ANID/FONDAP</t>
  </si>
  <si>
    <t>This work was supported by the Chilean Antarctic Institute (INACH), Project RT_12-18, the FONDECYT project 1201134 and the CEDEUS center ANID/FONDAP/1522A0002.</t>
  </si>
  <si>
    <t>ELSEVIER SCIENCE SA</t>
  </si>
  <si>
    <t>PO BOX 564, 1001 LAUSANNE, SWITZERLAND</t>
  </si>
  <si>
    <t>1567-5394</t>
  </si>
  <si>
    <t>1878-562X</t>
  </si>
  <si>
    <t>Bioelectrochemistry</t>
  </si>
  <si>
    <t>10.1016/j.bioelechem.2023.108458</t>
  </si>
  <si>
    <t>Biochemistry &amp; Molecular Biology; Biology; Biophysics; Electrochemistry</t>
  </si>
  <si>
    <t>Biochemistry &amp; Molecular Biology; Life Sciences &amp; Biomedicine - Other Topics; Biophysics; Electrochemistry</t>
  </si>
  <si>
    <t>I2YE3</t>
  </si>
  <si>
    <t>WOS:001001481300001</t>
  </si>
  <si>
    <t>Bekaert, DV; Blard, PH; Raoult, Y; Pik, R; Kipfer, R; Seltzer, AM; Legrain, E; Marty, B</t>
  </si>
  <si>
    <t>Bekaert, D. V.; Blard, P. -h.; Raoult, Y.; Pik, R.; Kipfer, R.; Seltzer, A. M.; Legrain, E.; Marty, B.</t>
  </si>
  <si>
    <t>Last glacial maximum cooling of 9 °C in continental Europe from a 40 kyr-long noble gas paleothermometry record</t>
  </si>
  <si>
    <t>Noble gas paleothermometry; Continental Europe; Last glacial maximum; Climate sensitivity</t>
  </si>
  <si>
    <t>O-18 ISOTOPE COMPOSITION; ICE-CORE; ANTARCTIC TEMPERATURE; GROUNDWATER RECHARGE; POLAR AMPLIFICATION; CLIMATE SENSITIVITY; ATMOSPHERIC CO2; PAST CLIMATE; EXCESS AIR; RECONSTRUCTION</t>
  </si>
  <si>
    <t>The Last Glacial Maximum (LGM;-26-18 kyr ago) is a time interval of great climatic interest charac-terized by substantial global cooling driven by radiative forcings and feedbacks associated with orbital changes, lower atmospheric CO2, and large ice sheets. However, reliable proxies of continental paleo-temperatures are scarce and often qualitative, which has limited our understanding of the spatial structure of past climate changes. Here, we present a quantitative noble gas temperature (NGT) record of the last-40 kyr from the Albian aquifer in Eastern Paris Basin (France,-48 degrees N). Our NGT data indicate that the mean annual surface temperature was-5 degrees C during the Marine Isotope Stage 3 (MIS3;-40-30 kyr ago), before cooling to-2 degrees C during the LGM, and warming to-11 degrees C in the Holocene, which closely matches modern ground surface temperatures in Eastern France. Combined with water stable isotope analyses, NGT data indicate 8D/NGT and 818O/NGT transfer functions of +1.6 +/- 0.4%o/degrees C and +0.18 +/- 0.04%o/degrees C, respectively. Our noble-gas derived LGM cooling of-9 degrees C (relative to the Holo-cene) is consistent with previous studies of noble gas paleothermometry in European groundwaters but larger than the low-to-mid latitude estimate of 5.8 +/- 0.6 degrees C derived from a compilation of noble gas records, which supports the notion that continental LGM cooling was more extreme at higher latitudes. While an LGM cooling of-9 degrees C in Eastern France appears compatible with recent data assimilation studies, this value is greater than most estimates from current-generation climate model simulations of the LGM. Comparing our estimate for the temperature in Eastern France during MIS3 (6.4 +/- 0.5 degrees C) with GCM outputs presents a promising avenue to further evaluate climate model simulations and constrain European climate evolution over the last glacial cycle.(c) 2023 Elsevier Ltd. All rights reserved.</t>
  </si>
  <si>
    <t>[Bekaert, D. V.; Blard, P. -h.; Raoult, Y.; Pik, R.; Marty, B.] Univ Lorraine, CNRS, CRPG, F-54000 Nancy, France; [Bekaert, D. V.; Seltzer, A. M.] Woods Hole Oceanog Inst, Marine Chem &amp; Geochem Dept, Woods Hole, MA USA; [Blard, P. -h.] Univ Libre Bruxelles, Lab Glaciol, DGES IGEOS, B-1050 Brussels, Belgium; [Raoult, Y.] Sorbonne Univ, UMR 7619 METIS, 4 Pl Jussieu, F-75005 Paris, France; [Kipfer, R.] ETHZ, Inst Biogeochem &amp; Pollutant Dynam, Swiss Fed Inst Technol, Dept Environm Syst Sci, Zurich, Switzerland; [Kipfer, R.] ETHZ, Inst Geochem &amp; Petrol, Swiss Fed Inst Technol, Dept Earth Sci, Zurich, Switzerland; [Kipfer, R.] Swiss Fed Inst Environm Sci &amp; Technol EAWAG, Dept Water Resources &amp; Drinking Water, CH-8600 Dubendorf, Switzerland; [Legrain, E.] Univ Grenoble Alpes, CNRS, IRD, IGE, Grenoble, France</t>
  </si>
  <si>
    <t>Universite de Lorraine; Centre National de la Recherche Scientifique (CNRS); Woods Hole Oceanographic Institution; Universite Libre de Bruxelles; Sorbonne Universite; Centre National de la Recherche Scientifique (CNRS); CNRS - Institute of Ecology &amp; Environment (INEE); Swiss Federal Institutes of Technology Domain; ETH Zurich; Swiss Federal Institutes of Technology Domain; ETH Zurich; Swiss Federal Institutes of Technology Domain; Swiss Federal Institute of Aquatic Science &amp; Technology (EAWAG); Institut de Recherche pour le Developpement (IRD); Centre National de la Recherche Scientifique (CNRS); Communaute Universite Grenoble Alpes; Universite Grenoble Alpes (UGA)</t>
  </si>
  <si>
    <t>Bekaert, DV (corresponding author), Univ Lorraine, CNRS, CRPG, F-54000 Nancy, France.;Bekaert, DV (corresponding author), Woods Hole Oceanog Inst, Marine Chem &amp; Geochem Dept, Woods Hole, MA USA.</t>
  </si>
  <si>
    <t>david.bekaert@univ-lorraine.fr</t>
  </si>
  <si>
    <t>NSF [ANR-22-CPJ2-0005-01]; French National Research Agency under the Programme d'Investissements d'Avenir [2102457]; [ANR-19-MPGA-0001]</t>
  </si>
  <si>
    <t>NSF(National Science Foundation (NSF)); French National Research Agency under the Programme d'Investissements d'Avenir(Agence Nationale de la Recherche (ANR));</t>
  </si>
  <si>
    <t>We thank the two anonymous reviewers for their constructive suggestions that improved the quality of our manuscript. We are greatful to Eawag and ETHZ teams for their effort to operate the noble gas laboratory at ETHZ. Part of this recherche was funded by grant ANR-22-CPJ2-0005-01 to DVB. AS acknowledges funding by NSF grant 2102457. EL acknowledges funding by the French National Research Agency under the Programme d'Investissements d'Avenir (ANR-19-MPGA-0001). Funding for open access charge: grant ANR-22-CPJ2-0005-01.</t>
  </si>
  <si>
    <t>10.1016/j.quascirev.2023.108123</t>
  </si>
  <si>
    <t>I3IE5</t>
  </si>
  <si>
    <t>WOS:001001741500001</t>
  </si>
  <si>
    <t>Gao, Y; Kamenkovich, I; Perlin, N</t>
  </si>
  <si>
    <t>Gao, Yu; Kamenkovich, Igor; Perlin, Natalie</t>
  </si>
  <si>
    <t>Origins of mesoscale mixed-layer depth variability in the Southern Ocean</t>
  </si>
  <si>
    <t>ANTARCTIC MODE WATER; SATELLITE-OBSERVATIONS; SURFACE; PARAMETERIZATION; CHLOROPHYLL; FLUXES; EDDIES</t>
  </si>
  <si>
    <t>Mixed-layer depth (MLD) exhibits significant variability, which is important for atmosphere-ocean exchanges of heat and atmospheric gases. The origins of the mesoscale MLD variability in the Southern Ocean are studied here in an idealised regional ocean-atmosphere model (ROAM). The main conclusion from the analysis of the upper-ocean buoyancy budget is that, while the atmospheric forcing and oceanic vertical mixing, on average, induce the mesoscale variability of MLD, the three-dimensional oceanic advection of buoyancy counteracts and partially balances these atmosphere-induced vertical processes. The relative importance of advection changes with both season and average MLD. From January to May, when the mixed layer is shallow, the atmospheric forcing and oceanic mixing are the most important processes, with the advection playing a secondary role. From June to December, when the mixed layer is deep, both atmospheric forcing and oceanic advection are equally important in driving the MLD variability. Importantly, buoyancy advection by mesoscale ocean current anomalies can lead to both local shoaling and deepening of the mixed layer. The role of the atmospheric forcing is then directly addressed by two sensitivity experiments in which the mesoscale variability is removed from the atmosphereocean heat and momentum fluxes. The findings confirm that mesoscale atmospheric forcing predominantly controls MLD variability in summer and that intrinsic oceanic variability and surface forcing are equally important in winter. As a result, MLD variance increases when mesoscale anomalies in atmospheric fluxes are removed in winter, and oceanic advection becomes a dominant player in the buoyancy budget. This study highlights the importance of oceanic advection and intrinsic ocean dynamics in driving mesoscale MLD variability and underscores the importance of MLD in modulating the effects of advection on upper-ocean dynamics.</t>
  </si>
  <si>
    <t>[Gao, Yu] Univ Calif San Diego, Scripps Inst Oceanog, 9500 Gilman Dr, La Jolla, CA 92093 USA; [Gao, Yu; Kamenkovich, Igor; Perlin, Natalie] Univ Miami, Rosenstiel Sch Marine Atmospher &amp; Earth Sci, 4600 Rickenbacker Causeway, Miami, FL 33149 USA</t>
  </si>
  <si>
    <t>University of California System; University of California San Diego; Scripps Institution of Oceanography; University of Miami</t>
  </si>
  <si>
    <t>Gao, Y (corresponding author), Univ Calif San Diego, Scripps Inst Oceanog, 9500 Gilman Dr, La Jolla, CA 92093 USA.;Gao, Y (corresponding author), Univ Miami, Rosenstiel Sch Marine Atmospher &amp; Earth Sci, 4600 Rickenbacker Causeway, Miami, FL 33149 USA.</t>
  </si>
  <si>
    <t>yug032@ucsd.edu</t>
  </si>
  <si>
    <t>Gao, Yu/0000-0002-5123-2704; Kamenkovich, Igor/0000-0001-6228-5599</t>
  </si>
  <si>
    <t>National Science Foundation [1559151, 1849990]; National Aeronautics and Space Administration [80NSSC20K1136]; Southern Ocean Carbon and Climate Observations and Modeling (SOCCOM) [OPP-1936222]</t>
  </si>
  <si>
    <t>National Science Foundation(National Science Foundation (NSF)); National Aeronautics and Space Administration(National Aeronautics &amp; Space Administration (NASA)); Southern Ocean Carbon and Climate Observations and Modeling (SOCCOM)</t>
  </si>
  <si>
    <t>This research has been supported by the National Science Foundation (grant nos. 1559151 and 1849990), the National Aeronautics and Space Administration (grant no. 80NSSC20K1136), and the Southern Ocean Carbon and Climate Observations and Modeling (SOCCOM) (project OPP-1936222).</t>
  </si>
  <si>
    <t>10.5194/os-19-615-2023</t>
  </si>
  <si>
    <t>G1CN6</t>
  </si>
  <si>
    <t>WOS:000986621600001</t>
  </si>
  <si>
    <t>Gardner, J; Peck, VL; Bakker, DCE; Tarling, GA; Manno, C</t>
  </si>
  <si>
    <t>Gardner, Jessie; Peck, Victoria L. L.; Bakker, Dorothee C. E.; Tarling, Geraint A. A.; Manno, Clara</t>
  </si>
  <si>
    <t>Contrasting life cycles of Southern Ocean pteropods alter their vulnerability to climate change</t>
  </si>
  <si>
    <t>pteropod life history; sediment trap; Scotia Sea; Limacina helicina antarctica; marine ecology; Antarctic; population dynamics; zooplankton</t>
  </si>
  <si>
    <t>SEDIMENT TRAP; LIMACINA-RETROVERSA; SHELLED PTEROPODS; VERTICAL FLUX; SCOTIA SEA; ICE-ZONE; ROSS SEA; ZOOPLANKTON; ABUNDANCE; HELICINA</t>
  </si>
  <si>
    <t>Pteropods are a key part of biogeochemical cycling and epipelagic food webs in the Southern Ocean. However, shelled pteropods are vulnerable to climate change, due to their aragonite shells being particularly sensitive to ocean acidification. Currently our understanding of pteropod responses to environmental change is hindered by uncertainties surrounding their life cycles and population dynamics. In this study, we describe polar shelled pteropod diversity in the north-eastern Scotia Sea, inferring life history and population structures of the dominant pteropod species, Limacina rangii (formerly Limacina helicina antarctica) and Limacina retroversa. An annual timeseries of Limacina shell morphometrics was derived from individuals collected in a moored sediment trap at 400 m depth. We found that L. rangii and L. retroversa have contrasting life history strategies. L. rangii has a continuous spawning and recruitment period from November to March and can overwinter as juveniles and adults. L. retroversa has discrete spawning events from November to May, producing non-overlapping cohorts of juveniles and adults. Their development to the adult stage takes between two and five months, upon which they overwinter as adults. Our findings suggest different vulnerabilities of L. rangii and L. retroversa to a changing ocean. For example, since all life stages of L. rangii co-exist, vulnerability of one cohort is not detrimental to the stability of the overall population whereas, if one L. retroversa cohort fails to recruit, the entire population is threatened. Changes in pteropod populations could have cascading ramifications to Antarctic ecosystems and carbon cycling.</t>
  </si>
  <si>
    <t>[Gardner, Jessie; Peck, Victoria L. L.; Tarling, Geraint A. A.; Manno, Clara] British Antarctic Survey, Ecosyst, Cambridge, England; [Gardner, Jessie] UiT The Arctic Univ Norway, Dept Arctic &amp; Marine Biol, Tromso, Norway; [Bakker, Dorothee C. E.] Univ East Anglia, Ctr Ocean &amp; Atmospher Sci, Sch Environm Sci, Norwich, Norfolk, England</t>
  </si>
  <si>
    <t>UK Research &amp; Innovation (UKRI); Natural Environment Research Council (NERC); NERC British Antarctic Survey; UiT The Arctic University of Tromso; University of East Anglia</t>
  </si>
  <si>
    <t>Manno, C (corresponding author), British Antarctic Survey, Ecosyst, Cambridge, England.</t>
  </si>
  <si>
    <t>clanno@bas.ac.uk</t>
  </si>
  <si>
    <t>Bakker, Dorothee/E-4951-2015</t>
  </si>
  <si>
    <t>Bakker, Dorothee/0000-0001-9234-5337</t>
  </si>
  <si>
    <t>10.3389/fmars.2023.1118570</t>
  </si>
  <si>
    <t>H0LG9</t>
  </si>
  <si>
    <t>WOS:000992958800001</t>
  </si>
  <si>
    <t>Chen, F; Feckan, M; Wang, JR</t>
  </si>
  <si>
    <t>Chen, Fei; Feckan, Michal; Wang, JinRong</t>
  </si>
  <si>
    <t>Existence and stability results for a second-order differential equation for the Antarctic circumpolar current</t>
  </si>
  <si>
    <t>Antarctic circumpolar current; Existence and uniqueness; Linear vorticity and nonlinear vorticity; Ulam-Hyers stability</t>
  </si>
  <si>
    <t>OCEAN FLOW</t>
  </si>
  <si>
    <t>In this paper, we derive a new integral equation model for the Antarctic circumpolar current (ACC) by considering the radial solutions for a semi-linear elliptic equation model of gyres and applying Green's function. We give the representation of solutions for constant vorticity and linear vorticity and show the existence and uniqueness of solutions for nonlinear vorticity. Finally, we present the Ulam-Hyers stability for the ACC involving Lipschitz-type nonlinear vorticity.</t>
  </si>
  <si>
    <t>[Chen, Fei; Wang, JinRong] Guizhou Univ, Dept Math, Guiyang 550025, Guizhou, Peoples R China; [Chen, Fei; Wang, JinRong] Guizhou Univ, Supercomp Algorithm &amp; Applicat Lab, Guiyang 550025, Guizhou, Peoples R China; [Chen, Fei; Wang, JinRong] Guizhou Univ, Guian Sci Innovat Co, Guiyang 550025, Guizhou, Peoples R China; [Feckan, Michal] Comenius Univ, Fac Math Phys &amp; Informat, Dept Math Anal &amp; Numer Math, Bratislava 84248, Slovakia; [Feckan, Michal] Slovak Acad Sci, Math Inst, Stefanikova 49, Bratislava 81473, Slovakia</t>
  </si>
  <si>
    <t>Guizhou University; Guizhou University; Guizhou University; Comenius University Bratislava; Slovak Academy of Sciences; Mathematical Institute, SAS</t>
  </si>
  <si>
    <t>Wang, JR (corresponding author), Guizhou Univ, Dept Math, Guiyang 550025, Guizhou, Peoples R China.;Wang, JR (corresponding author), Guizhou Univ, Supercomp Algorithm &amp; Applicat Lab, Guiyang 550025, Guizhou, Peoples R China.;Wang, JR (corresponding author), Guizhou Univ, Guian Sci Innovat Co, Guiyang 550025, Guizhou, Peoples R China.</t>
  </si>
  <si>
    <t>cf983811@163.com; Michal.Feckan@fmph.uniba.sk; wangjinrong@gznc.edu.cn</t>
  </si>
  <si>
    <t>Wang, JinRong/O-5745-2017; Fečkan, Michal/T-4397-2018</t>
  </si>
  <si>
    <t>Fečkan, Michal/0000-0002-7385-6737</t>
  </si>
  <si>
    <t>10.1007/s00605-023-01868-5</t>
  </si>
  <si>
    <t>LD3I9</t>
  </si>
  <si>
    <t>WOS:000986790900001</t>
  </si>
  <si>
    <t>Kang, SM; Shin, Y; Kim, H; Xie, SP; Hu, SN</t>
  </si>
  <si>
    <t>Kang, Sarah M.; Shin, Yechul; Kim, Hanjun; Xie, Shang-Ping; Hu, Shineng</t>
  </si>
  <si>
    <t>Disentangling the mechanisms of equatorial Pacific climate change</t>
  </si>
  <si>
    <t>SOUTHERN-OCEAN; TROPICAL PACIFIC; CIRCULATION; SENSITIVITY; MODEL; CO2; FEEDBACKS; RANGE; CLOUD</t>
  </si>
  <si>
    <t>Most state-of-art models project a reduced equatorial Pacific east-west temperature gradient and a weakened Walker circulation under global warming. However, the causes of this robust projection remain elusive. Here, we devise a series of slab ocean model experiments to diagnostically decompose the global warming response into the contributions from the direct carbon dioxide (CO2) forcing, sea ice changes, and regional ocean heat uptake. The CO2 forcing dominates the Walker circulation slowdown through enhancing the tropical tropospheric stability. Antarctic sea ice changes and local ocean heat release are the dominant drivers for reduced zonal temperature gradient over the equatorial Pacific, while the Southern Ocean heat uptake opposes this change. Corroborating our model experiments, multimodel analysis shows that the models with greater Southern Ocean heat uptake exhibit less reduction in the temperature gradient and less weakening of the Walker circulation. Therefore, constraining the tropical Pacific projection requires a better insight into Southern Ocean processes.</t>
  </si>
  <si>
    <t>[Kang, Sarah M.] Ulsan Natl Inst Sci &amp; Technol, Dept Urban &amp; Environm Engn, Ulsan 44919, South Korea; [Shin, Yechul] Pohang Univ Sci &amp; Technol POSTECH, Div Environm Sci &amp; Engn, Pohang 37673, South Korea; [Kim, Hanjun] Cornell Univ, Dept Earth &amp; Atmospher Sci, Ithaca, NY USA; [Xie, Shang-Ping] Univ Calif San Diego, Scripps Inst Oceanog, La Jolla, CA USA; [Hu, Shineng] Duke Univ, Nicholas Sch Environm, Div Earth &amp; Climate Sci, Durham, NC USA</t>
  </si>
  <si>
    <t>Ulsan National Institute of Science &amp; Technology (UNIST); Pohang University of Science &amp; Technology (POSTECH); Cornell University; University of California System; University of California San Diego; Scripps Institution of Oceanography; Duke University</t>
  </si>
  <si>
    <t>Kang, SM (corresponding author), Ulsan Natl Inst Sci &amp; Technol, Dept Urban &amp; Environm Engn, Ulsan 44919, South Korea.;Shin, Y (corresponding author), Pohang Univ Sci &amp; Technol POSTECH, Div Environm Sci &amp; Engn, Pohang 37673, South Korea.</t>
  </si>
  <si>
    <t>skang@unist.ac.kr; yechul.ycshin@gmail.com</t>
  </si>
  <si>
    <t>Xie, Shang-Ping/C-1254-2009; , Sarah/CAA-3536-2022; Shin, Yechul/V-1084-2018</t>
  </si>
  <si>
    <t>Xie, Shang-Ping/0000-0002-3676-1325; , Sarah/0000-0003-4635-275X; Hu, Shineng/0000-0003-3791-5389; Shin, Yechul/0000-0002-4381-697X</t>
  </si>
  <si>
    <t>Research Program for the carbon cycle between oceans, land, and atmosphere of the National Research Foundation (NRF) - Ministry of Science and ICT [NRF-2022M3I6A1090965]; POSTECH Initiative for fostering Unicorn of Research &amp; Innovation (PIURI) project; National Science Foundation [AGS 1934392]</t>
  </si>
  <si>
    <t>Research Program for the carbon cycle between oceans, land, and atmosphere of the National Research Foundation (NRF) - Ministry of Science and ICT(National Research Foundation of Korea); POSTECH Initiative for fostering Unicorn of Research &amp; Innovation (PIURI) project; National Science Foundation(National Science Foundation (NSF))</t>
  </si>
  <si>
    <t>S.M.K. and H.K. have been supported by the Research Program for the carbon cycle between oceans, land, and atmosphere of the National Research Foundation (NRF) funded by the Ministry of Science and ICT(NRF-2022M3I6A1090965); Y.S. by the postdoctoral research fellowship of POSTECH Initiative for fostering Unicorn of Research &amp; Innovation (PIURI) project; and S.P.X. by the National Science Foundation (AGS 1934392).</t>
  </si>
  <si>
    <t>MAY 10</t>
  </si>
  <si>
    <t>eadf5059</t>
  </si>
  <si>
    <t>10.1126/sciadv.adf5059</t>
  </si>
  <si>
    <t>I7JE5</t>
  </si>
  <si>
    <t>WOS:001004504000018</t>
  </si>
  <si>
    <t>Ross, FWR; Boyd, PW; Filbee-Dexter, K; Watanabe, K; Ortega, A; Krause-Jensen, D; Lovelock, C; Sondak, CFA; Bach, LT; Duarte, CM; Serrano, O; Beardall, J; Tarbuck, P; Macreadie, PI</t>
  </si>
  <si>
    <t>Ross, Finnley W. R.; Boyd, Philip W.; Filbee-Dexter, Karen; Watanabe, Kenta; Ortega, Alejandra; Krause-Jensen, Dorte; Lovelock, Catherine; Sondak, Calvyn F. A.; Bach, Lennart T.; Duarte, Carlos M.; Serrano, Oscar; Beardall, John; Tarbuck, Patrick; Macreadie, Peter I.</t>
  </si>
  <si>
    <t>Potential role of seaweeds in climate change mitigation</t>
  </si>
  <si>
    <t>Blue carbon; Aquaculture; Kelp restoration; Conservation; Macroalgae; Carbon sequestration</t>
  </si>
  <si>
    <t>DISSOLVED ORGANIC-MATTER; BLUE CARBON; MARINE MACROPHYTES; KELP DETRITUS; MACROALGAE; AQUACULTURE; EXPORT; ALGAE; BEDS; BIODIVERSITY</t>
  </si>
  <si>
    <t>Seaweed (macroalgae) has attracted attention globally given its potential for climate change mitigation. A topical and contentious question is: Can seaweeds' contribution to climate change mitigation be enhanced at globally meaningful scales? Here, we provide an overview of the pressing research needs surrounding the potential role of seaweed in cli-mate change mitigation and current scientific consensus via eight key research challenges. There are four categories where seaweed has been suggested to be used for climate change mitigation: 1) protecting and restoring wild seaweed forests with potential climate change mitigation co-benefits; 2) expanding sustainable nearshore seaweed aquaculture with potential climate change mitigation co-benefits; 3) offsetting industrial CO2 emissions using seaweed products for emission abatement; and 4) sinking seaweed into the deep sea to sequester CO2. Uncertainties remain about quantifi-cation of the net impact of carbon export from seaweed restoration and seaweed farming sites on atmospheric CO2. Evidence suggests that nearshore seaweed farming contributes to carbon storage in sediments below farm sites, but how scalable is this process? Products from seaweed aquaculture, such as the livestock methane-reducing seaweed Asparagopsis or low carbon food resources show promise for climate change mitigation, yet the carbon footprint and emission abatement potential remains unquantified for most seaweed products. Similarly, purposely cultivating then sinking seaweed biomass in the open ocean raises ecological concerns and the climate change mitigation potential of this concept is poorly constrained. Improving the tracing of seaweed carbon export to ocean sinks is a critical step in seaweed carbon accounting. Despite carbon accounting uncertainties, seaweed provides many other ecosystem ser-vices that justify conservation and restoration and the uptake of seaweed aquaculture will contribute to the United Nations Sustainable Development Goals. However, we caution that verified seaweed carbon accounting and associated sustainability thresholds are needed before large-scale investment into climate change mitigation from seaweed projects.</t>
  </si>
  <si>
    <t>[Ross, Finnley W. R.; Macreadie, Peter I.] Deakin Univ, Ctr Integrat Ecol, Sch Life &amp; Environm Sci, Burwood Campus, Burwood, Vic, Australia; [Boyd, Philip W.; Bach, Lennart T.] Univ Tasmania, Inst Marine &amp; Antarctic Studies, Hobart, Tas, Australia; [Filbee-Dexter, Karen] Inst Marine Res, N-4817 His, Norway; [Filbee-Dexter, Karen] Univ Western Australia, UWA Oceans Inst, Crawley, WA 6009, Australia; [Watanabe, Kenta] Port &amp; Airport Res Inst, Coastal &amp; Estuarine Environm Res Grp, 3-1-1 Nagase, Yokosuka 2390826, Japan; [Ortega, Alejandra] King Abdullah Univ Sci &amp; Technol, Thuwal, Saudi Arabia; [Krause-Jensen, Dorte] Aarhus Univ, Dept Ecosci, Ole Romers Alle,Bldg 1131, DK-8000 Aarhus C, Denmark; [Krause-Jensen, Dorte] Aarhus Univ, Arctic Res Ctr, Ole Worms Alle 1, DK-8000 Aarhus C, Denmark; [Lovelock, Catherine] Univ Queensland, Sch Biol Sci, St Lucia, Qld 4072, Australia; [Sondak, Calvyn F. A.] Pusan Natl Univ, Dept Oceanog, Busan 46241, South Korea; [Sondak, Calvyn F. A.] Sam Ratulangi Univ, Fac Fisheries &amp; Marine Sci, Manado 95115, Indonesia; [Duarte, Carlos M.] King Abdullah Univ Sci &amp; Technol, Red Sea Res Ctr RSRC, Thuwal, Saudi Arabia; [Duarte, Carlos M.] Computat Biosci Res Ctr CBRC, Thuwal, Saudi Arabia; [Serrano, Oscar] CSIC, CEAB, Ctr Estudios Avanzados Blanes, Blanes, Spain; [Serrano, Oscar] Edith Cowan Univ, Sch Sci, Joondalup, WA, Australia; [Serrano, Oscar] Edith Cowan Univ, Ctr Marine Ecosyst Res, Joondalup, WA, Australia; [Beardall, John] Monash Univ, Sch Biol Sci, Clayton, Vic 3800, Australia; [Beardall, John] UCSI Univ, Fac Appl Sci, Kuala Lumpur, Malaysia; [Tarbuck, Patrick] Sea Green Pte Ltd, 60 Paya Lebar Rd 06-12,Paya Lebar Sq, Singapore 409051, Singapore</t>
  </si>
  <si>
    <t>Deakin University; University of Tasmania; Institute of Marine Research - Norway; University of Western Australia; Port &amp; Airport Research Institute; King Abdullah University of Science &amp; Technology; Aarhus University; Aarhus University; University of Queensland; Pusan National University; Universitas Sam Ratulangi; King Abdullah University of Science &amp; Technology; Consejo Superior de Investigaciones Cientificas (CSIC); CSIC - Centre d'Estudis Avancats de Blanes (CEAB); Edith Cowan University; Edith Cowan University; Monash University; UCSI University</t>
  </si>
  <si>
    <t>Ross, FWR (corresponding author), Deakin Univ, Ctr Integrat Ecol, Sch Life &amp; Environm Sci, Burwood Campus, Burwood, Vic, Australia.</t>
  </si>
  <si>
    <t>Boyd, Philip W/J-7624-2014; Beardall, John/L-5262-2019; Kenta, Watanabe/O-2786-2015; Duarte Quesada, Carlos Manuel/ABD-6208-2021; Krause-Jensen, Dorte/J-5666-2013; Duarte, Carlos M./A-7670-2013</t>
  </si>
  <si>
    <t>Beardall, John/0000-0001-7684-446X; Kenta, Watanabe/0000-0002-0106-3623; Bach, Lennart/0000-0003-0202-3671; Filbee-Dexter, Karen/0000-0001-8413-6797; Krause-Jensen, Dorte/0000-0001-9792-256X; Duarte, Carlos M./0000-0002-1213-1361</t>
  </si>
  <si>
    <t>Deakin University and Sea Green Pte Ltd.; Australian Research Council Discovery Project [DP200100575]; Independent Research Fund Denmark through the project CARMA' [8021-00222B]; European Union [869300]; I + D + I projects [RYC2019-027073-I, 20213AT014, LP1931001500]; MCIN/AEI/10.13039/501100011033 [RYC2019-027073-I, 20213AT014]; FEDER; Australian Research Council [LP1931001500, DE1901006192, DP220100650, FL200100133, FT200100846]; Norwegian Blue Forest Network; Laureate Fellowship [FL160100131]; Australian Research Council [FL200100133, FT200100846] Funding Source: Australian Research Council</t>
  </si>
  <si>
    <t>Deakin University and Sea Green Pte Ltd.; Australian Research Council Discovery Project(Australian Research Council); Independent Research Fund Denmark through the project CARMA'(Det Frie Forskningsrad (DFF)); European Union(European Union (EU)); I + D + I projects; MCIN/AEI/10.13039/501100011033; FEDER(European Union (EU)Spanish Government); Australian Research Council(Australian Research Council); Norwegian Blue Forest Network; Laureate Fellowship; Australian Research Council(Australian Research Council)</t>
  </si>
  <si>
    <t>This project was supported by Deakin University and Sea Green Pte Ltd. PIM thanks the support of an Australian Research Council Discovery Project (DP200100575) . DKJ acknowledges support from the Independent Research Fund Denmark through the project CARMA' (reference: 8021-00222B) and from the European Union H2020 (FutureMARES, contract #869300) . OS was supported by I + D + I projects RYC2019-027073-I and PIE HOLOCENO 20213AT014 funded by MCIN/AEI/10.13039/501100011033 and FEDER. KFD was supported by the Australian Research Council (LP1931001500, DE1901006192, DP220100650) and the Norwegian Blue Forest Network. CEL acknowledges support of the Australian Research Council (FL200100133) . The authors in this study were supported by Australian Research Council by Future Fellowship FT200100846 (to L.T.B.) and Laureate Fellowship FL160100131 (to P.W.B.) .</t>
  </si>
  <si>
    <t>10.1016/j.scitotenv.2023.163699</t>
  </si>
  <si>
    <t>I2XD2</t>
  </si>
  <si>
    <t>WOS:001001454000001</t>
  </si>
  <si>
    <t>Che-Castaldo, C; Humphries, G; Lynch, H</t>
  </si>
  <si>
    <t>Che-Castaldo, Christian; Humphries, Grant; Lynch, Heather</t>
  </si>
  <si>
    <t>Antarctic Penguin Biogeography Project: Database of abundance and distribution for the Adelie, chinstrap, gentoo, emperor, macaroni and king penguin south of 60 S</t>
  </si>
  <si>
    <t>Sampling event; ocean; Southern Ocean; Antarctica; birds; penguins; population abundance; biogeography</t>
  </si>
  <si>
    <t>POPULATIONS</t>
  </si>
  <si>
    <t>BackgroundThe Antarctic Penguin Biogeography Project is an effort to collate all known information about the distribution and abundance of Antarctic penguins through time and to make such data available to the scientific and management community. The core data product involves a series of structured tables with information on known breeding sites and surveys conducted at those sites from the earliest days of Antarctic exploration through to the present. This database, which is continuously updated as new information becomes available, provides a unified and comprehensive repository of information on Antarctic penguin biogeography that contributes to a growing suite of applications of value to the Antarctic community. One such application is the Mapping Application for Antarctic Penguins and Projected Dynamics (MAPPPD; www.penguinmap.com), a browser-based search and visualisation tool designed primarily for policy-makers and other non-specialists, and mapppdr, an R package developed to assist the Antarctic science community. This dataset contains records of Pygoscelis adeliae, Pygoscelis antarctica, Pygoscelis papua, Eudyptes chrysolophus, Aptenodytes patagonicus and Aptenodytes forsteri annual nest, adult and/or chick counts conducted during field expeditions or collected using remote sensing imagery, that were subsequently gathered by the Antarctic Penguin Biogeography Project from published and unpublished sources, at all known Antarctic penguin breeding colonies south of 60 S from 01-11-1892 to 12-02-2022-02-12.New informationThis dataset collates together all publicly available breeding colony abundance data (1979-2022) for Antarctic penguins in a single database with standardised notation and format. Colony locations have been adjusted as necessary using satellite imagery and each colony has been assigned a unique four-digit alphanumeric code to avoid confusion. These data include information previously published in a variety of print and online formats as well as additional survey data not previously published. Previously unpublished data derive primarily from recent surveys collected under the auspices of the Antarctic Site Inventory, Penguin Watch or by the Lynch Lab at Stony Brook University.</t>
  </si>
  <si>
    <t>[Che-Castaldo, Christian; Lynch, Heather] SUNY Stony Brook, Stony Brook, NY 11794 USA</t>
  </si>
  <si>
    <t>State University of New York (SUNY) System; State University of New York (SUNY) Stony Brook</t>
  </si>
  <si>
    <t>Che-Castaldo, C (corresponding author), SUNY Stony Brook, Stony Brook, NY 11794 USA.</t>
  </si>
  <si>
    <t>christian.che-castaldo@stonybrook.edu</t>
  </si>
  <si>
    <t>Lynch, Heather/0000-0002-9026-1612; Che-Castaldo, Christian/0000-0002-7670-2178</t>
  </si>
  <si>
    <t>NASA [NNX14AC32G, 80NSSC21K1027]; 2022 Pew Fellowship for Marine Conservation; Institute for Advanced Computational Science at Stony Brook University</t>
  </si>
  <si>
    <t>NASA(National Aeronautics &amp; Space Administration (NASA)); 2022 Pew Fellowship for Marine Conservation; Institute for Advanced Computational Science at Stony Brook University</t>
  </si>
  <si>
    <t>This project was initially funded by NASA Award NNX14AC32G under the NASA Ecosystem Forecasting programme. Continued funding for database expansion and updating provided by NASA Award 80NSSC21K1027 under the Biodiversity programme, a 2022 Pew Fellowship for Marine Conservation and the Institute for Advanced Computational Science at Stony Brook University</t>
  </si>
  <si>
    <t>e101476</t>
  </si>
  <si>
    <t>10.3897/BDJ.11.e101476</t>
  </si>
  <si>
    <t>H4NK9</t>
  </si>
  <si>
    <t>WOS:000995746500004</t>
  </si>
  <si>
    <t>Sciuto, K; Wolf, MA; Mistri, M; Moro, I</t>
  </si>
  <si>
    <t>Sciuto, Katia; Wolf, Marion A.; Mistri, Michele; Moro, Isabella</t>
  </si>
  <si>
    <t>Appraisal of the Genus Pleurastrum (Chlorophyta) Based on Molecular and Climate Data</t>
  </si>
  <si>
    <t>18S rRNA; Chlorococcum; climate zones; ITS2 secondary structure; Macrochloris rubrioleum; Pleurastrum; rbcL; tufA</t>
  </si>
  <si>
    <t>SP-NOV; CHLOROPHYTA; CHLOROCOCCUM; ANTARCTICA; PHYLOGENY; ALIGNMENT; MODEL; CHLOROPLAST; ALGAE; LIGHT</t>
  </si>
  <si>
    <t>Two green microalgal strains, CCCryo 469-16 and CCCryo 470-16, were isolated from samples of Antarctic microflora. Their morphology and 18S rRNA sequences indicated a phylogenetic relationship with strains of the genera Chlorococcum Meneghini, Macrochloris Korshikov, and Pleurastrum Chodat. The last genus is considered particularly problematic as it underwent several revisions. Moreover, its type strain, P. insigne SAG 30.93, was recently demonstrated to coincide genetically with the authentic strain of Chlorococcum oleofaciens from an 18S rRNA phylogeny. This deprived the genus Pleurastrum of an important type reference. Thus, the molecular markers rbcL, tufA, and ITS were employed to identify the Antarctic isolates more precisely. Several other microalgae related to our isolates were obtained from international culture collections for comparison. The obtained results allowed the re-establishment of strain P. insigne SAG 30.93 as the reference strain and the definition of the molecular borders of both genera Pleurastrum and Chlorococcum. Based on our findings, several Chlorococcum species are now re-attributed to Pleurastrum, as well as Macrochloris rubrioleum, here re-named Pleurastrum rubrioleum comb. nov., to which the Antarctic isolates also belong. Finally, a relationship between Pleurastrum lineages and climate zones was established.</t>
  </si>
  <si>
    <t>[Sciuto, Katia; Mistri, Michele] Univ Ferrara, Dept Chem Pharmaceut &amp; Agr Sci, Via Luigi Borsari 46, I-44121 Ferrara, Italy; [Wolf, Marion A.] Ca Foscari Univ Venice, Dept Environm Sci Informat &amp; Stat, Via Torino 155, I-30172 Venice, Italy; [Moro, Isabella] Univ Padua, Dept Biol, Via Ugo Bassi 58-B, I-35131 Padua, Italy</t>
  </si>
  <si>
    <t>University of Ferrara; Universita Ca Foscari Venezia; University of Padua</t>
  </si>
  <si>
    <t>Sciuto, K (corresponding author), Univ Ferrara, Dept Chem Pharmaceut &amp; Agr Sci, Via Luigi Borsari 46, I-44121 Ferrara, Italy.</t>
  </si>
  <si>
    <t>katia.sciuto@unife.it</t>
  </si>
  <si>
    <t>Sciuto, Katia/Y-1035-2019</t>
  </si>
  <si>
    <t>Sciuto, Katia/0000-0001-7426-8497; MORO, ISABELLA/0000-0002-7850-6031; Mistri, michele/0000-0001-9879-8281</t>
  </si>
  <si>
    <t>National Antarctic Research Project (PNRA); European Social Fund (ESF)-Italian National Operational Programme (NOP) on Research and Innovation [2021-PON-DM-1062-KS-RIC]</t>
  </si>
  <si>
    <t>National Antarctic Research Project (PNRA); European Social Fund (ESF)-Italian National Operational Programme (NOP) on Research and Innovation</t>
  </si>
  <si>
    <t>This research was funded by the National Antarctic Research Project (PNRA) 2004-2006. Katia Sciuto realized this publication during a research grant co-funded by the European Social Fund (ESF)-Italian National Operational Programme (NOP) on Research and Innovation 2014-2020 (article 24, clause 3, letter a) of Italian Law n. 240 of 30 December 2010 and of Italian ministerial decree n. 1062 of 10 August 2021, grant number 2021-PON-DM-1062-KS-RIC.</t>
  </si>
  <si>
    <t>10.3390/d15050650</t>
  </si>
  <si>
    <t>H6SD5</t>
  </si>
  <si>
    <t>WOS:000997228900001</t>
  </si>
  <si>
    <t>Venables, H; Meredith, MP; Hendry, KR; ten Hoopen, P; Peat, H; Chapman, A; Beaumont, J; Piper, R; Miller, AJ; Mann, P; Rossetti, H; Massey, A; Souster, T; Reeves, S; Fenton, M; Heiser, S; Pountney, S; Reed, S; Waring, Z; Clark, M; Bolton, E; Mathews, R; London, H; Clement, A; Stuart, E; Reichardt, A; Brandon, M; Leng, MLN; Arrowsmith, C; Annett, A; Henley, SF; Clarke, A</t>
  </si>
  <si>
    <t>Venables, Hugh; Meredith, Michael P.; Hendry, Katharine R.; ten Hoopen, Petra; Peat, Helen; Chapman, Alice; Beaumont, Jennifer; Piper, Rayner; Miller, Andrew J.; Mann, Paul; Rossetti, Helen; Massey, Ali; Souster, Terri; Reeves, Simon; Fenton, Mairi; Heiser, Sabrina; Pountney, Sam; Reed, Sarah; Waring, Zoe; Clark, Marlon; Bolton, Emma; Mathews, Ryan; London, Hollie; Clement, Alice; Stuart, Emma; Reichardt, Aurelia; Brandon, Mark; Leng, Melanie; Arrowsmith, Carol; Annett, Amber; Henley, Sian F.; Clarke, Andrew</t>
  </si>
  <si>
    <t>Sustained year-round oceanographic measurements from Rothera Research Station, Antarctica, 1997-2017</t>
  </si>
  <si>
    <t>NORTHERN MARGUERITE BAY; RYDER BAY; INTERANNUAL VARIABILITY; SEASONAL CYCLE; ICE COVER; PENINSULA; OCEAN; MARINE; STRATIFICATION; MACRONUTRIENTS</t>
  </si>
  <si>
    <t>Oceanographic changes adjacent to Antarctica have global climatic and ecological impacts. However, this is the most challenging place in the world to obtain marine data due to its remoteness and inhospitable nature, especially in winter. Here, we present more than 2000 Conductivity-Temperature-Depth (CTD) profiles and associated water sample data collected with (almost uniquely) full year-round coverage from the British Antarctic Survey Rothera Research Station at the west Antarctic Peninsula. Sampling is conducted from a small boat or a sled, depending on the sea ice conditions. When conditions allow, sampling is twice weekly in summer and weekly in winter, with profiling to nominally 500 m and with discrete water samples taken at 15 m water depth. Daily observations are made of the sea ice conditions in the area. This paper presents the first 20 years of data collection, 1997-2017. This time series represents a unique and valuable resource for investigations of the high-latitude ocean's role in climate change, ocean/ice interactions, and marine biogeochemistry and carbon drawdown.</t>
  </si>
  <si>
    <t>[Venables, Hugh; Meredith, Michael P.; Hendry, Katharine R.; ten Hoopen, Petra; Peat, Helen; Chapman, Alice; Beaumont, Jennifer; Piper, Rayner; Miller, Andrew J.; Mann, Paul; Rossetti, Helen; Massey, Ali; Souster, Terri; Reeves, Simon; Fenton, Mairi; Heiser, Sabrina; Pountney, Sam; Reed, Sarah; Waring, Zoe; Clark, Marlon; Bolton, Emma; Mathews, Ryan; London, Hollie; Clement, Alice; Stuart, Emma; Reichardt, Aurelia; Clarke, Andrew] British Antarctic Survey, Madingley Rd, Cambridge CB3 0ET, England; [Beaumont, Jennifer] Natl Inst Water &amp; Atmospher Res NIWA, Wellington, New Zealand; [Piper, Rayner] Fathom Ecol, 39 Maisemore Gardens, Emsworth PO10 7JX, England; [Miller, Andrew J.] Natl Inst Water &amp; Atmospher Res NIWA, Christchurch, New Zealand; [Mann, Paul] Northumbria Univ, Dept Geog &amp; Environm Sci, Ellison Pl, Newcastle Upon Tyne NE1 8ST, England; [Souster, Terri] UiT Arctic Univ Norway, Norwegian Coll Fishery Sci, N-9037 Tromso, Norway; [Fenton, Mairi] Heriot Watt Univ, Lyell Ctr, Edinburgh EH14 4AS, Scotland; [Heiser, Sabrina] Univ Texas Austin, Marine Sci Inst, Port Aransas, TX USA; [Reed, Sarah] Ocean Ecol Ltd, Scottish Off, European Marine Sci Pk,Malin House, Oban PA37 1SZ, England; [Clark, Marlon; Bolton, Emma] Unit 510 Clerkenwell Workshops, Basecamp Res, 27 Clerkenwell Close, London EC1R 0AT, England; [Brandon, Mark] Open Univ, Sch Environm Earth &amp; Ecosyst Sci, Walton Hall, Milton Keynes MK7 6AA, England; [Leng, Melanie] Univ Nottingham, Ctr Environm Geochem, Sch Biosci, Sutton Bonington Campus, Loughborough LE12 5RD, England; [Leng, Melanie; Arrowsmith, Carol] Environm Sci Ctr, British Geol Survey, Nicker Hill, Nottingham NG12 5GG, England; [Annett, Amber] Univ Southampton, Sch Ocean &amp; Earth Sci, European Way, Southampton SO14 3ZH, England; [Henley, Sian F.] Univ Edinburgh, Sch Geosci, James Hutton Rd, Edinburgh EH9 3FE, Scotland</t>
  </si>
  <si>
    <t>UK Research &amp; Innovation (UKRI); Natural Environment Research Council (NERC); NERC British Antarctic Survey; National Institute of Water &amp; Atmospheric Research (NIWA) - New Zealand; National Institute of Water &amp; Atmospheric Research (NIWA) - New Zealand; Northumbria University; UiT The Arctic University of Tromso; Heriot Watt University; University of Texas System; University of Texas Austin; Open University - UK; University of Nottingham; UK Research &amp; Innovation (UKRI); Natural Environment Research Council (NERC); NERC British Geological Survey; University of Southampton; NERC National Oceanography Centre; University of Edinburgh</t>
  </si>
  <si>
    <t>Hendry, KR (corresponding author), British Antarctic Survey, Madingley Rd, Cambridge CB3 0ET, England.</t>
  </si>
  <si>
    <t>kathen@bas.ac.uk</t>
  </si>
  <si>
    <t>Hendry, Katharine R/E-4793-2011; Peat, Helen J/E-9666-2015; Pountney, Samuel Michael/HRD-9412-2023; Heiser, Sabrina/HJH-9098-2023; Mann, Paul/H-7268-2014</t>
  </si>
  <si>
    <t>Pountney, Samuel Michael/0000-0003-0952-839X; Heiser, Sabrina/0000-0003-3307-3233; Mann, Paul/0000-0002-6221-3533; Annett, Amber/0000-0002-3730-2438; Peat, Helen/0000-0003-2017-8597</t>
  </si>
  <si>
    <t>Natural Environment Research Council (NERC); NERC award National Capability - Polar Expertise Supporting UK Research [NE/R016038/1]; NERC [NE/K010034/1]</t>
  </si>
  <si>
    <t>Natural Environment Research Council (NERC)(UK Research &amp; Innovation (UKRI)Natural Environment Research Council (NERC)); NERC award National Capability - Polar Expertise Supporting UK Research; NERC(UK Research &amp; Innovation (UKRI)Natural Environment Research Council (NERC))</t>
  </si>
  <si>
    <t>The authors would like to thank all Rothera Research Station personnel who have supported the RaTS program since 1997. Data collection has been supported since 1997 by the Natural Environment Research Council (NERC) through core funding supplied to the British Antarctic Survey. Since 2017, it has been supported by NERC award National Capability - Polar Expertise Supporting UK Research (NE/R016038/1). Henley was supported by NERC through grant NE/K010034/1.</t>
  </si>
  <si>
    <t>10.1038/s41597-023-02172-5</t>
  </si>
  <si>
    <t>F9YJ2</t>
  </si>
  <si>
    <t>WOS:000985826000004</t>
  </si>
  <si>
    <t>Bach, LT; Ho, DT; Boyd, PW; Tyka, MD</t>
  </si>
  <si>
    <t>Bach, Lennart T.; Ho, David T.; Boyd, Philip W.; Tyka, Michael D.</t>
  </si>
  <si>
    <t>Toward a consensus framework to evaluate air-sea CO2 equilibration for marine CO2 removal</t>
  </si>
  <si>
    <t>CARBON-DIOXIDE REMOVAL; GAS-EXCHANGE; FERTILIZATION; IRON</t>
  </si>
  <si>
    <t>[Bach, Lennart T.; Boyd, Philip W.] Univ Tasmania, Inst Marine &amp; Antarctic Studies, Hobart, Tas, Australia; [Ho, David T.] Univ Hawaii Manoa, Dept Oceanog, Honolulu, HI USA; [Ho, David T.] Ecole Normale Super ENS, Dept Geosci, Paris, France; [Tyka, Michael D.] Google Inc, Seattle, WA USA</t>
  </si>
  <si>
    <t>University of Tasmania; University of Hawaii System; University of Hawaii Manoa; Universite PSL; Ecole Normale Superieure (ENS); Google Incorporated</t>
  </si>
  <si>
    <t>lennart.bach@utas.edu.au</t>
  </si>
  <si>
    <t>Boyd, Philip/J-7624-2014; Ho, David T./A-3154-2011</t>
  </si>
  <si>
    <t>Boyd, Philip/0000-0001-7850-1911; Bach, Lennart/0000-0003-0202-3671; Ho, David T./0000-0002-0944-6952</t>
  </si>
  <si>
    <t>Australian Research Council [FL160100131, FT200100846]; Australian Research Council [FT200100846, FL160100131] Funding Source: Australian Research Council</t>
  </si>
  <si>
    <t>LTB acknowledges funding from the Australian Research Council through a Future Fellowship award (FT200100846). DTH acknowledges the Chaire de Recherche ENS-Chanel for his sabbatical stay at Ecole Normale Superieure in Paris. PWB was funded by the Australian Research Council with a Laureate award (FL160100131). The authors acknowledge formal reviews from Matt Long, Dustin Carroll, Andreas Oschlies, three other anonymous reviewers, the associate editor, and the editor.</t>
  </si>
  <si>
    <t>10.1002/lol2.10330</t>
  </si>
  <si>
    <t>WOS:000985186200001</t>
  </si>
  <si>
    <t>Lin, X; Massonnet, F; Fichefet, T; Vancoppenolle, M</t>
  </si>
  <si>
    <t>Lin, Xia; Massonnet, Francois; Fichefet, Thierry; Vancoppenolle, Martin</t>
  </si>
  <si>
    <t>Impact of atmospheric forcing uncertainties on Arctic and Antarctic sea icesimulations in CMIP6 OMIP models</t>
  </si>
  <si>
    <t>EARTH SYSTEM MODEL; ICE DRIFT; INTERNAL VARIABILITY; EVALUATION TOOL; CLIMATE MODELS; SURFACE WIND; SIMULATIONS; CIRCULATION; TRENDS; BUDGET</t>
  </si>
  <si>
    <t>Atmospheric reanalyses are valuable datasets for driving ocean-sea ice general circulation models and for proposing multidecadal reconstructions of the ocean-sea ice system in polar regions. However, these reanalyses exhibit biases in these regions. It was previously found that the representation of Arctic and Antarctic sea ice in models participating in the Ocean Model Intercomparison Project Phase 2 (OMIP2, using the updated Japanese 55-year atmospheric reanalysis, JRA55-do) was significantly more realistic than in OMIP1 (forced by the atmospheric state from the Coordinated Ocean-ice Reference Experiments version 2, CORE-II). To understand why, we study the sea ice concentration budget and its relations to surface heat and momentum fluxes as well as the connections between the simulated ice drift and the ice concentration, the ice thickness and the wind stress in a subset of three models (CMCC-CM2-SR5, MRI-ESM2-0 and NorESM2-LM). These three models are representative of the ensemble and are the only ones to provide the surface fluxes and the tendencies of ice concentrations attributed to dynamic and thermodynamic processes required for the ice concentration budget analysis. The sea ice simulations of two other models (EC-Earth3 and MIROC6) forced by both CORE-II and JRA55-do reanalysis are also included in the analysis. It is found that negative summer biases in high-ice-concentration regions and positive biases in the Canadian Arctic Archipelago (CAA) and central Weddell Sea (CWS) regions are reduced from OMIP1 to OMIP2 due to surface heat flux changes. Net shortwave radiation fluxes provide key improvements in the Arctic interior, CAA and CWS regions. There is also an influence of improved surface wind stress in OMIP2 giving better winter Antarctic ice concentration and the Arctic ice drift magnitude simulations near the ice edge. The ice velocity direction simulations in the Beaufort Gyre and the Pacific and Atlantic sectors of the Southern Ocean in OMIP2 are also improved owing to surface wind stress changes. This study provides clues on how improved atmospheric reanalysis products influence sea ice simulations. Our findings suggest that attention should be paid to the radiation fluxes and winds in atmospheric reanalyses in polar regions.</t>
  </si>
  <si>
    <t>[Lin, Xia; Massonnet, Francois; Fichefet, Thierry] Catholic Univ Louvain, Earth &amp; Life Inst, B-1348 Louvain La Neuve, Belgium; [Lin, Xia] Southern Marine Sci &amp; Engn Guangdong Lab Zhuhai, Zhuhai 519000, Peoples R China; [Vancoppenolle, Martin] Sorbonne Univ, Lab Oceanog &amp; Climat, CNRS, IRD,MNHN, F-75252 Paris, France</t>
  </si>
  <si>
    <t>Universite Catholique Louvain; Southern Marine Science &amp; Engineering Guangdong Laboratory; Southern Marine Science &amp; Engineering Guangdong Laboratory (Zhuhai); Sorbonne Universite; Institut de Recherche pour le Developpement (IRD); Centre National de la Recherche Scientifique (CNRS); Museum National d'Histoire Naturelle (MNHN)</t>
  </si>
  <si>
    <t>Lin, X (corresponding author), Catholic Univ Louvain, Earth &amp; Life Inst, B-1348 Louvain La Neuve, Belgium.;Lin, X (corresponding author), Southern Marine Sci &amp; Engn Guangdong Lab Zhuhai, Zhuhai 519000, Peoples R China.</t>
  </si>
  <si>
    <t>xia.lin@uclouvain.be</t>
  </si>
  <si>
    <t>Lin, Xia/HTM-0814-2023; Vancoppenolle, Martin/AAA-7711-2022; Massonnet, Francois/J-5315-2014</t>
  </si>
  <si>
    <t>Lin, Xia/0000-0002-8058-7766; Vancoppenolle, Martin/0000-0002-7573-8582; Massonnet, Francois/0000-0002-4697-5781</t>
  </si>
  <si>
    <t>Copernicus Marine Environment Monitoring Service (CMEMS) SI3 project; National Natural Science Foundation of China [41941007, 41906190, 41876220]; Innovation Group Project of the Southern Marine Science and Engineering Guangdong Laboratory (Zhuhai) [311021008]</t>
  </si>
  <si>
    <t>Copernicus Marine Environment Monitoring Service (CMEMS) SI3 project; National Natural Science Foundation of China(National Natural Science Foundation of China (NSFC)); Innovation Group Project of the Southern Marine Science and Engineering Guangdong Laboratory (Zhuhai)</t>
  </si>
  <si>
    <t>This research has been supported by the Copernicus Marine Environment Monitoring Service (CMEMS) SI3 project. The CMEMS is implemented by Mercator Ocean International in the framework of a delegation agreement with the European Union. Xia Lin also received support from the National Natural Science Foundation of China (grant nos. 41941007, 41906190 and 41876220) and the Innovation Group Project of the Southern Marine Science and Engineering Guangdong Laboratory (Zhuhai) (grant no. 311021008).</t>
  </si>
  <si>
    <t>10.5194/tc-17-1935-2023</t>
  </si>
  <si>
    <t>F9LW0</t>
  </si>
  <si>
    <t>WOS:000985499400001</t>
  </si>
  <si>
    <t>Arencibia, V; Hidalgo, MM; Crespo, C; Maldonado, L; Lichtenstein, G; Kamenetzky, L; Vera, P; Zangrando, AF; Tessone, A; Avena, S; Lia, V; Puebla, A; Dejean, C</t>
  </si>
  <si>
    <t>Arencibia, Valeria; Munoz Hidalgo, Marianne; Crespo, Cristian; Maldonado, Lucas; Lichtenstein, Gabriel; Kamenetzky, Laura; Vera, Pablo; Zangrando, Atilio F.; Tessone, Augusto; Avena, Sergio; Lia, Veronica; Puebla, Andrea; Dejean, Cristina</t>
  </si>
  <si>
    <t>Ancient Human Mitogenome of the Beagle Channel (Tierra del Fuego): An Argentine Collaborative Project</t>
  </si>
  <si>
    <t>LATIN AMERICAN ANTIQUITY</t>
  </si>
  <si>
    <t>ancient DNA; mitogenome; Tierra del Fuego; D1g</t>
  </si>
  <si>
    <t>SOUTH-AMERICA; MITOCHONDRIAL; POPULATION; PATAGONIA; SEQUENCE; DIVERSITY; ALIGNMENT; LINEAGES; DAMAGE; MTDNA</t>
  </si>
  <si>
    <t>The increasing use of massively parallel sequencing in the study of current and ancient human populations has enabled new approaches to bioanthropological and archaeological issues; however, its application to archaeological samples requires the use of technologies that are not easily accessible outside US and European research centers. To obtain an ancient mitogenome in Argentina, several institutions collaborated to apply massively parallel sequencing and bioinformatic methodologies on an enriched ancient DNA library of an individual from the Beagle Channel (dated 1504 +/- 46 years BP), a region of particular interest for this line of inquiry. Phylogenetic reconstruction showed a close relationship with a Yamana from Navarino Island and an individual from Hoste Island (Chilean Antarctic Province): the three shared an ancestor who lived between 203 and 4,439 years ago. These three have mutations reported only for current and ancient individuals from the Beagle Channel, and their relationship with the rest of the D1g sub-haplogroups is unclear. The results obtained here are consistent with the reduction of mobility in the Fuegian archipelago around 4500 years BP that has been proposed based on archaeological evidence.</t>
  </si>
  <si>
    <t>[Arencibia, Valeria; Avena, Sergio] Consejo Nacl Invest Cient &amp; Tecn CONICET, Buenos Aires, Argentina; [Arencibia, Valeria; Avena, Sergio; Dejean, Cristina] Univ Maimonides, Ctr Ciencias Nat Ambientales &amp; Antropol CCNAA, Buenos Aires, Argentina; [Munoz Hidalgo, Marianne; Vera, Pablo; Puebla, Andrea] Inst Nacl Tecnol Agr INTA, Buenos Aires, Argentina; [Munoz Hidalgo, Marianne; Vera, Pablo; Puebla, Andrea] Consejo Nacl Invest Cient &amp; Tecn, Inst Biotecnol IABIMO, Buenos Aires, Argentina; [Crespo, Cristian] Univ Nacl Tierra Fuego, Inst Ciencias Polares Ambiente &amp; Recursos Nat ICPA, Inst Ciencias Polares, Ushuaia, Tierra Del Fueg, Argentina; [Maldonado, Lucas; Lichtenstein, Gabriel; Kamenetzky, Laura] Univ Buenos Aires, Inst Invest Microbiol &amp; Parasitol Med IMPaM, UBA CONICET, Buenos Aires, Argentina; [Maldonado, Lucas; Lichtenstein, Gabriel; Kamenetzky, Laura] Univ Buenos Aires, Fac Med, Buenos Aires, Argentina; [Zangrando, Atilio F.] Ctr Austral Invest Cient, CADIC CONICET, Ushuaia, Tierra Del Fueg, Argentina; [Zangrando, Atilio F.] Consejo Nacl Invest Cient &amp; Tecn, CADIC CONICET, Ushuaia, Tierra Del Fueg, Argentina; [Tessone, Augusto] Inst Geocronol &amp; Geol Isotop INGEIS CONICET, Buenos Aires, Argentina; [Lia, Veronica] Univ Buenos Aires, Inst Agrobiotecnol &amp; Biol Mol INTA CONICET, Buenos Aires, Argentina; [Lia, Veronica] Univ Buenos Aires, Dept Ecol, Buenos Aires, Argentina; [Dejean, Cristina] Univ Buenos Aires, Inst Ciencias Antropol, Catedra Antropol Biol &amp; Paleoantropol, Buenos Aires, Argentina</t>
  </si>
  <si>
    <t>Consejo Nacional de Investigaciones Cientificas y Tecnicas (CONICET); Instituto Nacional de Tecnologia Agropecuaria (INTA); Consejo Nacional de Investigaciones Cientificas y Tecnicas (CONICET); Consejo Nacional de Investigaciones Cientificas y Tecnicas (CONICET); University of Buenos Aires; University of Buenos Aires; Consejo Nacional de Investigaciones Cientificas y Tecnicas (CONICET); Consejo Nacional de Investigaciones Cientificas y Tecnicas (CONICET); University of Buenos Aires; University of Buenos Aires; University of Buenos Aires</t>
  </si>
  <si>
    <t>Arencibia, V (corresponding author), Consejo Nacl Invest Cient &amp; Tecn CONICET, Buenos Aires, Argentina.;Arencibia, V (corresponding author), Univ Maimonides, Ctr Ciencias Nat Ambientales &amp; Antropol CCNAA, Buenos Aires, Argentina.</t>
  </si>
  <si>
    <t>aren.vale@gmail.com</t>
  </si>
  <si>
    <t>Tessone, Augusto/JOZ-4460-2023</t>
  </si>
  <si>
    <t>Tessone, Augusto/0000-0001-9722-1480; Arencibia, Valeria/0000-0002-5360-2457; LICHTENSTEIN, GABRIEL/0000-0002-2974-6717</t>
  </si>
  <si>
    <t>Fundacion Cientifica Felipe Fiorellino, Fundacion deHistoria Natural Felix Azara, CONICET, UBA [20020150200233BA, 20020170200363BA]; ANPCyT [PICT2014-3012]</t>
  </si>
  <si>
    <t>Fundacion Cientifica Felipe Fiorellino, Fundacion deHistoria Natural Felix Azara, CONICET, UBA; ANPCyT(ANPCyT)</t>
  </si>
  <si>
    <t>We appreciate the financial support provided by Fundacion Cientifica Felipe Fiorellino, Fundacion deHistoria Natural Felix Azara, CONICET, UBA (UBACyT 20020150200233BA and 20020170200363BA), and ANPCyT (PICT2014-3012)</t>
  </si>
  <si>
    <t>1045-6635</t>
  </si>
  <si>
    <t>2325-5080</t>
  </si>
  <si>
    <t>LAT AM ANTIQ</t>
  </si>
  <si>
    <t>Lat. Am. Antiq.</t>
  </si>
  <si>
    <t>MAR</t>
  </si>
  <si>
    <t>PII S1045663523000135</t>
  </si>
  <si>
    <t>10.1017/laq.2023.13</t>
  </si>
  <si>
    <t>Anthropology; Archaeology</t>
  </si>
  <si>
    <t>Social Science Citation Index (SSCI); Arts &amp; Humanities Citation Index (A&amp;HCI)</t>
  </si>
  <si>
    <t>MM9O8</t>
  </si>
  <si>
    <t>WOS:000985169000001</t>
  </si>
  <si>
    <t>Santa Cruz, F; Krüger, L</t>
  </si>
  <si>
    <t>Santa Cruz, Francisco; Kruger, Lucas</t>
  </si>
  <si>
    <t>Breeding Population and Nesting Habitat of Skuas in the Harmony Point Antarctic Specially Protected Area</t>
  </si>
  <si>
    <t>Catharacta; brown skua; south polar skua; habitat suitability; South Shetland islands; topography</t>
  </si>
  <si>
    <t>SOUTH-POLAR SKUA; KING GEORGE ISLAND; CATHARACTA-MACCORMICKI; ADMIRALTY BAY; HEAT-STRESS; BROWN; SEABIRDS; LONNBERGI; SITES; GULL</t>
  </si>
  <si>
    <t>Regular monitoring of breeding population abundance and environmental factors related to the nesting habitat has proven fundamental for seabird conservation. Harmony Point (Nelson Island) is an Antarctic Specially Protected Area (ASPA) designated to manage and protect the high biological value of seabirds' richness and abundance. However, due to the remote location of their breeding sites, many species lack updated population counts. Skuas (Catharacta sp.) exhibited a two-decade gap since the last census was conducted in Harmony Point. The abundance and spatial distribution of the nests of skuas were studied during the austral summer of 2019/2020. Through an exhaustive search, we counted and mapped active nests. Nesting habitat was assessed by the use of an unmanned aerial vehicle to take aerial pictures and build an orthomosaic image to determine vegetation in the area. Additionally, a digital elevation model was built to calculate a series of geomorphological-related variables. Suitability models were used to estimate the importance of variables to the nesting of skuas. A total of 71 brown skua (Catharacta antarctica) and 3 south polar skua (C. maccormicki) nests were counted. Two of the seven variables (terrain slope and vegetation cover) accounted for 57.5% +/- 14.1% of the models' variability; sun radiation incidence, and wind shielding were of secondary importance. Water flow accumulation, distance from penguin colonies, and terrain elevation were the least important variables. Skuas selected for nesting flat terrains (slope &lt; 10 degrees) with a vegetation cover of above 20%, slightly higher sun incidence (270 to 280 kW/h), and intermediary windshielding (45% to 55% of exposition). Considering previous estimates, the skua species at Harmony Point has kept an apparently stable population size over the last 25 years. However, expected changes in nesting habitat availability, i.e., increased snow-free area, increased wind intensity, changes in vegetation cover, and reduction of penguin populations, might change population size in the mid to long term.</t>
  </si>
  <si>
    <t>[Santa Cruz, Francisco; Kruger, Lucas] Inst Antartico Chileno, Dept Cient, Plaza Munoz Gamero 1055, Punta Arenas 6200000, Chile; Millennium Inst Biodivers Antarctic &amp; Subantarct, Las Palmeras 3425, Nunoa 7750000, Chile</t>
  </si>
  <si>
    <t>Santa Cruz, F (corresponding author), Inst Antartico Chileno, Dept Cient, Plaza Munoz Gamero 1055, Punta Arenas 6200000, Chile.</t>
  </si>
  <si>
    <t>fsantacruz@inach.cl</t>
  </si>
  <si>
    <t>Kruger, Lucas/0000-0003-4637-5302; Santa Cruz, Francisco/0000-0002-7894-0153</t>
  </si>
  <si>
    <t>Instituto Antartico Chileno through the Programa de Areas Marinas Protegidas [AMP 24 03 052]; ANID-Millennium Science Initiative Program [ICN2021_002]</t>
  </si>
  <si>
    <t>Instituto Antartico Chileno through the Programa de Areas Marinas Protegidas; ANID-Millennium Science Initiative Program</t>
  </si>
  <si>
    <t>This study was supported by the Instituto Antartico Chileno through the Programa de Areas Marinas Protegidas (AMP 24 03 052). L.K. is also partially funded by the ANID-Millennium Science Initiative Program-ICN2021_002.</t>
  </si>
  <si>
    <t>MAY 9</t>
  </si>
  <si>
    <t>10.3390/d15050638</t>
  </si>
  <si>
    <t>H6GQ0</t>
  </si>
  <si>
    <t>WOS:000996929200001</t>
  </si>
  <si>
    <t>Nováková, D; Koublová, V; Sedlár, K; Stanková, E; Králová, S; Svec, P; Neumann-Schaal, M; Wolf, J; Koudelková, S; Barták, M; Sedlácek, I</t>
  </si>
  <si>
    <t>Novakova, Dana; Koublova, Vendula; Sedlar, Karel; Stankova, Eva; Kralova, Stanislava; Svec, Pavel; Neumann-Schaal, Meina; Wolf, Jacqueline; Koudelkova, Sylva; Bartak, Milos; Sedlacek, Ivo</t>
  </si>
  <si>
    <t>Pseudomonas petrae sp. nov. isolated from regolith samples in Antarctica</t>
  </si>
  <si>
    <t>SYSTEMATIC AND APPLIED MICROBIOLOGY</t>
  </si>
  <si>
    <t>Pseudomonas; P; petrae sp; nov; Antarctica; Regolith; Species description; Taxonomy</t>
  </si>
  <si>
    <t>PSYCHROTOLERANT BACTERIUM; LIPID-COMPOSITION; RAPID METHOD; IDENTIFICATION; GENOME; GENE; SEARCH; ALGORITHM; SEQUENCES; ALIGNMENT</t>
  </si>
  <si>
    <t>A polyphasic taxonomic approach was used to characterize the four strains P2653T, P2652, P2498, and P2647, isolated from Antarctic regolith samples. Initial genotype screening performed by PCR fingerprinting based on repetitive sequences showed that the isolates studied formed a coherent cluster separated from the other Pseudomonas species. Identification results based on 16S rRNA gene sequences showed the highest sequence similarity with Pseudomonas graminis (99.7%), which was confirmed by multilocus sequence analysis using the rpoB, rpoD, and gyrB genes. Genome sequence comparison of P2653T with the most related P. graminis type strain DSM 11363T revealed an average nucleotide identity of 92.1% and a digital DNA-DNA hybridization value of 46.6%. The major fatty acids for all Antarctic strains were C16:0, Summed Feature 3 (C16:1 omega 7c/C16:1 omega 6c) and Summed Feature 8 (C18:1 omega 7c/C18:1 omega 6c). The predominant respiratory quinone was Q-9, and the major polar lipids were phosphatidylethanolamine, diphosphatidylglycerol, and phosphatidylglycerol. The regolith strains could be differentiated from related species by the absence of arginine dihydrolase, ornithine and lysine decarboxylase and by negative tyrosine hydrolysis. The results of this polyphasic study allowed the genotypic and phenotypic differentiation of four analysed strains from the closest related species, which confirmed that the strains represent a novel species within the genus Pseudomonas, for which the name Pseudomonas petrae sp. nov. is proposed with P2653T (CCM 8850T = DSM 112068T = LMG 30619T) as the type strain.</t>
  </si>
  <si>
    <t>[Novakova, Dana; Koublova, Vendula; Stankova, Eva; Kralova, Stanislava; Svec, Pavel; Koudelkova, Sylva; Sedlacek, Ivo] Masaryk Univ, Fac Sci, Dept Expt Biol, Czech Collect Microorganisms, Kamenice 5, Brno 62500, Czech Republic; [Sedlar, Karel] Brno Univ Technol, Fac Elect Engn &amp; Commun, Dept Biomed Engn, Tech 12, Brno 61600, Czech Republic; [Sedlar, Karel] Ludwig Maximilians Univ Munchen, Dept Informat, Amalienstr 17, D-80333 Munich, Germany; [Neumann-Schaal, Meina; Wolf, Jacqueline] German Collect Microorganisms &amp; Cell Cultures GmbH, Leibniz Inst DSMZ, Inhoffenstr 7B, D-38124 Braunschweig, Germany; [Bartak, Milos] Masaryk Univ, Fac Sci, Dept Expt Biol, Sect Expt Plant Biol, Kamenice 5, Brno 62500, Czech Republic</t>
  </si>
  <si>
    <t>Masaryk University Brno; Brno University of Technology; University of Munich; Leibniz Institut fur Deutsche Sammlung von Mikroorganismen und Zellkulturen (DSMZ); Masaryk University Brno</t>
  </si>
  <si>
    <t>Nováková, D (corresponding author), Masaryk Univ, Fac Sci, Dept Expt Biol, Czech Collect Microorganisms, Kamenice 5, Brno 62500, Czech Republic.</t>
  </si>
  <si>
    <t>danan@sci.muni.cz</t>
  </si>
  <si>
    <t>Sedlacek, Ivo/IWU-8828-2023; Svec, Pavel/B-1209-2008; Sedlar, Karel/K-1120-2014</t>
  </si>
  <si>
    <t>Svec, Pavel/0000-0002-1051-5177; Sedlar, Karel/0000-0002-8269-4020; Koublova, Vendula/0000-0002-0585-326X</t>
  </si>
  <si>
    <t>Ministry of Education, Youth and Sports of the Czech Republic project [LM2015078]; MEYS CR infrastructure project [LM2018127]; European Regional Development Fund-Project UP CIISB [CZ.02.1.01/0.0/0.0/18_046/00159 74]; CEITEC Proteomics Core Facility</t>
  </si>
  <si>
    <t>Ministry of Education, Youth and Sports of the Czech Republic project; MEYS CR infrastructure project; European Regional Development Fund-Project UP CIISB; CEITEC Proteomics Core Facility</t>
  </si>
  <si>
    <t>This work was supported by the Ministry of Education, Youth and Sports of the Czech Republic project LM2015078. CIISB, the Instruct-CZ Centre of the Instruct-ERIC EU consortium, funded by MEYS CR infrastructure project LM2018127 and European Regional Development Fund-Project UP CIISB (No. CZ.02.1.01/0.0/0.0/18_046/00159 74) , is gratefully acknowledged for the financial support of the measurements at the CEITEC Proteomics Core Facility.</t>
  </si>
  <si>
    <t>0723-2020</t>
  </si>
  <si>
    <t>1618-0984</t>
  </si>
  <si>
    <t>SYST APPL MICROBIOL</t>
  </si>
  <si>
    <t>Syst. Appl. Microbiol.</t>
  </si>
  <si>
    <t>10.1016/j.syapm.2023.126424</t>
  </si>
  <si>
    <t>Biotechnology &amp; Applied Microbiology; Microbiology</t>
  </si>
  <si>
    <t>I3DA0</t>
  </si>
  <si>
    <t>WOS:001001607000001</t>
  </si>
  <si>
    <t>Zmarz, A; Karlsen, SR; Kycko, M; Korczak-Abshire, M; Golebiowska, I; Karsznia, I; Chwedorzewska, K</t>
  </si>
  <si>
    <t>Zmarz, Anna; Karlsen, Stein Rune; Kycko, Marlena; Korczak-Abshire, Malgorzata; Golebiowska, Izabela; Karsznia, Izabela; Chwedorzewska, Katarzyna</t>
  </si>
  <si>
    <t>BVLOS UAV missions for vegetation mapping in maritime Antarctic</t>
  </si>
  <si>
    <t>UAV; King George Island; the Antarctic; NDVI; vegetation</t>
  </si>
  <si>
    <t>KING-GEORGE-ISLAND; UNMANNED AERIAL SYSTEM; BIOLOGICAL INVASIONS; CLIMATE-CHANGE; ADMIRALTY BAY; NDVI; PENINSULA; ABUNDANCE; VARIABILITY; DIVERSITY</t>
  </si>
  <si>
    <t>Polar areas are among the regions where climate change occurs faster than on most of the other areas on Earth. To study the effects of climate change on vegetation, there is a need for knowledge on its current status and properties. Both classic field observation methods and remote sensing methods based on manned aircraft or satellite image analysis have limitations. These include high logistic operation costs, limited research areas, high safety risks, direct human impact, and insufficient resolution of satellite images. Fixed-wing unmanned aerial vehicle beyond the visual line of sight (UAV BVLOS) missions can bridge the scale gap between field-based observations and full-scale airborne or satellite surveys. In this study the two operations of the UAV BVLOS, at an altitude of 350 m ASL, have been successfully performed in Antarctic conditions. Maps of the vegetation of the western shore of Admiralty Bay (King George Island, South Shetlands, Western Antarctic) that included the Antarctic Specially Protected Area No. 128 (ASPA 128) were designed. The vegetation in the 7.5 km(2) area was mapped in ultra-high resolution (&lt;5 cm and DEM of 0.25 m GSD), and from the Normalized Difference Vegetation Index (NDVI), four broad vegetation units were extracted: dense moss carpets (covering 0.14 km(2), 0.8% of ASPA 128), Sanionia uncinata moss bed (0.31 km(2), 1.7% of ASPA 128), Deschampsia antarctica grass meadow (0.24 km(2), 1.3% of ASPA 128), and Deschampsia antarctica-Usnea antarctica heath (1.66 km(2), 9.4% of ASPA 128). Our results demonstrate that the presented UAV BVLOS-based surveys are time-effective (single flight lasting 2.5 h on a distance of 300 km) and cost-effective when compared to classical field-based observations and are less invasive for the ecosystem. Moreover, unmanned airborne vehicles significantly improve security, which is of particular interest in polar region research. Therefore, their development is highly recommended for monitoring areas in remote and fragile environments.</t>
  </si>
  <si>
    <t>[Zmarz, Anna; Kycko, Marlena; Golebiowska, Izabela; Karsznia, Izabela] Univ Warsaw, Fac Geog &amp; Reg Studies, Dept Geoinformat Cartog &amp; Remote Sensing, Warsaw, Poland; [Karlsen, Stein Rune] NORCE Norwegian Res Ctr AS, Tromso, Norway; [Korczak-Abshire, Malgorzata] Polish Acad Sci, Inst Biochem &amp; Biophys, Dept Antarctic Biol, Warsaw, Poland; [Chwedorzewska, Katarzyna] Warsaw Univ Life Sci, Inst Biol, Dept Bot, SGGW, Warsaw, Poland</t>
  </si>
  <si>
    <t>University of Warsaw; Norwegian Research Centre (NORCE); Polish Academy of Sciences; Institute of Biochemistry &amp; Biophysics - Polish Academy of Sciences; Warsaw University of Life Sciences</t>
  </si>
  <si>
    <t>Zmarz, A (corresponding author), Univ Warsaw, Fac Geog &amp; Reg Studies, Dept Geoinformat Cartog &amp; Remote Sensing, Warsaw, Poland.</t>
  </si>
  <si>
    <t>azmarz@uw.edu.pl</t>
  </si>
  <si>
    <t>Kycko, Marlena/X-1065-2018; Zmarz, Anna/T-9548-2018</t>
  </si>
  <si>
    <t>Kycko, Marlena/0000-0001-5133-3727; Zmarz, Anna/0000-0001-5846-4017; Golebiowska, Izabela/0000-0002-4307-7054; Korczak-Abshire, Malgorzata/0000-0001-7695-0588</t>
  </si>
  <si>
    <t>Polish-Norwegian Research Programme [197810]</t>
  </si>
  <si>
    <t>Polish-Norwegian Research Programme</t>
  </si>
  <si>
    <t>The research was conducted as part of the project A novel approach to monitoring the impact of climate change on Antarctic ecosystems (MONICA) funded by the Polish-Norwegian Research Programme operated by the National Centre for Research and Development under the Norwegian Financial Mechanism 2009-2014 in the frame of Project Contract No. 197810. The data used in the study were collected at the Henryk Arctowski Polish Antarctic Station.</t>
  </si>
  <si>
    <t>10.3389/fenvs.2023.1154115</t>
  </si>
  <si>
    <t>I1GM6</t>
  </si>
  <si>
    <t>WOS:001000329600001</t>
  </si>
  <si>
    <t>Ding, YH; Zheng, HY; Chen, ZY; Gao, Y; Xiao, KY; Gao, ZW; Han, ZY; Xue, YA; Cai, MH</t>
  </si>
  <si>
    <t>Ding, Yunhao; Zheng, Hongyuan; Chen, Zhiyi; Gao, Yuan; Xiao, Kaiyan; Gao, Zhiwei; Han, Zheyi; Xue, Yingang; Cai, Minghong</t>
  </si>
  <si>
    <t>Ocean current redistributed the currently using Organoamine Pesticides in Arctic summer water</t>
  </si>
  <si>
    <t>Currently using Organoamine Pesticides; Arctic Ocean; Surface Ocean current redistribution; Ecological risk</t>
  </si>
  <si>
    <t>POLYCHLORINATED-BIPHENYLS; SURFACE WATERS; RIVER; DEGRADATION; AMINE; SOIL; DIPHENYLAMINE; CONTAMINATION; DISTRIBUTIONS; METOLACHLOR</t>
  </si>
  <si>
    <t>In a comprehensive study on the presence and distribution of Currently Using Organoamine Pesticides (CUOAPs) in the Arctic Ocean, this study collected and analyzed 36 surface seawater samples during the summer of 2021. The study detected 36 CUOAPs, 17 of these compounds at levels exceeding the Method Detection Limits (MDLs). Concen-trations of CUOAPs ranged from 0.11 to 2.94 ng/L, exhibiting an average of 1.83 +/- 0.83 ng/L. Spatial distribution analysis revealed lower CUOAP concentrations in the central Arctic Ocean, with Cycloate constituting the most abun-dant component (23.66 %). The investigation identified terrestrial inputs and long-range atmospheric transport as poten-tial sources of CUOAPs in the Arctic Ocean region. The origins of individual CUOAPs appeared to be associated with application procedures and their propensity for co-occurrence at low latitudes. The study also examined the role of ocean currents in the transport and redistribution of CUOAPs in surface seawater across different regions. While ocean cur-rents played a significant role, the influence of sea ice cover on CUOAP distribution was minimal. An ecological risk as-sessment analysis underscored the need for regional attention to the presence of CUOAPs in the Arctic Ocean.</t>
  </si>
  <si>
    <t>[Ding, Yunhao; Xue, Yingang] Changzhou Univ, Sch Environm &amp; Safety Engn, Changzhou 213164, Jiangsu, Peoples R China; [Zheng, Hongyuan] Northwestern Polytech Univ, Ocean Inst, Suzhou 215400, Jiangsu, Peoples R China; [Chen, Zhiyi] Zhejiang Univ Water Resources &amp; Elect Power, Coll Civil Engn &amp; Architecture, Hangzhou 310018, Zhejiang, Peoples R China; [Ding, Yunhao; Zheng, Hongyuan; Chen, Zhiyi; Gao, Yuan; Xiao, Kaiyan; Gao, Zhiwei; Han, Zheyi; Cai, Minghong] Polar Res Inst China, Minist Nat Resources Key Lab Polar Sci, 451 Jinqiao Rd, Shanghai 200136, Peoples R China; [Xiao, Kaiyan] Tongji Univ, Coll Environm Sci &amp; Engn, Shanghai 200092, Peoples R China; [Zheng, Hongyuan; Gao, Yuan; Gao, Zhiwei; Han, Zheyi; Cai, Minghong] Polar Res Inst China, Antarctic Great Wall Ecol Natl Observat &amp; Res Stn, 1000 Xuelong Rd, Shanghai 201209, Peoples R China; [Cai, Minghong] Shanghai Jiao Tong Univ, Sch Oceanog, 1954 Huashan Rd, Shanghai 200030, Peoples R China</t>
  </si>
  <si>
    <t>Changzhou University; Northwestern Polytechnical University; Zhejiang University of Water Resources and Electric Power; Polar Research Institute of China; Tongji University; Polar Research Institute of China; Shanghai Jiao Tong University</t>
  </si>
  <si>
    <t>Xue, YA (corresponding author), Changzhou Univ, Sch Environm &amp; Safety Engn, Changzhou 213164, Jiangsu, Peoples R China.;Cai, MH (corresponding author), Polar Res Inst China, Minist Nat Resources Key Lab Polar Sci, 451 Jinqiao Rd, Shanghai 200136, Peoples R China.;Cai, MH (corresponding author), Polar Res Inst China, Antarctic Great Wall Ecol Natl Observat &amp; Res Stn, 1000 Xuelong Rd, Shanghai 201209, Peoples R China.;Cai, MH (corresponding author), Shanghai Jiao Tong Univ, Sch Oceanog, 1954 Huashan Rd, Shanghai 200030, Peoples R China.</t>
  </si>
  <si>
    <t>dingyunhao01@163.com; zhenghy@nwpu.edu.cn; chenzhiyi94@163.com; gaoyuan@pric.org.cn; 1910534@tongji.edu.cn; gaozhiwei@pric.org.cn; hanzheyi@pric.org.cn; xyg@cczu.edu.cn; caiminghong@pric.org.cn</t>
  </si>
  <si>
    <t>Yang, Min/JPY-3791-2023; guo, yi/KHC-4669-2024; Tan, Wei/KBB-7333-2024; lin, qing/JTU-4293-2023; liu, xinyi/KFB-4466-2024; ZHENG, HONGYUAN/ABF-9513-2020; Liu, min/JXW-8493-2024; Chen, zhuo/JWO-5404-2024; su, lin/KHC-5034-2024; li, yuanfang/KHV-1697-2024; tian, ye/KGL-6485-2024; Zhang, Lanyue/JNS-8209-2023; zhang, yan/JGL-8022-2023</t>
  </si>
  <si>
    <t>ZHENG, HONGYUAN/0000-0002-0225-3883; Cai, Minghong/0000-0003-2107-4386</t>
  </si>
  <si>
    <t>National Natural Science Foundation of China [41776202]; National Key Research and Development Program of China [2021YFC2801103]</t>
  </si>
  <si>
    <t>National Natural Science Foundation of China(National Natural Science Foundation of China (NSFC)); National Key Research and Development Program of China</t>
  </si>
  <si>
    <t>We express our sincere gratitude to the crews of the 11th Chinese Na- tional Arctic Research Expeditions Onboard R/V Xuelong2 for their great support during the in -situ sampling collection. This research was supported by the National Natural Science Foundation of China through Grant 41776202 and the National Key Research and Development Program of China through Grant 2021YFC2801103.</t>
  </si>
  <si>
    <t>10.1016/j.scitotenv.2023.163979</t>
  </si>
  <si>
    <t>I1SZ0</t>
  </si>
  <si>
    <t>WOS:001000664100001</t>
  </si>
  <si>
    <t>Schurer, AP; Hegerl, GC; Goosse, H; Bollasina, MA; England, MH; Mineter, MJ; Smith, DM; Tett, SFB</t>
  </si>
  <si>
    <t>Schurer, Andrew P.; Hegerl, Gabriele C.; Goosse, Hugues; Bollasina, Massimo A.; England, Matthew H.; Mineter, Michael J.; Smith, Doug M.; Tett, Simon F. B.</t>
  </si>
  <si>
    <t>Quantifying the contribution of forcing and three prominent modes of variability to historical climate</t>
  </si>
  <si>
    <t>NORTH-ATLANTIC OSCILLATION; SOUTHERN ANNULAR MODE; CENTER COUPLED MODEL; VOLCANIC-ERUPTIONS; LARGE ENSEMBLES; ENSO; PHASE; SST; RECONSTRUCTIONS; UNCERTAINTY</t>
  </si>
  <si>
    <t>Climate models can produce accurate representations of the most important modes of climate variability, but they cannot be expected to follow their observed time evolution. This makes direct comparison of simulated and observed variability difficult and creates uncertainty in estimates of forced change. We investigate the role of three modes of climate variability, the North Atlantic Oscillation, El Nino-Southern Oscillation and the Southern Annular Mode, as pacemakers of climate variability since 1781, evaluating where their evolution masks or enhances forced climate trends. We use particle filter data assimilation to constrain the observed variability in a global climate model without nudging, producing a near-free-running model simulation with the time evolution of these modes similar to those observed. Since the climate model also contains external forcings, these simulations, in combination with model experiments with identical forcing but no assimilation, can be used to compare the forced response to the effect of the three modes assimilated and evaluate the extent to which these are confounded with the forced response. The assimilated model is significantly closer than the forcing only simulations to annual temperature and precipitation observations over many regions, in particular the tropics, the North Atlantic and Europe. The results indicate where initialised simulations that track these modes could be expected to show additional skill. Assimilating the three modes cannot explain the large discrepancy previously found between observed and modelled variability in the southern extra-tropics but constraining the El Nino-Southern Oscillation reconciles simulated global cooling with that observed after volcanic eruptions.</t>
  </si>
  <si>
    <t>[Schurer, Andrew P.; Hegerl, Gabriele C.; Bollasina, Massimo A.; Mineter, Michael J.; Tett, Simon F. B.] Univ Edinburgh, Sch Geosci, Edinburgh EH9 3JW, Scotland; [Goosse, Hugues] Catholic Univ Louvain, Earth &amp; Life Inst, B-1348 Louvain La Neuve, Belgium; [England, Matthew H.] Univ New South Wales, Climate Change Res Ctr, ARC Ctr Excellence Antarctic Sci, Sydney, NSW 2052, Australia; [Smith, Doug M.] Met Off Hadley Ctr, Exeter EX1 3PB, England</t>
  </si>
  <si>
    <t>University of Edinburgh; Universite Catholique Louvain; University of New South Wales Sydney; Met Office - UK; Hadley Centre</t>
  </si>
  <si>
    <t>Schurer, AP (corresponding author), Univ Edinburgh, Sch Geosci, Edinburgh EH9 3JW, Scotland.</t>
  </si>
  <si>
    <t>a.schurer@ed.ac.uk</t>
  </si>
  <si>
    <t>England, Matthew/A-7539-2011; Tett, Simon F. B./B-1504-2013</t>
  </si>
  <si>
    <t>England, Matthew/0000-0001-9696-2930; Tett, Simon F. B./0000-0001-7526-560X; Schurer, Andrew/0000-0002-9176-3622; Bollasina, Massimo/0000-0001-7509-7650</t>
  </si>
  <si>
    <t>European Research Council [320691]; Natural Environment Research Council [NE/P006752/1, NE/S015698/1, NE/S000887/1]; NERC [NE/S000887/1, NE/S015698/1] Funding Source: UKRI; European Research Council (ERC) [320691] Funding Source: European Research Council (ERC)</t>
  </si>
  <si>
    <t>European Research Council(European Research Council (ERC)); Natural Environment Research Council(UK Research &amp; Innovation (UKRI)Natural Environment Research Council (NERC)); NERC(UK Research &amp; Innovation (UKRI)Natural Environment Research Council (NERC)); European Research Council (ERC)(European Research Council (ERC)Spanish Government)</t>
  </si>
  <si>
    <t>This research has been supported by the European Research Council, FP7 Ideas: European Research Council (TITAN; grant no. 320691) and the Natural Environment Research Council (grant nos. NE/P006752/1, NE/S015698/1 and NE/S000887/1).</t>
  </si>
  <si>
    <t>10.5194/cp-19-943-2023</t>
  </si>
  <si>
    <t>F8FQ8</t>
  </si>
  <si>
    <t>WOS:000984655800001</t>
  </si>
  <si>
    <t>Massonnet, F; Barreira, S; Barthelemy, A; Bilbao, R; Blanchard-Wrigglesworth, E; Blockley, E; Bromwich, DH; Bushuk, M; Dong, XR; Goessling, HF; Hobbs, W; Iovino, D; Lee, WS; Li, CH; Meier, WN; Merryfield, WJ; Moreno-Chamarro, E; Morioka, Y; Li, XW; Niraula, B; Petty, A; Sanna, A; Scilingo, M; Shu, Q; Sigmond, M; Sun, N; Tietsche, S; Wu, XR; Yang, QH; Yuan, XJ</t>
  </si>
  <si>
    <t>Massonnet, Francois; Barreira, Sandra; Barthelemy, Antoine; Bilbao, Roberto; Blanchard-Wrigglesworth, Edward; Blockley, Ed; Bromwich, David H.; Bushuk, Mitchell; Dong, Xiaoran; Goessling, Helge F.; Hobbs, Will; Iovino, Doroteaciro; Lee, Woo-Sung; Li, Cuihua; Meier, Walter N.; Merryfield, William J.; Moreno-Chamarro, Eduardo; Morioka, Yushi; Li, Xuewei; Niraula, Bimochan; Petty, Alek; Sanna, Antonella; Scilingo, Mariana; Shu, Qi; Sigmond, Michael; Sun, Nico; Tietsche, Steffen; Wu, Xingren; Yang, Qinghua; Yuan, Xiaojun</t>
  </si>
  <si>
    <t>SIPN South: six years of coordinated seasonal Antarctic sea ice predictions</t>
  </si>
  <si>
    <t>sea ice; seasonal prediction; Southern Ocean; Antarctica; forecasting &amp; simulation</t>
  </si>
  <si>
    <t>CO2 SINK; CLIMATE; MODEL; PREDICTABILITY; FORECAST; SYSTEM; THICKNESS; VERSION; EVOLUTION; TRENDS</t>
  </si>
  <si>
    <t>Antarctic sea ice prediction has garnered increasing attention in recent years, particularly in the context of the recent record lows of February 2022 and 2023. As Antarctica becomes a climate change hotspot, as polar tourism booms, and as scientific expeditions continue to explore this remote continent, the capacity to anticipate sea ice conditions weeks to months in advance is in increasing demand. Spurred by recent studies that uncovered physical mechanisms of Antarctic sea ice predictability and by the intriguing large variations of the observed sea ice extent in recent years, the Sea Ice Prediction Network South (SIPN South) project was initiated in 2017, building upon the Arctic Sea Ice Prediction Network. The SIPN South project annually coordinates spring-to-summer predictions of Antarctic sea ice conditions, to allow robust evaluation and intercomparison, and to guide future development in polar prediction systems. In this paper, we present and discuss the initial SIPN South results collected over six summer seasons (December-February 2017-2018 to 2022-2023). We use data from 22 unique contributors spanning five continents that have together delivered more than 3000 individual forecasts of sea ice area and concentration. The SIPN South median forecast of the circumpolar sea ice area captures the sign of the recent negative anomalies, and the verifying observations are systematically included in the 10-90% range of the forecast distribution. These statements also hold at the regional level except in the Ross Sea where the systematic biases and the ensemble spread are the largest. A notable finding is that the group forecast, constructed by aggregating the data provided by each contributor, outperforms most of the individual forecasts, both at the circumpolar and regional levels. This indicates the value of combining predictions to average out model-specific errors. Finally, we find that dynamical model predictions (i.e., based on process-based general circulation models) generally perform worse than statistical model predictions (i.e., data-driven empirical models including machine learning) in representing the regional variability of sea ice concentration in summer. SIPN South is a collaborative community project that is hosted on a shared public repository. The forecast and verification data used in SIPN South are publicly available in near-real time for further use by the polar research community, and eventually, policymakers.</t>
  </si>
  <si>
    <t>[Massonnet, Francois; Barthelemy, Antoine] Catholic Univ Louvain, Earth &amp; Life Inst ELI, Earth &amp; Climate Ctr, Louvain La Neuve, Belgium; [Barreira, Sandra; Scilingo, Mariana] Serv Hidrog Naval SHN, Dept Meteorol, Buenos Aires, Argentina; [Bilbao, Roberto; Moreno-Chamarro, Eduardo] Barcelona Supercomp Ctr BSC, Earth Sci Dept, Barcelona, Spain; [Blanchard-Wrigglesworth, Edward] Univ Washington, Dept Atmospher Sci, Seattle, WA USA; [Blockley, Ed] Met Off Hadley Ctr, Oceans &amp; Cryosphere, Exeter, England; [Bromwich, David H.] Ohio State Univ, Byrd Polar &amp; Climate Res Ctr, Columbus, OH USA; [Bushuk, Mitchell; Morioka, Yushi] NOAA, Geophys Fluid Dynam Lab, Princeton, NJ USA; [Dong, Xiaoran; Li, Xuewei; Yang, Qinghua] Sun Yat Sen Univ, Sch Atmospher Sci, Southern Marine Sci &amp; Engn Guangdong Lab, Zhuhai, Peoples R China; [Goessling, Helge F.; Niraula, Bimochan] Alfred Wegener Inst, Helmholtz Ctr Polar &amp; Marine Res, Bremerhaven, Germany; [Hobbs, Will] Univ Tasmania, Inst Marine &amp; Antarctic Studies, Australian Antarctic Program Partnership, Hobart, Tas, Australia; [Iovino, Doroteaciro; Sun, Nico] Fdn Ctr Euro Mediterraneo Cambiamenti Climat CMCC, Ocean Modeling &amp; Data Assimilat Div, Bologna, Italy; [Lee, Woo-Sung; Merryfield, William J.; Sigmond, Michael] Environm &amp; Climate Change Canada, Canadian Ctr Climate Modelling &amp; Anal, Victoria, BC, Canada; [Li, Cuihua; Yuan, Xiaojun] Columbia Univ, Lamont Doherty Earth Observ, Palisades, NY USA; [Meier, Walter N.] Univ Colorado, Cooperat Inst Res Environm Sci, Natl Snow &amp; Ice Data Ctr, Boulder, CO USA; [Morioka, Yushi] Japan Agcy Marine Earth Sci &amp; Technol JAMSTEC, Res Inst Value Added Informat Generat VAiG, Applicat Lab, Yokohama, Kanagawa, Japan; [Morioka, Yushi] Princeton Univ, Atmospher &amp; Ocean Sci Program, Princeton, NJ USA; [Petty, Alek] Univ Maryland, Earth Syst Sci Interdisciplinary Ctr, College Pk, MD USA; [Sanna, Antonella] Fdn Ctr Euro Mediterraneo Cambiamenti Climat CMCC, Climate Simulat &amp; Predict Div, Bologna, Italy; [Shu, Qi] Minist Nat Resources, Inst Oceanog 1, Key Lab Marine Sci &amp; Numer Modeling, Qingdao, Peoples R China; [Tietsche, Steffen] European Ctr Medium Range Weather Forecasts ECMWF, Dept Res, Bonn, Germany; [Wu, Xingren] NOAA, Axiom Environm Modeling Ctr, Natl Ctr Environm Predict, College Pk, MD USA</t>
  </si>
  <si>
    <t>Universite Catholique Louvain; Servicio de Hidrografia Naval; Universitat Politecnica de Catalunya; Barcelona Supercomputer Center (BSC-CNS); University of Washington; University of Washington Seattle; Met Office - UK; Hadley Centre; University System of Ohio; Ohio State University; National Oceanic Atmospheric Admin (NOAA) - USA; Southern Marine Science &amp; Engineering Guangdong Laboratory; Sun Yat Sen University; Helmholtz Association; Alfred Wegener Institute, Helmholtz Centre for Polar &amp; Marine Research; University of Tasmania; Environment &amp; Climate Change Canada; Canadian Centre for Climate Modelling &amp; Analysis (CCCma); Columbia University; University of Colorado System; University of Colorado Boulder; Japan Agency for Marine-Earth Science &amp; Technology (JAMSTEC); Princeton University; National Oceanic Atmospheric Admin (NOAA) - USA; University System of Maryland; University of Maryland College Park; First Institute of Oceanography, Ministry of Natural Resources; Ministry of Natural Resources of the People's Republic of China; European Centre for Medium-Range Weather Forecasts (ECMWF); National Oceanic Atmospheric Admin (NOAA) - USA</t>
  </si>
  <si>
    <t>Massonnet, F (corresponding author), Catholic Univ Louvain, Earth &amp; Life Inst ELI, Earth &amp; Climate Ctr, Louvain La Neuve, Belgium.</t>
  </si>
  <si>
    <t>francois.massonnet@uclouvain.be</t>
  </si>
  <si>
    <t>Li, Xuewei/HSH-3459-2023; Sigmond, Michael/K-3169-2012; Bushuk, Mitch/L-7032-2015; Hobbs, Will/G-5116-2014</t>
  </si>
  <si>
    <t>Li, Xuewei/0000-0003-3435-7422; Niraula, Bimochan/0000-0002-3315-1230; Hobbs, Will/0000-0002-2061-0899; IOVINO, Doroteaciro/0000-0001-5132-7255; Blockley, Ed/0000-0002-0489-4238</t>
  </si>
  <si>
    <t>National Key R&amp;D Program of China [2022YFE0106300]; National Natural Science Foundation of China [41941009, 42106233]; NASA Earth Science Data Information System (ESDIS) Project through the NASA Snow and Ice Distributed Active Archive Center (DAAC) at NSIDC; Australian Government as part of the Antarctic Science Collaboration Initiative program; Federal Ministry of Education and Research of Germany [01LN1701A]; National Science Foundation [NSF-RAPID OPP-2233016]</t>
  </si>
  <si>
    <t>National Key R&amp;D Program of China; National Natural Science Foundation of China(National Natural Science Foundation of China (NSFC)); NASA Earth Science Data Information System (ESDIS) Project through the NASA Snow and Ice Distributed Active Archive Center (DAAC) at NSIDC; Australian Government as part of the Antarctic Science Collaboration Initiative program(Australian Government); Federal Ministry of Education and Research of Germany(Federal Ministry of Education &amp; Research (BMBF)); National Science Foundation(National Science Foundation (NSF))</t>
  </si>
  <si>
    <t>QY, XL and XD are supported by the National Key R&amp;D Program of China (No. 2022YFE0106300) and the National Natural Science Foundation of China (No. 41941009, 42106233). WaM is supported by the NASA Earth Science Data Information System (ESDIS) Project through the NASA Snow and Ice Distributed Active Archive Center (DAAC) at NSIDC. WH is supported by grant funding from the Australian Government as part of the Antarctic Science Collaboration Initiative program. HG and BN acknowledge the financial support by the Federal Ministry of Education and Research of Germany in the framework of SSIP (grant 01LN1701A). EB-W was funded by National Science Foundation grant NSF-RAPID OPP-2233016.</t>
  </si>
  <si>
    <t>10.3389/fmars.2023.1148899</t>
  </si>
  <si>
    <t>H2PL0</t>
  </si>
  <si>
    <t>WOS:000994436400001</t>
  </si>
  <si>
    <t>Shi, XZ; Cui, ZY; Li, J; Hu, BC; An, YQ; Wang, X; Cui, HZ</t>
  </si>
  <si>
    <t>Shi, Xi-Zhao; Cui, Zhong-Yu; Li, Jie; Hu, Bing-Chen; An, Yi-Qiang; Wang, Xin; Cui, Hong-Zhi</t>
  </si>
  <si>
    <t>Atmospheric Corrosion of AZ31B Magnesium Alloy in the Antarctic Low-Temperature Environment</t>
  </si>
  <si>
    <t>ACTA METALLURGICA SINICA-ENGLISH LETTERS</t>
  </si>
  <si>
    <t>Magnesium alloy; Corrosion products; Antarctica; Low temperature</t>
  </si>
  <si>
    <t>CARBON-STEEL; MG ALLOY; BEHAVIOR; FIELD; DISSOLUTION; FABRICATION; RESISTANCE; INDUSTRIAL; PRODUCTS; ALUMINUM</t>
  </si>
  <si>
    <t>In this work, the outdoor corrosion behavior of AZ31B magnesium alloy in the Antarctic atmospheric environment was investigated. The surface corrosion state of the specimens exposed to the Antarctic atmosphere for 1 month and 24 months differ significantly. The corrosion rate after 1 month during the summer season was 19.82 g/m(2)center dot year and it decreased to 13.87 g/m(2)center dot year after two years' exposure. Corrosion is initiated with pitting corrosion and then evolved to uniform corrosion with prolonging exposure time. The skyward surface exhibited a much severe corrosion than that of the groundward surface, attributed to the long-term existence of the adsorbed electrolyte layer. The corrosion products formed on the alloy exposed in Antarctica environment were MgCO3 center dot 3H(2)O, MgCO3 center dot 5H(2)O and Mg2CO3(OH)(2)center dot 0.5H(2)O, with the MgCO3 center dot 3H(2)O as the dominant phase in the initial stage and the Mg2CO3(OH)(2)center dot 0.5H(2)O as the dominant phase after long-term exposure.</t>
  </si>
  <si>
    <t>[Shi, Xi-Zhao; Cui, Zhong-Yu; An, Yi-Qiang; Wang, Xin; Cui, Hong-Zhi] Ocean Univ China, Sch Mat Sci &amp; Engn, Qingdao 266100, Peoples R China; [Li, Jie; Hu, Bing-Chen] Polar Res Inst China, Shanghai 200136, Peoples R China</t>
  </si>
  <si>
    <t>Ocean University of China; Polar Research Institute of China</t>
  </si>
  <si>
    <t>Cui, ZY (corresponding author), Ocean Univ China, Sch Mat Sci &amp; Engn, Qingdao 266100, Peoples R China.</t>
  </si>
  <si>
    <t>cuizhongyu@ouc.edu.cn</t>
  </si>
  <si>
    <t>Li, YU/JQV-2716-2023; liu, xingyu/JXW-9444-2024; zhao, wei/JZD-4475-2024</t>
  </si>
  <si>
    <t>Excellent Youth Science Fund of Shandong Province [ZR2022YQ44]; Fundamental Research Funds for the Central Universities [201762008]</t>
  </si>
  <si>
    <t>Excellent Youth Science Fund of Shandong Province; Fundamental Research Funds for the Central Universities(Fundamental Research Funds for the Central Universities)</t>
  </si>
  <si>
    <t>AcknowledgementsThe authors acknowledgement the Excellent Youth Science Fund of Shandong Province (No. ZR2022YQ44) and the Fundamental Research Funds for the Central Universities (No. 201762008).</t>
  </si>
  <si>
    <t>CHINESE ACAD SCIENCES, INST METAL RESEARCH</t>
  </si>
  <si>
    <t>SHENYANG</t>
  </si>
  <si>
    <t>72 WENHUA RD, SHENYANG, 110016, PEOPLES R CHINA</t>
  </si>
  <si>
    <t>1006-7191</t>
  </si>
  <si>
    <t>2194-1289</t>
  </si>
  <si>
    <t>ACTA METALL SIN-ENGL</t>
  </si>
  <si>
    <t>Acta Metall. Sin.-Engl. Lett.</t>
  </si>
  <si>
    <t>10.1007/s40195-023-01561-4</t>
  </si>
  <si>
    <t>Metallurgy &amp; Metallurgical Engineering</t>
  </si>
  <si>
    <t>O9KX7</t>
  </si>
  <si>
    <t>WOS:000983567400001</t>
  </si>
  <si>
    <t>Chu, JF; Martin, CI; Marynets, K</t>
  </si>
  <si>
    <t>Chu, Jifeng; Martin, Calin Iulian; Marynets, Kateryna</t>
  </si>
  <si>
    <t>Exact solutions for geophysical flows with discontinuous variable density and forcing terms in spherical coordinates</t>
  </si>
  <si>
    <t>APPLICABLE ANALYSIS</t>
  </si>
  <si>
    <t>Exact solutions in spherical coordinates; discontinuous stratification; Coriolis force; forcing terms; the Antarctic Circumpolar Current</t>
  </si>
  <si>
    <t>PURELY AZIMUTHAL FLOW; WATER-WAVES; EQUATORIAL FLOWS; CRITICAL LAYERS; FREE-SURFACE; STEADY; STRATIFICATION; MODEL; TRANSPORT; DYNAMICS</t>
  </si>
  <si>
    <t>We present here exact solutions to the equations of geophysical fluid dynamics that depict inviscid flows moving in the azimuthal direction on a circular path, around the globe, and which admit a velocity profile below the surface and along it. These features render this model suitable for the description of the Antarctic circumpolar current (ACC). The governing equations we work with-taken to be the Euler equations written in spherical coordinates-also incorporate forcing terms which are generally regarded as means that ensure the general balance of the ACC. Our approach allows for a variable density (depending on the depth and latitude) of discontinuous type which divides the water domain into two layers. Thus, the discontinuity gives rise to an interface. The velocity in both layers and the pressure in the lower layer are determined explicitly, while the pressure in the upper layer depends on the free surface and the interface. Functional analytical techniques render (uniquely) the surface and interface-defining functions in an implicit way. We conclude our discussion by deriving relations between the monotonicity of the surface pressure and the monotonicity of the surface distortion that concur with the physical expectations. A regularity result concerning the interface is also derived.</t>
  </si>
  <si>
    <t>[Chu, Jifeng] Shanghai Normal Univ, Dept Math, Shanghai, Peoples R China; [Chu, Jifeng; Martin, Calin Iulian; Marynets, Kateryna] Univ Vienna, Erwin Schrodinger Int Inst Math &amp; Phys, Vienna, Austria; [Martin, Calin Iulian] Univ Vienna, Fac Math, Vienna, Austria; [Marynets, Kateryna] Delft Univ Technol, Delft Inst Appl Math, Fac Elect Engn Math &amp; Comp Sci, Delft, Netherlands</t>
  </si>
  <si>
    <t>Shanghai Normal University; University of Vienna; University of Vienna; Delft University of Technology</t>
  </si>
  <si>
    <t>Martin, CI (corresponding author), Univ Vienna, Erwin Schrodinger Int Inst Math &amp; Phys, Vienna, Austria.;Martin, CI (corresponding author), Univ Vienna, Fac Math, Vienna, Austria.</t>
  </si>
  <si>
    <t>calin.martin@univie.ac.at</t>
  </si>
  <si>
    <t>Martin, Calin Iulian/D-3284-2013</t>
  </si>
  <si>
    <t>Martin, Calin Iulian/0000-0002-5800-9265; Marynets, Kateryna/0000-0002-0043-6336</t>
  </si>
  <si>
    <t>National Natural Science Foundation of China [12071296]; Austrian Science Fund (FWF) [P 33107]</t>
  </si>
  <si>
    <t>National Natural Science Foundation of China(National Natural Science Foundation of China (NSFC)); Austrian Science Fund (FWF)(Austrian Science Fund (FWF))</t>
  </si>
  <si>
    <t>The authors would like to thank the Erwin Schrodinger International Institute for Mathematics and Physics Vienna for the support in the framework of the 'Research in Teams' project 'Two-layer periodic water waves'. Jifeng Chu was supported by the National Natural Science Foundation of China (Grant No. 12071296). Calin Martin acknowledges the support of the Austrian Science Fund (FWF) through the grant P 33107.</t>
  </si>
  <si>
    <t>0003-6811</t>
  </si>
  <si>
    <t>1563-504X</t>
  </si>
  <si>
    <t>APPL ANAL</t>
  </si>
  <si>
    <t>Appl. Anal.</t>
  </si>
  <si>
    <t>MAR 3</t>
  </si>
  <si>
    <t>10.1080/00036811.2023.2207589</t>
  </si>
  <si>
    <t>HB2E7</t>
  </si>
  <si>
    <t>WOS:000983151000001</t>
  </si>
  <si>
    <t>Schwans, E; Parizek, BR; Alley, RB; Anandakrishnan, S; Morlighem, MM</t>
  </si>
  <si>
    <t>Schwans, Emily; Parizek, Byron R.; Alley, Richard B.; Anandakrishnan, Sridhar; Morlighem, Mathieu M.</t>
  </si>
  <si>
    <t>Model insights into bed control on retreat of Thwaites Glacier, West Antarctica</t>
  </si>
  <si>
    <t>Glacier modelling; glaciological model experiments; ice dynamics; ice-ocean interaction</t>
  </si>
  <si>
    <t>PINE ISLAND GLACIER; ICE FLOW; GROUNDING-LINE; BRIEF COMMUNICATION; MASS-LOSS; OCEAN; COLLAPSE; MELT; PARAMETERIZATION; INSTABILITY</t>
  </si>
  <si>
    <t>Thwaites Glacier (TG) plays an important role in future sea-level rise (SLR) contribution from the West Antarctic Ice Sheet. Recent observations show that TG is losing mass, and its grounding zone is retreating. Previous modeling has produced a wide range of results concerning whether, when, and how rapidly further retreat will occur under continued warming. These differences arise at least in part from ill-constrained processes, including friction from the bed, and future atmosphere and ocean forcing affecting ice-shelf and grounding-zone buttressing. Here, we apply the Ice Sheet and Sea-level System Model (ISSM) with a range of specifications of basal sliding behavior in response to varying ocean forcing. We find that basin-wide bed character strongly affects TG's response to sub-shelf melt by modulating how changes in driving stress are balanced by the bed as the glacier responds to external forcing. Resulting differences in dynamic thinning patterns alter modeled grounding-line retreat across Thwaites' catchment, affecting both modeled rates and magnitudes of SLR contribution from this critical sector of the ice sheet. Bed character introduces large uncertainties in projections of TG under equal external forcing, pointing to this as a crucial constraint needed in predictive models of West Antarctica.</t>
  </si>
  <si>
    <t>[Schwans, Emily; Parizek, Byron R.; Alley, Richard B.; Anandakrishnan, Sridhar] Penn State Univ, Dept Earth &amp; Mineral Sci, University Pk, PA 16802 USA; [Parizek, Byron R.] Penn State Univ, Dept Math &amp; Geosci, Du Bois, PA USA; [Morlighem, Mathieu M.] Dartmouth Coll, Dept Earth Sci, Hanover, NH USA</t>
  </si>
  <si>
    <t>Pennsylvania Commonwealth System of Higher Education (PCSHE); Pennsylvania State University; Pennsylvania State University - University Park; Pennsylvania Commonwealth System of Higher Education (PCSHE); Pennsylvania State University; Dartmouth College</t>
  </si>
  <si>
    <t>Schwans, E (corresponding author), Penn State Univ, Dept Earth &amp; Mineral Sci, University Pk, PA 16802 USA.</t>
  </si>
  <si>
    <t>eps5217@psu.edu</t>
  </si>
  <si>
    <t>Anandakrishnan, Sridhar/JCN-5026-2023; Morlighem, Mathieu/O-9942-2014</t>
  </si>
  <si>
    <t>Morlighem, Mathieu/0000-0001-5219-1310; Alley, Richard/0000-0003-1833-0115</t>
  </si>
  <si>
    <t>U.S. NSF [PLR-1443190, ANT-0424589, AGS-1338832]</t>
  </si>
  <si>
    <t>U.S. NSF(National Science Foundation (NSF))</t>
  </si>
  <si>
    <t>The authors would like to thank Pierre St.-Laurent, Ryan Walker, and David Pollard for their model output that was used to initialize and force our experiments, as well as Chris Borstad and Helene Seroussi for each of their valuable contributions in discussions regarding model tuning in ISSM. Guidance from the ITGC GHOST team was invaluable in completing this research. We would also like to express our appreciation to the reviewers for their clear and insightful comments and suggestions. This work was funded by U.S. NSF Grants PLR-1443190, ANT-0424589, AGS-1338832. Model output is hosted on Penn State's data commons and is available at doi: 10.26208/A699-3A21.</t>
  </si>
  <si>
    <t>PII S0022143023000138</t>
  </si>
  <si>
    <t>10.1017/jog.2023.13</t>
  </si>
  <si>
    <t>WOS:000984637000001</t>
  </si>
  <si>
    <t>Ilicic, D; Ionescu, D; Woodhouse, J; Grossart, HP</t>
  </si>
  <si>
    <t>Ilicic, Doris; Ionescu, Danny; Woodhouse, Jason; Grossart, Hans-Peter</t>
  </si>
  <si>
    <t>Temperature-Related Short-Term Succession Events of Bacterial Phylotypes in Potter Cove, Antarctica</t>
  </si>
  <si>
    <t>bacterioplankton; temperature; climate change; intraspecific variation; biogeography; bacterial community composition</t>
  </si>
  <si>
    <t>COMMUNITY STRUCTURE; MARINE-BACTERIA; COASTAL WATERS; SEA-ICE; PHYTOPLANKTON; VARIABILITY; DIVERSITY; MICRODIVERSITY; ASSEMBLAGES; METABOLISM</t>
  </si>
  <si>
    <t>In recent years, our understanding of the roles of bacterial communities in the Antarctic Ocean has substantially improved. It became evident that Antarctic marine bacteria are metabolically versatile, and even closely related strains may differ in their functionality and, therefore, affect the ecosystem differently. Nevertheless, most studies have been focused on entire bacterial communities, with little attention given to individual taxonomic groups. Antarctic waters are strongly influenced by climate change; thus, it is crucial to understand how changes in environmental conditions, such as changes in water temperature and salinity fluctuations, affect bacterial species in this important area. In this study, we show that an increase in water temperature of 1 degrees C was enough to alter bacterial communities on a short-term temporal scale. We further show the high intraspecific diversity of Antarctic bacteria and, subsequently, rapid intra-species succession events most likely driven by various temperature-adapted phylotypes. Our results reveal pronounced changes in microbial communities in the Antarctic Ocean driven by a single strong temperature anomaly. This suggests that long-term warming may have profound effects on bacterial community composition and presumably functionality in light of continuous and future climate change.</t>
  </si>
  <si>
    <t>[Ilicic, Doris; Ionescu, Danny; Grossart, Hans-Peter] Leibniz Inst Freshwater Ecol &amp; Inland Fisheries, Dept Expt Limnol, D-16775 Neuglobsow, Germany; [Woodhouse, Jason] Univ Hamburg, Inst Zool, D-20146 Hamburg, Germany; [Grossart, Hans-Peter] Univ Potsdam, Inst Biochem &amp; Biol, D-14469 Potsdam, Germany</t>
  </si>
  <si>
    <t>Leibniz Institut fur Gewasserokologie und Binnenfischerei (IGB); University of Hamburg; University of Potsdam</t>
  </si>
  <si>
    <t>Grossart, HP (corresponding author), Leibniz Inst Freshwater Ecol &amp; Inland Fisheries, Dept Expt Limnol, D-16775 Neuglobsow, Germany.;Grossart, HP (corresponding author), Univ Potsdam, Inst Biochem &amp; Biol, D-14469 Potsdam, Germany.</t>
  </si>
  <si>
    <t>hgrossart@igb-berlin.de</t>
  </si>
  <si>
    <t>; Ionescu, Danny/P-3261-2017</t>
  </si>
  <si>
    <t>Grossart, Hans-Peter/0000-0002-9141-0325; Ionescu, Danny/0000-0002-4658-8597; Woodhouse, Jason/0000-0003-1129-5396; Ilicic, Doris/0000-0001-8618-6229</t>
  </si>
  <si>
    <t>German Science Foundation (DFG) [SPP 1158, GR1540/33-1]; Open Access Fund of the Leibniz Association</t>
  </si>
  <si>
    <t>German Science Foundation (DFG)(German Research Foundation (DFG)); Open Access Fund of the Leibniz Association</t>
  </si>
  <si>
    <t>The study was performed in the frame of the Priority Programme of the German Science Foundation (DFG) entitled Antarktisforschung mit vergleichenden Untersuchungen in arktischen Eisgebieten (SPP 1158) in the subproject Polar parasites (GR1540/33-1) given to Hans-Peter Grossart. The publication of this article was funded by the Open Access Fund of the Leibniz Association.</t>
  </si>
  <si>
    <t>MAY 8</t>
  </si>
  <si>
    <t>10.3390/genes14051051</t>
  </si>
  <si>
    <t>H6VI2</t>
  </si>
  <si>
    <t>WOS:000997311800001</t>
  </si>
  <si>
    <t>Ettinger, CL; Saunders, M; Selbmann, L; Delgado-Baquerizo, M; Donati, C; Albanese, D; Roux, S; Tringe, S; Pennacchio, C; del Rio, TG; Stajich, JE; Coleine, C</t>
  </si>
  <si>
    <t>Ettinger, Cassandra L.; Saunders, Morgan; Selbmann, Laura; Delgado-Baquerizo, Manuel; Donati, Claudio; Albanese, Davide; Roux, Simon; Tringe, Susannah; Pennacchio, Christa; del Rio, Tijana G.; Stajich, Jason E.; Coleine, Claudia</t>
  </si>
  <si>
    <t>Highly diverse and unknown viruses may enhance Antarctic endoliths' adaptability</t>
  </si>
  <si>
    <t>MICROBIOME</t>
  </si>
  <si>
    <t>MCMURDO DRY VALLEYS; MICROBIAL DIVERSITY; COMMUNITIES</t>
  </si>
  <si>
    <t>Background Rock-dwelling microorganisms are key players in ecosystem functioning of Antarctic ice free-areas. Yet, little is known about their diversity and ecology, and further still, viruses in these communities have been largely unexplored despite important roles related to host metabolism and nutrient cycling. To begin to address this, we present a large-scale viral catalog from Antarctic rock microbial communities.Results We performed metagenomic analyses on rocks from across Antarctica representing a broad range of environmental and spatial conditions, and which resulted in a predicted viral catalog comprising &gt; 75,000 viral operational taxonomic units (vOTUS). We found largely undescribed, highly diverse and spatially structured virus communities which had predicted auxiliary metabolic genes (AMGs) with functions indicating that they may be potentially influencing bacterial adaptation and biogeochemistry.Conclusion This catalog lays the foundation for expanding knowledge of virosphere diversity, function, spatial ecology, and dynamics in extreme environments. This work serves as a step towards exploring adaptability of microbial communities in the face of a changing climate.</t>
  </si>
  <si>
    <t>[Ettinger, Cassandra L.; Stajich, Jason E.; Coleine, Claudia] Univ Calif Riverside, Dept Microbiol &amp; Plant Pathol, Riverside, CA 92521 USA; [Saunders, Morgan] Calif State Polytech Univ Pomona, Dept Biol Sci, Pomona, CA USA; [Saunders, Morgan] Univ Arizona, Tucson, AZ USA; [Selbmann, Laura; Coleine, Claudia] Univ Tuscia, Dept Ecol &amp; Biol Sci, Viterbo, Italy; [Delgado-Baquerizo, Manuel; Coleine, Claudia] CSIC, Inst Recursos Nat &amp; Agrobiol Sevilla IRNAS, Lab Biodivers &amp; Funcionamiento Ecosistem, Av Reina Mercedes 10, E-41012 Seville, Spain; [Delgado-Baquerizo, Manuel] Univ Pablo Olavide, Unidad Asociada CSIC UPO BioFun, Seville 41013, Spain; [Donati, Claudio; Albanese, Davide] Fdn Edmund Mach, Res &amp; Innovat Ctr, Via E Mach 1, I-38098 San Michele All Adige, Italy; [Roux, Simon; Tringe, Susannah; Pennacchio, Christa; del Rio, Tijana G.] Lawrence Berkeley Natl Lab, Dept Energy Joint Genome Inst, One Cyclotron Rd, Berkeley, CA 94720 USA; [Stajich, Jason E.] Univ Calif Riverside, Inst Integrat Genome Biol, Riverside, CA USA</t>
  </si>
  <si>
    <t>University of California System; University of California Riverside; California State University System; California State Polytechnic University Pomona; University of Arizona; Tuscia University; Consejo Superior de Investigaciones Cientificas (CSIC); CSIC - Instituto de Recursos Naturales y Agrobiologia de Sevilla (IRNAS); Universidad Pablo de Olavide; Fondazione Edmund Mach; United States Department of Energy (DOE); Lawrence Berkeley National Laboratory; University of California System; University of California Riverside</t>
  </si>
  <si>
    <t>Ettinger, CL; Coleine, C (corresponding author), Univ Calif Riverside, Dept Microbiol &amp; Plant Pathol, Riverside, CA 92521 USA.;Coleine, C (corresponding author), Univ Tuscia, Dept Ecol &amp; Biol Sci, Viterbo, Italy.;Coleine, C (corresponding author), CSIC, Inst Recursos Nat &amp; Agrobiol Sevilla IRNAS, Lab Biodivers &amp; Funcionamiento Ecosistem, Av Reina Mercedes 10, E-41012 Seville, Spain.</t>
  </si>
  <si>
    <t>cassande@ucr.edu; coleine@unitus.it</t>
  </si>
  <si>
    <t>Ettinger, Cassandra/I-3073-2019; Selbmann, Laura/L-3056-2013; Donati, Claudio/AAF-1246-2020; Delgado-Baquerizo, Manuel/L-3653-2017; Roux, Simon/ABE-6255-2020; Tringe, Susannah Green/T-9431-2019; Coleine, Claudia/AAE-1889-2020; Stajich, Jason Eric/C-7297-2008</t>
  </si>
  <si>
    <t>Ettinger, Cassandra/0000-0001-7334-403X; Selbmann, Laura/0000-0002-8967-3329; Delgado-Baquerizo, Manuel/0000-0002-6499-576X; Roux, Simon/0000-0002-5831-5895; Tringe, Susannah Green/0000-0001-6479-8427; Coleine, Claudia/0000-0002-9289-6179; Stajich, Jason Eric/0000-0002-7591-0020</t>
  </si>
  <si>
    <t>National Science Foundation (NSF) under a NSF Ocean Sciences Postdoctoral Fellowship [2205744]; NSF REUThe National Summer Undergraduate Research Project [2149582]; European Commission under the Marie Sklodowska-Curie Grant [702057]; Italian National Antarctic Research Program; Spanish Ministry of Science and Innovation [PID2020-115813RA-I00]; Fondo Europeo de Desar-rollo Regional (FEDER); Consejeria deTransformacion Economica, Industria, Conocimiento y Universidades of the Junta de Andalucia (FEDER Andalucia 2014-2020 Objetivo tematico'01-Refuerzo de la investigacion, el desarrollo tecnologico y la innovacion') [P20_00879]; Fungal Kingdom: Threats and Opportunities program; NSF [DBI-1429826]; NIH [S10-OD016290]; Office of Science of the US Department of Energy [DE-AC02-05CH11231]; Marie Curie Actions (MSCA) [702057] Funding Source: Marie Curie Actions (MSCA)</t>
  </si>
  <si>
    <t>National Science Foundation (NSF) under a NSF Ocean Sciences Postdoctoral Fellowship(National Science Foundation (NSF)); NSF REUThe National Summer Undergraduate Research Project; European Commission under the Marie Sklodowska-Curie Grant; Italian National Antarctic Research Program; Spanish Ministry of Science and Innovation(Spanish Government); Fondo Europeo de Desar-rollo Regional (FEDER)(European Union (EU)Spanish Government); Consejeria deTransformacion Economica, Industria, Conocimiento y Universidades of the Junta de Andalucia (FEDER Andalucia 2014-2020 Objetivo tematico'01-Refuerzo de la investigacion, el desarrollo tecnologico y la innovacion'); Fungal Kingdom: Threats and Opportunities program; NSF(National Science Foundation (NSF)); NIH(United States Department of Health &amp; Human ServicesNational Institutes of Health (NIH) - USA); Office of Science of the US Department of Energy(United States Department of Energy (DOE)); Marie Curie Actions (MSCA)(Marie Curie Actions)</t>
  </si>
  <si>
    <t>C.L.E. is supported by the National Science Foundation (NSF) under a NSF Ocean Sciences Postdoctoral Fellowship (Award No. 2205744). M.S. was supported by the NSF REUThe National Summer Undergraduate Research Project, Award No. 2149582. C.C. is supported by the European Commission under the Marie Sklodowska-Curie Grant Agreement No. 702057 (DRYLIFE). C.C. and L.S. wish to thank the Italian National Antarctic Research Program for funding sampling campaigns and research activities in Italy in the frame of PNRA projects.The Italian Antarctic National Museum (MNA) is kindly acknowledged for financial support to the Mycological Section of the MNA and for providing rock samples used in this study stored in the Culture Col-lection of Antarctic fungi (MNA-CCFEE), University ofTuscia, Italy. M.D-B. is supported by a project from the Spanish Ministry of Science and Innovation (PID2020-115813RA-I00), and a project of the Fondo Europeo de Desar-rollo Regional (FEDER) and the Consejeria deTransformacion Economica, Industria, Conocimiento y Universidades of the Junta de Andalucia (FEDER Andalucia 2014-2020 Objetivo tematico'01-Refuerzo de la investigacion, el desarrollo tecnologico y la innovacion') associated with the research project P20_00879 (ANDABIOMA). J.E.S. is a CIFAR fellow in the Fungal Kingdom: Threats and Opportunities program. Data analyses performed at the High -Performance Computing Cluster at the University of California Riverside in the Institute of Integrative Genome Biology were supported by NSF grant DBI-1429826 and NIH grant S10-OD016290. Part of this work (proposals https://doi.org/10.46936/10.25585/60000791 and https://doi.org/10.46936/fics.proj. 2020.51548/60000213) was conducted by the U.S. Department of Energy Joint Genome Institute (https://ror.org/04xm1d337), a DOE Office of Science User Facility, supported by the Office of Science of the US Department of Energy under Contract No. DE-AC02-05CH11231.The funders had no role in study design, data collection and interpretation, or the decision to submit the work for publication.</t>
  </si>
  <si>
    <t>2049-2618</t>
  </si>
  <si>
    <t>Microbiome</t>
  </si>
  <si>
    <t>10.1186/s40168-023-01554-6</t>
  </si>
  <si>
    <t>G3TN6</t>
  </si>
  <si>
    <t>WOS:000988422000001</t>
  </si>
  <si>
    <t>Malmierca-Vallet, I; Sime, LC</t>
  </si>
  <si>
    <t>Malmierca-Vallet, Irene; Sime, Louise C.</t>
  </si>
  <si>
    <t>D O Community Members</t>
  </si>
  <si>
    <t>Dansgaard-Oeschger events in climate models: review and baseline Marine Isotope Stage 3 (MIS3) protocol</t>
  </si>
  <si>
    <t>LAST GLACIAL MAXIMUM; LAURENTIDE ICE-SHEET; MERIDIONAL OVERTURNING CIRCULATION; ATLANTIC DEEP-WATER; HUDSON-BAY LOWLANDS; SEA-LEVEL CHANGES; EDDY-DRIVEN JET; NORTH-ATLANTIC; MILLENNIAL-SCALE; THERMOHALINE CIRCULATION</t>
  </si>
  <si>
    <t>Dansgaard-Oeschger (D-O) events, millennial-scale climate oscillations between stadial and interstadial conditions (of up to 10-15 degrees C in amplitude at high northern latitudes), occurred throughout the Marine Isotope Stage 3 (MIS3; 27.8-59.4 ka) period. The climate modelling community up to now has not been able to answer the question of whether our climate models are too stable to simulate D-O events. To address this, this paper lays the groundwork for a MIS3 D-O protocol for general circulation models which are used in the International Panel for Climate Change (IPCC) assessments. We review the following: D-O terminology, community progress on simulating D-O events in these IPCC-class models (processes and published examples), and evidence about the boundary conditions under which D-O events occur. We find that no model exhibits D-O-like behaviour under pre-industrial conditions. Some, but not all, models exhibit D-O-like oscillations under MIS3 and/or full glacial conditions. Greenhouse gases and ice sheet configurations are crucial. However most models have not run simulations of long enough duration to be sure which models show D-O-like behaviour, under either MIS3 or full glacial states. We propose a MIS3 baseline protocol at 34 ka, which features low obliquity values, medium to low MIS3 greenhouse gas values, and the intermediate ice sheet configuration, which our review suggests are most conducive to D-O-like behaviour in models. We also provide a protocol for a second freshwater (Heinrich-event-preconditioned) experiment, since previous work suggests that this variant may be helpful in preconditioning a state in models which is conducive to D-O events. This review provides modelling groups investigating MIS3 D-O oscillations with a common framework, which is aimed at (1) maximising the chance of the occurrence of D-O-like events in the simulations, (2) allowing more precise model-data evaluation, and (3) providing an adequate central point for modellers to explore model stability.</t>
  </si>
  <si>
    <t>[Malmierca-Vallet, Irene; Sime, Louise C.] British Antarctic Survey, Cambridge, England</t>
  </si>
  <si>
    <t>Malmierca-Vallet, I (corresponding author), British Antarctic Survey, Cambridge, England.</t>
  </si>
  <si>
    <t>irealm37@bas.ac.uk</t>
  </si>
  <si>
    <t>Lambert, Fabrice/M-2003-2014; Abe-Ouchi, Ayako A/M-6359-2013; Gowan, Evan James/ABE-7098-2020; Feulner, Georg/A-1933-2011; Born, Andreas/B-1554-2013; Gregoire, Lauren/A-7005-2011</t>
  </si>
  <si>
    <t>Lambert, Fabrice/0000-0002-2192-024X; Abe-Ouchi, Ayako A/0000-0003-1745-5952; Gowan, Evan James/0000-0002-0119-9440; Feulner, Georg/0000-0001-9215-5517; Prange, Matthias/0000-0001-5874-756X; Erb, Michael/0000-0002-1187-952X; Malmierca Vallet, Irene/0000-0002-2871-9741; Sime, Louise/0000-0002-9093-7926; Gregoire, Lauren/0000-0003-0258-7282; Weitzel, Nils/0000-0002-2735-2992</t>
  </si>
  <si>
    <t>European Union's Horizon 2020 research and innovation programme [820970]</t>
  </si>
  <si>
    <t>European Union's Horizon 2020 research and innovation programme(Horizon 2020)</t>
  </si>
  <si>
    <t>This project is TiPES contribution no. 123.It has received funding from the European Union's Horizon 2020 research and innovation programme under grant agreement no. 820970.</t>
  </si>
  <si>
    <t>10.5194/cp-19-915-2023</t>
  </si>
  <si>
    <t>F5XG3</t>
  </si>
  <si>
    <t>WOS:000983066900001</t>
  </si>
  <si>
    <t>Lin, XY; Zhao, H; Liu, Y; Han, GQ; Zhang, H; Liao, XM</t>
  </si>
  <si>
    <t>Lin, Xiayan; Zhao, Hui; Liu, Yu; Han, Guoqing; Zhang, Han; Liao, Xiaomei</t>
  </si>
  <si>
    <t>Ocean Eddies in the Drake Passage: Decoding Their Three-Dimensional Structure and Evolution</t>
  </si>
  <si>
    <t>mesoscale eddies; drake passage; three-dimensional structure; GLORYS12</t>
  </si>
  <si>
    <t>ANTARCTIC-CIRCUMPOLAR-CURRENT; MESOSCALE EDDIES; SOUTHERN-OCEAN; RESOLUTION; MODEL; IDENTIFICATION; VARIABILITY; TRANSPORT; CENSUS; FRONT</t>
  </si>
  <si>
    <t>The Drake Passage is known for its abundant mesoscale eddies, but little is known about their three-dimensional characteristics, which hinders our understanding of their impact on eddy-induced transport and deep-sea circulation. A 10-year study was conducted using GLORYS12 Mercator Ocean reanalysis data from 2009 to 2018. The study analyzed the statistical characteristics of eddies in the Drake Passage, spanning from the surface down to a depth of 2000 m in three dimensions. The findings indicate that the mean radius of the eddies is 35.5 km, with a mean lifespan of 12.3 weeks and mean vorticity of 2.2 x 10(-5) s(-1). The eddies are most active and energetic near the three main fronts and propagate north-eastward at an average distance of 97.8 km. The eddy parameters vary with water depth, with more anticyclones detected from the surface to 400 m, displaying a larger radius and longer propagation distance. Cyclones have longer lifespans and greater vorticity. However, beyond 400 m, there is not much difference between anticyclones and cyclones. Approximately 23.3% of the eddies reach a depth of 2000 m, with larger eddies tending to penetrate deeper. The eddies come in three different shapes, bowl-shaped (52.7%), lens-shaped (27.1%) and cone-shaped (20.2%). They exhibit annual and monthly distribution patterns. Due to its high latitude location, the Drake Passage has strong rotation and weak stratification, resulting in the generation of small and deep-reaching eddies. These eddies contribute to the formation of Antarctic intermediate water and lead to modulation of turbulent dissipation.</t>
  </si>
  <si>
    <t>[Lin, Xiayan; Zhao, Hui; Liu, Yu; Han, Guoqing] Zhejiang Ocean Univ, Sch Marine Sci &amp; Technol, Zhoushan 316022, Peoples R China; [Lin, Xiayan; Zhang, Han] Minist Nat Resources, Inst Oceanog 2, State Key Lab Satellite Ocean Environm Dynam, Hangzhou 310012, Peoples R China; [Liu, Yu; Zhang, Han] Southern Marine Sci &amp; Engn Guangdong Lab Zhuhai, Zhuhai 519082, Peoples R China; [Liao, Xiaomei] Shenzhen Univ, Coll Life Sci &amp; Oceanog, Shenzhen 518060, Peoples R China</t>
  </si>
  <si>
    <t>Zhejiang Ocean University; Ministry of Natural Resources of the People's Republic of China; Southern Marine Science &amp; Engineering Guangdong Laboratory; Southern Marine Science &amp; Engineering Guangdong Laboratory (Zhuhai); Shenzhen University</t>
  </si>
  <si>
    <t>Liu, Y (corresponding author), Zhejiang Ocean Univ, Sch Marine Sci &amp; Technol, Zhoushan 316022, Peoples R China.;Liu, Y (corresponding author), Southern Marine Sci &amp; Engn Guangdong Lab Zhuhai, Zhuhai 519082, Peoples R China.</t>
  </si>
  <si>
    <t>linxiayan@zjou.edu.cn; s20070700017@zjou.edu.cn; liuyuhk@zjou.edu.cn; hanguoqing@zjou.edu.cn; zhanghan@sio.org.cn; liaoxm@szu.edu.cn</t>
  </si>
  <si>
    <t>; Zhang, Han/C-6188-2011</t>
  </si>
  <si>
    <t>Lin, Xiayan/0000-0001-7424-6984; Zhang, Han/0000-0002-8155-427X; Liu, Yu/0000-0002-9261-192X</t>
  </si>
  <si>
    <t>Southern Marine Science and Engineering Guangdong Laboratory (Zhuhai) [SML2020SP007, SML2021SP207]; Innovation Group Project of Southern Marine Science and Engineering Guangdong Laboratory (Zhuhai) [311020004, 311022001]; National Natural Science Foundation of China [42206005]; open fund of State Key Laboratory of Satellite Ocean Environment Dynamics, Second Institute of Oceanography, MNR [QNHX2309]; General scientific research project of Zhejiang Provincial Department of Education [Y202250609]; Open Foundation from Marine Sciences in the First-Class Subjects of Zhejiang [OFMS006]</t>
  </si>
  <si>
    <t>Southern Marine Science and Engineering Guangdong Laboratory (Zhuhai); Innovation Group Project of Southern Marine Science and Engineering Guangdong Laboratory (Zhuhai); National Natural Science Foundation of China(National Natural Science Foundation of China (NSFC)); open fund of State Key Laboratory of Satellite Ocean Environment Dynamics, Second Institute of Oceanography, MNR; General scientific research project of Zhejiang Provincial Department of Education; Open Foundation from Marine Sciences in the First-Class Subjects of Zhejiang</t>
  </si>
  <si>
    <t>This research was funded by Southern Marine Science and Engineering Guangdong Laboratory (Zhuhai), grant number SML2020SP007 and SML2021SP207; the Innovation Group Project of Southern Marine Science and Engineering Guangdong Laboratory (Zhuhai), grant number 311020004 and 311022001; the National Natural Science Foundation of China, grant number 42206005; the open fund of State Key Laboratory of Satellite Ocean Environment Dynamics, Second Institute of Oceanography, MNR, grant number QNHX2309; General scientific research project of Zhejiang Provincial Department of Education, grant number Y202250609; the Open Foundation from Marine Sciences in the First-Class Subjects of Zhejiang, grant number OFMS006.</t>
  </si>
  <si>
    <t>10.3390/rs15092462</t>
  </si>
  <si>
    <t>G2VR2</t>
  </si>
  <si>
    <t>WOS:000987800300001</t>
  </si>
  <si>
    <t>Stevens, H; Rodriguez, ES; Paull, B; Bowie, AR; Chase, Z; Barmuta, LA; Proemse, BC</t>
  </si>
  <si>
    <t>Stevens, Harrison; Rodriguez, Estrella Sanz; Paull, Brett; Bowie, Andrew R.; Chase, Zanna; Barmuta, Leon A.; Proemse, Bernadette C.</t>
  </si>
  <si>
    <t>A fast and simple extraction method for analysing levoglucosan and its isomers in sediments by ion chromatography tandem mass spectrometry</t>
  </si>
  <si>
    <t>ANALYTICAL METHODS</t>
  </si>
  <si>
    <t>ASSISTED EXTRACTION; MOLECULAR MARKERS; VEGETATION; LAKE; CLIMATE; FIRE; AMAZONIA; KINETICS; MATTER; AIR</t>
  </si>
  <si>
    <t>The ability to trace current and past biomass burning events is important for understanding the links between human activity, fire frequency, and climate. One method of tracing biomass burning is to measure the concentrations of certain monosaccharides anhydrides (MAs), specifically levoglucosan (LEV) and its isomers, mannosan (MAN) and galactosan (GAL), which are products of cellulose and hemicellulose pyrolysis. This work presents a simple extraction method allowing for the rapid, sensitive, and selective determination of MAs in sediments. MAs detection was performed using suppressed ion chromatography with electrospray - triple-stage quadrupole tandem mass spectrometry (IC-TSQ-MS). The extraction method involves ultrasound probe sonication using water as the solvent. Extraction time, amplitude, and sonication mode were optimised. Recoveries higher than 86% for all MAs tested were achieved by applying 70% amplitude in continuous mode for 60 s. Analytical performance of the method included instrumental LODs of 0.10, 0.12 and 0.50 mu g L-1 for LEV, MAN and GAL, respectively. No carryover issues, no matrix effect and no co-elution of targeted MAs with other sugars likely present in sediments samples were observed. The developed extraction method was further validated by the analysis of LEV and MAN in NIST (R) 1649b urban dust reference material and the resulting concentrations were in excellent agreement with previously reported values. MAs quantification in 70 lake sediment samples were carried out with concentrations found to range from 0.009 to 0.390 mu g g(-1) for LEV and from 0.009 to 0.194 mu g g(-1) for MAN. Plotting MAs concentrations versus approximate sediment age allowed the reconstruction of recent fire events impacting two locations in the Central Highlands of Tasmania, Australia.</t>
  </si>
  <si>
    <t>[Stevens, Harrison; Barmuta, Leon A.] Univ Tasmania, Sch Nat Sci, Biol Sci, Private Bag 55, Hobart, Tas 7001, Australia; [Rodriguez, Estrella Sanz; Paull, Brett] Univ Tasmania, Australian Ctr Res Separat Sci ACROSS, Sch Nat Sci, Chem, GPO Box 252-75, Hobart, Tas 7001, Australia; [Bowie, Andrew R.; Chase, Zanna; Proemse, Bernadette C.] Univ Tasmania, Inst Marine &amp; Antarctic Studies IMAS, Private Bag 129, Hobart, Tas 7001, Australia; [Bowie, Andrew R.] Univ Tasmania, Antarctic Climate &amp; Ecosyst Cooperat Res Ctr ACE, Private Bag 80, Hobart, Tas 7001, Australia; [Proemse, Bernadette C.] Derwent Estuary Program, 24 Davey St, Hobart, Tas 7000, Australia</t>
  </si>
  <si>
    <t>University of Tasmania; University of Tasmania; University of Tasmania; Antarctic Climate &amp; Ecosystems Cooperative Research Centre (ACE CRC); University of Tasmania</t>
  </si>
  <si>
    <t>Rodriguez, ES (corresponding author), Univ Tasmania, Australian Ctr Res Separat Sci ACROSS, Sch Nat Sci, Chem, GPO Box 252-75, Hobart, Tas 7001, Australia.</t>
  </si>
  <si>
    <t>Estrella.SanzRodriguez@utas.edu.au</t>
  </si>
  <si>
    <t>Chase, Zanna/E-9232-2013; Barmuta, Leon/J-2413-2013</t>
  </si>
  <si>
    <t>Sanz Rodriguez, Estrella/0000-0003-3443-6382; Stevens, Harrison/0000-0002-0955-024X; Barmuta, Leon/0000-0002-8946-3727; paull, brett/0000-0001-6373-6582</t>
  </si>
  <si>
    <t>AINSE Ltd.</t>
  </si>
  <si>
    <t>This research was supported by an AINSE Ltd. Postgraduate Research Award (PGRA). We thank Hydro Tasmania for supplying the sediment core samples from Penstock Lagoon and Little Pine Lagoon. The authors acknowledge Thermo Fisher Scientific for placement of the IC-TSQ instrument within the University of Tasmania to undertake this work. Thanks to Atun Zawadzki, Gabriele Motta, and Sabika Maizma for the sediment 210Pb dating, as part of the Australian Nuclear Science and Technology Organisation Research Portal Proposal AP13286. A big thank you to the associate editor/s and reviewers who took the time to read and edit this work. You have helped make this the best version of itself.</t>
  </si>
  <si>
    <t>1759-9660</t>
  </si>
  <si>
    <t>1759-9679</t>
  </si>
  <si>
    <t>ANAL METHODS-UK</t>
  </si>
  <si>
    <t>Anal. Methods</t>
  </si>
  <si>
    <t>10.1039/d3ay00278k</t>
  </si>
  <si>
    <t>Chemistry, Analytical; Food Science &amp; Technology; Spectroscopy</t>
  </si>
  <si>
    <t>Chemistry; Food Science &amp; Technology; Spectroscopy</t>
  </si>
  <si>
    <t>H7AY6</t>
  </si>
  <si>
    <t>WOS:000989928600001</t>
  </si>
  <si>
    <t>Del Coco, L; Greco, M; Inguscio, A; Munir, A; Danieli, A; Cossa, L; Musarò, D; Coscia, MR; Fanizzi, FP; Maffia, M</t>
  </si>
  <si>
    <t>Del Coco, Laura; Greco, Marco; Inguscio, Alessandra; Munir, Anas; Danieli, Antonio; Cossa, Luca; Musaro, Debora; Coscia, Maria Rosaria; Fanizzi, Francesco Paolo; Maffia, Michele</t>
  </si>
  <si>
    <t>Blood Metabolite Profiling of Antarctic Expedition Members: An 1H NMR Spectroscopy-Based Study</t>
  </si>
  <si>
    <t>hypoxia; winter-over; Antarctica; Concordia base; adaptation; NMR; metabolomics</t>
  </si>
  <si>
    <t>OXYGEN; ADAPTATION; ACID; TRYPTOPHAN; GLUTAMINE; ALTITUDE; CELLS</t>
  </si>
  <si>
    <t>Serum samples from eight participants during the XV winter-over at Concordia base (Antarctic expedition) collected at defined time points, including predeparture, constituted the key substrates for a specific metabolomics study. To ascertain acute changes and chronic adaptation to hypoxia, the metabolic profiles of the serum samples were analyzed using NMR spectroscopy, with principal components analysis (PCA) followed by partial least squares and orthogonal partial least squares discriminant analyses (PLS-DA and OPLS-DA) used as supervised classification methods. Multivariate data analyses clearly highlighted an adaptation period characterized by an increase in the levels of circulating glutamine and lipids, mobilized to supply the body energy needs. At the same time, a reduction in the circulating levels of glutamate and N-acetyl glycoproteins, stress condition indicators, and proinflammatory markers were also found in the NMR data investigation. Subsequent pathway analysis showed possible perturbations in metabolic processes, potentially related to the physiological adaptation, predominantly found by comparing the baseline (at sea level, before mission onset), the base arrival, and the mission ending collected values.</t>
  </si>
  <si>
    <t>[Del Coco, Laura; Greco, Marco; Inguscio, Alessandra; Munir, Anas; Danieli, Antonio; Cossa, Luca; Musaro, Debora; Fanizzi, Francesco Paolo; Maffia, Michele] Univ Salento, Dept Biol &amp; Environm Sci &amp; Technol, Via Lecce Monteroni, I-73100 Lecce, Italy; [Munir, Anas] Univ Salento, Dept Math &amp; Phys E De Giorgi, Via Lecce Arnesano, I-73100 Lecce, Italy; [Coscia, Maria Rosaria] Natl Res Council Italy, Inst Biochem &amp; Cell Biol, Via P Castellino 111, I-80131 Naples, Italy</t>
  </si>
  <si>
    <t>University of Salento; University of Salento; Consiglio Nazionale delle Ricerche (CNR)</t>
  </si>
  <si>
    <t>Fanizzi, FP; Maffia, M (corresponding author), Univ Salento, Dept Biol &amp; Environm Sci &amp; Technol, Via Lecce Monteroni, I-73100 Lecce, Italy.</t>
  </si>
  <si>
    <t>laura.delcoco@unisalento.it; marco.greco@unisalento.it; ale.inguscio@unisalento.it; anas.munir@studenti.unisalento.it; antonio.danieli@unisalento.it; lucagiulio.cossa@unisalento.it; debora.musaro@unisalento.it; mariarosaria.coscia@ibbc.cnr.it; fp.fanizzi@unisalento.it; michele.maffia@unisalento.it</t>
  </si>
  <si>
    <t>Fanizzi, Francesco Paolo/K-5766-2012; Coscia, Maria Rosaria/AAU-1808-2021; Del Coco, Laura/R-2112-2018</t>
  </si>
  <si>
    <t>Fanizzi, Francesco Paolo/0000-0003-3073-5772; Greco, Marco/0000-0002-9228-1158; Del Coco, Laura/0000-0002-4805-7538; Cossa, Luca/0000-0002-1478-7268; MAFFIA, MICHELE/0000-0003-0665-4534; Munir, Anas/0000-0003-3043-8233; Inguscio, Alessandra/0000-0002-3122-1186</t>
  </si>
  <si>
    <t>Ministero dell'Universita e della Ricerca, Rome, Italy [PNRA16_00047]; Concorde Project [PNRA18_0 0071, 20891.21-11-2019]</t>
  </si>
  <si>
    <t>Ministero dell'Universita e della Ricerca, Rome, Italy(Ministry of Education, Universities and Research (MIUR)); Concorde Project</t>
  </si>
  <si>
    <t>This research was funded by Ministero dell'Universita e della Ricerca, Rome, Italy, with grant PNRA16_00047 project-Line A2, assigned to Simone Macri, Istituto Superiore di Sanita, Rome; and the Concorde Project, with grant PNRA18_0 0071_Prot. 20891.21-11-2019, assigned to Michele Samaja, Department of Health Sciences, University of Milan, Milan, Italy.</t>
  </si>
  <si>
    <t>10.3390/ijms24098459</t>
  </si>
  <si>
    <t>G2SJ9</t>
  </si>
  <si>
    <t>WOS:000987714800001</t>
  </si>
  <si>
    <t>Eaves, SR; McColl, ST; Tielidze, LG; Norton, KP; Hopkins, JL; Hidy, AJ</t>
  </si>
  <si>
    <t>Eaves, Shaun R.; McColl, Samuel T.; Tielidze, Levan G.; Norton, Kevin P.; Hopkins, Jenni L.; Hidy, Alan J.</t>
  </si>
  <si>
    <t>The age and potential causes of the giant Green Lake Landslide, Fiordland, New Zealand</t>
  </si>
  <si>
    <t>LANDSLIDES</t>
  </si>
  <si>
    <t>Cosmogenic Be-10; Surface exposure dating; Geochronology; Paleoseismology; Deglaciation; New Zealand</t>
  </si>
  <si>
    <t>SOUTHERN ALPS; SLOPE FAILURES; CLIMATE; VALLEY; BE-10; DEGLACIATION; DEFORMATION; CALIBRATION; EARTHQUAKE; CHRONOLOGY</t>
  </si>
  <si>
    <t>Landslide deposits preserved in the geological record afford opportunities to better inform hillslope and seismic hazard and risk models, particularly in regions where observational records are short. In the Southern Alps of New Zealand, small coseismic landslides are frequent, but the geological record preserves several instances of more substantial (&gt; 1 km(3)) but infrequent mass failures. With an estimated volume of 27 km(3), the giant Green Lake Landslide represents one of the largest subaerial landslides on Earth. Previous work has suggested this deep-seated mass movement was most likely triggered by high-intensity seismic shaking, but that local structural weakness and/or glacial debuttressing may help to explain the anomalously large failure volume. Resolving the potential contribution of the latter is important given predictions concerning alpine deglaciation in the coming decades to centuries. Key to resolution are secure chronologies of landslide emplacement and past glacier change. Here we present in situ cosmogenic Be-10 exposure ages from the Green Lake Landslide that suggest an emplacement age of 15.5 +/- 0.7 ka. Recent work shows that glacial retreat in the region was underway by 19 ka, indicating that the Green Lake Landslide was emplaced 3-4 kyr after the onset of glacier retreat. Given the geometry of the former confining valley glacier, we expect that the deglaciation-landslide age gap is closer to the upper end of this estimate. If correct, this conclusion places greater weight on the roles of local geological structure and/or a great earthquake as factors contributing to the exceptionally large volume of this event.</t>
  </si>
  <si>
    <t>[Eaves, Shaun R.; Tielidze, Levan G.] Victoria Univ Wellington, Antarctic Res Ctr, POB 600, Wellington 6140, New Zealand; [Eaves, Shaun R.; Tielidze, Levan G.; Norton, Kevin P.; Hopkins, Jenni L.] Victoria Univ Wellington, Sch Geog Environm &amp; Earth Sci, POB 600, Wellington 6140, New Zealand; [McColl, Samuel T.] GNS Sci, POB 30-368, Lower Hutt 5040, New Zealand; [Tielidze, Levan G.] Ilia State Univ, Sch Nat Sci &amp; Med, Cholokashvili Ave 3-5, Tbilisi 0162, Georgia; [Hidy, Alan J.] Lawrence Livermore Natl Lab, Ctr Accelerator Mass Spectrometry, 7000 East Ave, Livermore, CA 94550 USA</t>
  </si>
  <si>
    <t>Victoria University Wellington; Victoria University Wellington; GNS Science - New Zealand; Ilia State University; United States Department of Energy (DOE); Lawrence Livermore National Laboratory</t>
  </si>
  <si>
    <t>Eaves, SR (corresponding author), Victoria Univ Wellington, Antarctic Res Ctr, POB 600, Wellington 6140, New Zealand.</t>
  </si>
  <si>
    <t>shaun.eaves@vuw.ac.nz</t>
  </si>
  <si>
    <t>Tielidze, Levan G/E-2690-2018; Norton, Kevin/F-1606-2011</t>
  </si>
  <si>
    <t>Tielidze, Levan G/0000-0002-4646-5458; Norton, Kevin/0000-0002-7995-6464; Hopkins, Jenni/0000-0002-0202-1783; Eaves, Shaun/0000-0003-0444-631X</t>
  </si>
  <si>
    <t>MBIE SSIF Hazards Programme at GNS Science [C05X1702]; CAUL; British Geomorphology Society Early Career Researcher Grant; US Department of Energy by Lawrence Liver-more National Laboratory [DE-AC52-07NA27344]</t>
  </si>
  <si>
    <t>MBIE SSIF Hazards Programme at GNS Science; CAUL; British Geomorphology Society Early Career Researcher Grant; US Department of Energy by Lawrence Liver-more National Laboratory(United States Department of Energy (DOE))</t>
  </si>
  <si>
    <t>Open Access funding enabled and organized by CAUL and its Member Institutions. This work was funded by a British Geomorphology Society Early Career Researcher Grant awarded to S. Eaves. S. McColl was funded by MBIE SSIF Hazards Programme at GNS Science (contract C05X1702). This work was performed in part under the auspices of the US Department of Energy by Lawrence Liver-more National Laboratory under Contract DE-AC52-07NA27344. This is LLNL-JRNL-837730.</t>
  </si>
  <si>
    <t>1612-510X</t>
  </si>
  <si>
    <t>1612-5118</t>
  </si>
  <si>
    <t>Landslides</t>
  </si>
  <si>
    <t>10.1007/s10346-023-02075-x</t>
  </si>
  <si>
    <t>Engineering, Geological; Geosciences, Multidisciplinary</t>
  </si>
  <si>
    <t>P2VN5</t>
  </si>
  <si>
    <t>WOS:000983936800002</t>
  </si>
  <si>
    <t>Shellock, RJ; Maltby, K</t>
  </si>
  <si>
    <t>Shellock, Rebecca Jane; Maltby, Katherine</t>
  </si>
  <si>
    <t>Women Leaders Are Essential for Tackling Ocean Sustainability Challenges</t>
  </si>
  <si>
    <t>FISHERIES</t>
  </si>
  <si>
    <t>SCIENCE; GENDER; FISHERIES</t>
  </si>
  <si>
    <t>[Shellock, Rebecca Jane] Univ Tasmania, Ctr Marine Socioecol, Hobart, Tas 7000, Australia; [Maltby, Katherine] Univ Tasmania, Inst Marine &amp; Antarctic Studies, Hobart, Tas, Australia; [Maltby, Katherine] Gulf Maine Res Inst, Portland, ME 04101 USA</t>
  </si>
  <si>
    <t>University of Tasmania; University of Tasmania; Gulf of Maine Research Institute</t>
  </si>
  <si>
    <t>Maltby, K (corresponding author), Gulf Maine Res Inst, Portland, ME 04101 USA.</t>
  </si>
  <si>
    <t>rebecca.shellock@utas.edu.au; kmaltby@gmri.org</t>
  </si>
  <si>
    <t>Maltby, Katherine/0000-0001-7570-5257</t>
  </si>
  <si>
    <t>0363-2415</t>
  </si>
  <si>
    <t>1548-8446</t>
  </si>
  <si>
    <t>10.1002/fsh.10919</t>
  </si>
  <si>
    <t>L3GC0</t>
  </si>
  <si>
    <t>WOS:000983672400001</t>
  </si>
  <si>
    <t>Neuhaus, SU; Tulaczyk, SM</t>
  </si>
  <si>
    <t>Neuhaus, Sarah U. U.; Tulaczyk, Slawek M. M.</t>
  </si>
  <si>
    <t>Mechanism for the subglacial formation of cryogenic brines</t>
  </si>
  <si>
    <t>Glacier hydrochemistry; ice; ocean interactions; meltwater chemistry</t>
  </si>
  <si>
    <t>SALINE GROUNDWATERS; SUBSURFACE; ORIGIN</t>
  </si>
  <si>
    <t>Cryogenic brines are under-studied, despite the fact that they may contain information about past ice-sheet behavior. Cryogenic brines form through cryoconcentration of seawater, although the specific setting and mechanism of formation have been debated. Previous conceptual models of brine formation require seawater isolation from the ocean in a closed basin experiencing freezing. We propose instead that they may form in pore spaces of marine sediments subjected to repeat cycles of ice-sheet advance and retreat. During periods of basal freezing, cryoconcentration produces hypersaline brines which experience downward flow driven by unstable density stratification. Our advection-diffusion model of porewater chemistry evolution successfully recreates the porewater chemistry of two deep Antarctic cores containing cryogenic brines (AND-1B and AND-2A), suggesting that cryogenic brines can be formed through the repeated isolation and cryoconcentration of marine waters within subglacial sediment pore spaces of modern and past ice sheets.</t>
  </si>
  <si>
    <t>[Neuhaus, Sarah U. U.; Tulaczyk, Slawek M. M.] Univ Calif Santa Cruz, Earth &amp; Planetary Sci, Santa Cruz, CA 95064 USA</t>
  </si>
  <si>
    <t>University of California System; University of California Santa Cruz</t>
  </si>
  <si>
    <t>Neuhaus, SU (corresponding author), Univ Calif Santa Cruz, Earth &amp; Planetary Sci, Santa Cruz, CA 95064 USA.</t>
  </si>
  <si>
    <t>suneuhau@ucsc.edu</t>
  </si>
  <si>
    <t>Tulaczyk, Slawek/O-7375-2018</t>
  </si>
  <si>
    <t>Tulaczyk, Slawek/0000-0002-9711-4332</t>
  </si>
  <si>
    <t>National Science Foundation [1644187, 1745124]</t>
  </si>
  <si>
    <t>Acknowledgements This material is based upon work supported by the National Science Foundation under grant No. 1644187 and 1745124.</t>
  </si>
  <si>
    <t>PII S0260305523000289</t>
  </si>
  <si>
    <t>10.1017/aog.2023.28</t>
  </si>
  <si>
    <t>WOS:000982978800001</t>
  </si>
  <si>
    <t>Lu, CH; Zhong, L; Guan, ZY; Qiao, N</t>
  </si>
  <si>
    <t>Lu, Chuhan; Zhong, Lei; Guan, Zhaoyong; Qiao, Nian</t>
  </si>
  <si>
    <t>Interdecadal variations and causes of the relationship between the winter East Asian monsoon and interhemispheric atmospheric mass oscillation</t>
  </si>
  <si>
    <t>Interhemispheric oscillation; East Asian winter monsoon; Extreme low-temperature events; Polar vortex</t>
  </si>
  <si>
    <t>ARCTIC OSCILLATION; TEMPERATURE; CHINA; CIRCULATION; EVENTS; VARIABILITY; TROPOSPHERE; ANOMALIES; CYCLE</t>
  </si>
  <si>
    <t>The East Asian winter monsoon (EAWM) intensifies in the early twenty-first century and links with frequent impacts of large-scale persistent extreme cold events in winter in East Asia in recent years. We found that there has been a significant positive correlation between the EAWM and Interhemispheric Oscillation (IHO). However, conspicuous interdecadal variations have occurred in the relationship between the EAWM and IHO. The relationship between the IHO and EAWM was most significant during 1979-2020, but this relationship was weak and insignificant during 1962-1978. During 1979-2020, the atmospheric mass (surface pressure) difference between the Northern Hemisphere (NH) and Southern Hemisphere (SH) during 1979-2020 was significantly reduced by 7.85% (0.75 x 10(15) kg) compared with that during 1962-1978. Such interhemispheric redistribution of atmospheric mass (AM) has had a distinct impact on the land-sea pressure contrast in East Asia and has intensified the connection between the EAWM and IHO. A strengthened EAWM has resulted in notable cooling and more severe winters in China. The apparent exportation of AM in the Antarctic region is an important driving factor for this interhemispheric change. The accompanying anomalous accumulation of AM in the NH is linked with an increase in the pressure difference between land and sea in East Asia, resulting in intensifying correlation between IHO and the EAWM. The decadal enhancement of the IHO during 1979-2020 was closely connected with conspicuous warming in the tropical troposphere/lower stratosphere (UTLS). A seesaw pattern of anomalous air temperature and ozone between tropical and Antarctic UTLS has induced a decrease in Antarctic ozone masses and air temperature and has strengthened the polar vortex, corresponding to a decadal enhancement of interhemispheric AM imbalance.</t>
  </si>
  <si>
    <t>[Lu, Chuhan] Wuxi Univ, Key Lab Ecosyst Carbon Source &amp; Sink, China Meteorol Adm ECSS CMA, Wuxi 214063, Peoples R China; [Lu, Chuhan; Zhong, Lei; Guan, Zhaoyong; Qiao, Nian] Nanjing Univ Informat Sci &amp; Technol, Minist Educ, Key Lab Meteorol Disaster, Nanjing 210044, Peoples R China</t>
  </si>
  <si>
    <t>Wuxi University; Nanjing University of Information Science &amp; Technology</t>
  </si>
  <si>
    <t>Lu, CH (corresponding author), Wuxi Univ, Key Lab Ecosyst Carbon Source &amp; Sink, China Meteorol Adm ECSS CMA, Wuxi 214063, Peoples R China.;Lu, CH (corresponding author), Nanjing Univ Informat Sci &amp; Technol, Minist Educ, Key Lab Meteorol Disaster, Nanjing 210044, Peoples R China.</t>
  </si>
  <si>
    <t>luchuhan@nuist.edu.cn</t>
  </si>
  <si>
    <t>LIU, LIYING/KAM-4121-2024; liu, xingyu/JXW-9444-2024; Chen, Yu/JLL-0171-2023; Yang, Fan/JMA-9594-2023; WANG, YING/JLM-9219-2023; yang, zhou/KBB-6972-2024; Li, Wei/JLL-4365-2023; chen, gang/JRX-1197-2023; Li, Xintong/KHD-6915-2024; le, yang/KDN-4058-2024; zhou, you/KBC-3567-2024; chen, bin/KBQ-8114-2024; liu, xiao/JLL-2119-2023</t>
  </si>
  <si>
    <t>chen, bin/0000-0002-3398-1314;</t>
  </si>
  <si>
    <t>National Natural Science Foundation of China [41975073]; National Key Research and Development Program of China [2019YFC1510201]; Shanghai Science Committee [20dz1200401]; Wuxi University Research Start-up Fund for Introduced Talents</t>
  </si>
  <si>
    <t>National Natural Science Foundation of China(National Natural Science Foundation of China (NSFC)); National Key Research and Development Program of China; Shanghai Science Committee; Wuxi University Research Start-up Fund for Introduced Talents</t>
  </si>
  <si>
    <t>This work was supported jointly by the National Natural Science Foundation of China (Grant No. 41975073), the National Key Research and Development Program of China (Grant No. 2019YFC1510201), Shanghai Science Committee (20dz1200401) and Wuxi University Research Start-up Fund for Introduced Talents</t>
  </si>
  <si>
    <t>10.1007/s00382-023-06810-x</t>
  </si>
  <si>
    <t>WOS:000983874100001</t>
  </si>
  <si>
    <t>Yoshida, M; Goto, SG</t>
  </si>
  <si>
    <t>Yoshida, Mizuki; Goto, Shin G.</t>
  </si>
  <si>
    <t>Thermal responses of the embryos and early instar larvae of the Antarctic midge Belgica antarctica (Insecta: Diptera)</t>
  </si>
  <si>
    <t>Antarctic midge; Developmental rate; Embryo; Hatchability; Stress tolerance; Supercooling point</t>
  </si>
  <si>
    <t>FREEZING TOLERANCE; STRESS TOLERANCE; DEHYDRATION; CHIRONOMIDAE; EXPRESSION; PHENOLOGY</t>
  </si>
  <si>
    <t>The Antarctic midge, Belgica antarctica, is the only insect that is endemic to the Antarctic Peninsula and its offshore islands. The final (fourth) instar larvae exhibit high inherent thermal tolerance to short-term temperature exposure, and many studies have focused on the underlying molecular physiological mechanisms of their thermal tolerance. In contrast, the thermal strategy of embryos has received little attention, and the effects of long-term thermal exposure on newly hatched larvae have not been investigated. The present study reports that the average supercooling point of egg masses was - 4.7 degrees C and that the first instar larvae successfully emerged from the frozen egg masses. The embryos also demonstrated significant heat tolerance and the first instar larvae successfully emerged from the egg masses kept at temperatures ranging from 0 to 15 degrees C. These indicate that embryos have sufficient tolerance to cold and heat during Antarctic summer. Interestingly, the first instar larvae developed into fourth instar larvae at 4 degrees C, but not at other temperatures. Early instar larvae have a narrow temperature window for their development, suggesting that they are susceptible to environmental changes.</t>
  </si>
  <si>
    <t>[Yoshida, Mizuki; Goto, Shin G.] Osaka City Univ, Grad Sch Sci, 3-3-138 Sugimoto,Sumiyoshi Ku, Osaka 5588585, Japan; [Goto, Shin G.] Osaka Metropolitan Univ, Grad Sch Sci, Osaka, Japan</t>
  </si>
  <si>
    <t>Osaka Metropolitan University; Osaka Metropolitan University</t>
  </si>
  <si>
    <t>Goto, SG (corresponding author), Osaka City Univ, Grad Sch Sci, 3-3-138 Sugimoto,Sumiyoshi Ku, Osaka 5588585, Japan.;Goto, SG (corresponding author), Osaka Metropolitan Univ, Grad Sch Sci, Osaka, Japan.</t>
  </si>
  <si>
    <t>shingoto@omu.ac.jp</t>
  </si>
  <si>
    <t>Goto, Shin G/K-2614-2015</t>
  </si>
  <si>
    <t>Goto, Shin G/0000-0002-4431-7531; Yoshida, Mizuki/0000-0002-3842-8577</t>
  </si>
  <si>
    <t>JST SPRING [JPMJSP2139]</t>
  </si>
  <si>
    <t>JST SPRING</t>
  </si>
  <si>
    <t>AcknowledgementsThis work was supported by the JST SPRING (Grant No. JPMJSP2139). We are grateful to Drs. D. L. Denlinger and R. E. Lee for providing insects for us and advising us on this study. We thank Dr. K. Soga for allowing us to use the illuminometer. We also thank Editage (http://www.editage.co.jp) for English editing.</t>
  </si>
  <si>
    <t>10.1007/s00300-023-03142-8</t>
  </si>
  <si>
    <t>WOS:000983011100001</t>
  </si>
  <si>
    <t>Nicklas, RW; Day, JMD; Váci, Z; Ren, MH; Gardner-Vandy, KG; Tait, KT</t>
  </si>
  <si>
    <t>Nicklas, Robert W.; Day, James M. D.; Vaci, Zoltan; Ren, Minghua; Gardner-Vandy, Kathryn G.; Tait, Kimberly T.</t>
  </si>
  <si>
    <t>Highly siderophile element fractionation during chondrite melting inferred from olivine-rich primitive achondrites</t>
  </si>
  <si>
    <t>Primitive achondrites; Brachinites; Highly siderophile elements; Osmium isotopes; Partial melting</t>
  </si>
  <si>
    <t>PLATINUM-GROUP ELEMENTS; DIFFERENTIATION; PLANETESIMALS; BRACHINITES; SEPARATION; XENOLITHS; RESIDUES; ISOTOPE; ORIGINS; OSMIUM</t>
  </si>
  <si>
    <t>Metal-silicate segregation is one of the most fundamental mechanisms in planetary differentiation, with primitive achondrites offering important constraints on this process. Brachinites and brachinite-like achondrites (BLA) are olivine-dominated primitive achondrites that experienced up to -20% partial melt removal under relatively oxidized (Delta IW - -1) conditions within an initially chondritic parent body and represent residues after inefficient metal-loss. We present bulk rock and in situ lithophile and highly siderophile element (HSE) abundance systematics as well as 187Re-187Os data for five olivine-rich primitive achondrites. These new data confirm classification of Reid 013 as a brachinite, three of the samples as BLA (Northwest Africa [NWA] 6874, NWA 7499, and Miller Range 090805), and the final sample as an ungrouped primitive olivine-rich achondrite (NWA 7680). An aliquot of MIL 090805 shows amongst the highest total HSE contents (&gt;35 ppm) and the highest Pt content (-23 ppm) of any primitive achondrite. Compiled HSE data for brachinites and BLA show correlations between total HSE abundance, Pt enrichment, and average olivine Fo. This correlation can be explained by variable melting (-10-20%) of an H ordinary chondrite-like protolith, with retention of both Fe-metal and a Ptrich alloy phase distinct from the observed Fe-metal phases in more depleted residues. Such a Pt-alloy phase is likely stabilized by elevated abundances of the HSE during chondrite melting and the low solubility of HSE in melts. Rhenium-Os isotope data in the studied samples has been modified by recent mobilization of Re during terrestrial weathering, with the limited range of measured 187Os/188Os in brachinites and BLA supporting minor fractionation of Re/Os during melting and an ancient (-4.5 Ga) partial melting event to explain their compositions. These results indicate that models of planetary differentiation should consider the low solubility of Pt in chondrite melts and the potential for alloy formation to modify HSE abundances of silicate mantles.</t>
  </si>
  <si>
    <t>[Nicklas, Robert W.; Day, James M. D.] Univ Calif San Diego, Scripps Inst Oceanog, La Jolla, CA 92093 USA; [Nicklas, Robert W.] Boston Coll, Dept Earth &amp; Environm Sci, Chestnut Hill, MA 02467 USA; [Vaci, Zoltan] Washington Univ St Louis, Dept Earth &amp; Planetary Sci, St Louis, MO 63130 USA; [Ren, Minghua] Univ Nevada, Dept Geosci, Las Vegas, NV 89154 USA; [Gardner-Vandy, Kathryn G.] Oklahoma State Univ, Aviat &amp; Space, Stillwater, OK 74078 USA; [Tait, Kimberly T.] Royal Ontario Museum, Dept Nat Hist, Toronto, ON M5S 2C6, Canada</t>
  </si>
  <si>
    <t>University of California System; University of California San Diego; Scripps Institution of Oceanography; Boston College; Washington University (WUSTL); Nevada System of Higher Education (NSHE); University of Nevada Las Vegas; Oklahoma State University System; Oklahoma State University - Stillwater; Royal Ontario Museum</t>
  </si>
  <si>
    <t>Nicklas, RW (corresponding author), Boston Coll, Dept Earth &amp; Environm Sci, Chestnut Hill, MA 02467 USA.</t>
  </si>
  <si>
    <t>rwnicklas@ucsd.edu</t>
  </si>
  <si>
    <t>Day, James/A-5099-2010</t>
  </si>
  <si>
    <t>Day, James/0000-0001-9520-3465; Tait, Kimberly/0000-0001-5403-2727; Gardner-Vandy, Kathryn/0000-0002-0244-3417</t>
  </si>
  <si>
    <t>NASA Emerging Worlds program award [80NSSC19K0932]; NSF; NASA</t>
  </si>
  <si>
    <t>NASA Emerging Worlds program award; NSF(National Science Foundation (NSF)); NASA(National Aeronautics &amp; Space Administration (NASA))</t>
  </si>
  <si>
    <t>Financial support to do this work came from the NASA Emerging Worlds program award (80NSSC19K0932) to JMDD. The Meteoritics Working Group and the Institute of Meteoritics at the University of New Mexico are both thanked for their provision of samples to this study.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The comments of the Editor-in-chief, Dr. Jeffrey Catalano, the associate editor Dr. Jingao Liu and three anonymous reviewers greatly improved a previous version of this manuscript.</t>
  </si>
  <si>
    <t>10.1016/j.gca.2023.04.019</t>
  </si>
  <si>
    <t>I3EE6</t>
  </si>
  <si>
    <t>WOS:001001637600001</t>
  </si>
  <si>
    <t>Vera-Escalona, I; Gimenez, LH; Brante, A</t>
  </si>
  <si>
    <t>Vera-Escalona, Ivan; Gimenez, Lucas H.; Brante, Antonio</t>
  </si>
  <si>
    <t>Short-Term and Long-Term Predictions: Is the Green Crab Carcinus maenas a Threat to Antarctica and Southern South America under a Climate-Change Scenario?</t>
  </si>
  <si>
    <t>invasive species; green crab; climate change</t>
  </si>
  <si>
    <t>BIOLOGICAL INVASIONS; DISPERSAL; CONSEQUENCES; PORTUNIDAE; RESOURCE; DECAPODA; IMPACTS; LESSONS; MODELS; RANGE</t>
  </si>
  <si>
    <t>Non-native species can have profound implications on the survival of native ones. This is especially true for some invasive crabs, such as the green crab Carcinus maenas, a native species to the Northern Hemisphere that has been introduced into southern Argentina, from where it could expand through Argentina, Chile, and the Antarctic Peninsula. Hence, there is interest in forecasting changes in C. maenas habitat suitability through time to predict if potential future invasions might occur. Here, by using a Species Distribution Model (SDM) approach, we estimated the habitat suitability for C. maenas along southern South America and the Antarctic Peninsula under two future climate-change scenarios. Our results reveal that under current conditions, habitat suitability for C. maenas along the Antarctic Peninsula is null and very restricted in Argentina and Chile. Habitat suitability along the Antarctic Peninsula remained null in the short-term (30 years) and long-term future (80 years), despite the climate-change scenario considered. Surprisingly, when considering future conditions, habitat suitability along the coast of Argentina and Chile decreased and became nil for some currently occupied locations. Thus, the SDM results suggest that climate change could have a negative effect on the habitat suitability of C. maenas leading to potential local extinctions.</t>
  </si>
  <si>
    <t>[Vera-Escalona, Ivan; Gimenez, Lucas H.; Brante, Antonio] Univ Catolica Santisima Concepcion, Fac Ciencias, Dept Ecol, Concepcion 4090541, Chile; [Vera-Escalona, Ivan; Brante, Antonio] Univ Catolica Santisima Concepcion, Ctr Invest Biodivers &amp; Ambientes Sustentables CIBA, Concepcion 4090541, Chile</t>
  </si>
  <si>
    <t>Universidad Catolica de la Santisima Concepcion; Universidad Catolica de la Santisima Concepcion</t>
  </si>
  <si>
    <t>Vera-Escalona, I (corresponding author), Univ Catolica Santisima Concepcion, Fac Ciencias, Dept Ecol, Concepcion 4090541, Chile.;Vera-Escalona, I (corresponding author), Univ Catolica Santisima Concepcion, Ctr Invest Biodivers &amp; Ambientes Sustentables CIBA, Concepcion 4090541, Chile.</t>
  </si>
  <si>
    <t>ivera@ucsc.cl</t>
  </si>
  <si>
    <t>Gimenez, Lucas H./AAO-8385-2021; Vera-Escalona, Ivan/G-9242-2019</t>
  </si>
  <si>
    <t>Gimenez, Lucas H./0000-0003-1473-9810; Vera-Escalona, Ivan/0000-0002-2452-6694; Brante, Antonio/0000-0002-2699-9700</t>
  </si>
  <si>
    <t>FONDECYT [1230158]; [3190489]</t>
  </si>
  <si>
    <t>FONDECYT(Comision Nacional de Investigacion Cientifica y Tecnologica (CONICYT)CONICYT FONDECYT);</t>
  </si>
  <si>
    <t>Ivan Vera-Escalona was funded by FONDECYT 3190489. Antonio Brante was funded by FONDECYT 1230158.</t>
  </si>
  <si>
    <t>MAY 6</t>
  </si>
  <si>
    <t>10.3390/d15050632</t>
  </si>
  <si>
    <t>H6RV6</t>
  </si>
  <si>
    <t>WOS:000997221000001</t>
  </si>
  <si>
    <t>Bentley, MJ; Smith, JA; Jamieson, SSR; Lindeman, MR; Rea, BR; Humbert, A; Lane, TP; Darvill, CM; Lloyd, JM; Straneo, F; Helm, V; Roberts, DH</t>
  </si>
  <si>
    <t>Bentley, Michael J.; Smith, James A.; Jamieson, Stewart S. R.; Lindeman, Margaret R.; Rea, Brice R.; Humbert, Angelika; Lane, Timothy P.; Darvill, Christopher M.; Lloyd, Jeremy M.; Straneo, Fiamma; Helm, Veit; Roberts, David H.</t>
  </si>
  <si>
    <t>Direct measurement of warm Atlantic Intermediate Water close to the grounding line of Nioghalvfjerdsfjorden (79° N) Glacier, northeast Greenland</t>
  </si>
  <si>
    <t>ICE SHELF; EPISHELF LAKES; RETREAT; CAVITY; OCEAN; DYNAMICS; HISTORY</t>
  </si>
  <si>
    <t>The Northeast Greenland Ice Stream has recently seen significant change to its floating margins and has been identified as vulnerable to future climate warming. Inflow of warm Atlantic Intermediate Water (AIW) from the continental shelf has been observed in the vicinity of the Nioghalvfjerdsfjorden (79 degrees N) Glacier calving front, but AIW penetration deep into the ice shelf cavity has not been observed directly. Here, we report temperature and salinity measurements from profiles in an epishelf lake, which provide the first direct evidence of AIW proximal to the grounding line of 79ffi N Glacier, over 50 km from the calving front. We also report evidence for partial un-grounding of the margin of 79ffi N Glacier taking place at the western end of the epishelf lake. Comparison of our measurements to those close to the calving front shows that AIW transits the cavity to reach the grounding line within a few months. The observations provide support for modelling studies that infer AIW-driven basal melt proximal to the grounding line and demonstrate that offshore oceanographic changes can be rapidly transmitted throughout the sub-ice-shelf cavity, with implications for near-future stability of the ice stream.</t>
  </si>
  <si>
    <t>[Bentley, Michael J.; Jamieson, Stewart S. R.; Roberts, David H.] Univ Durham, Dept Geog, South Rd, Durham DH1 3LE, England; [Smith, James A.] British Antarctic Survey, Madingley Rd, Cambridge CB3 0ET, England; [Lindeman, Margaret R.] Univ Calif San Diego, Scripps Inst Oceanog, San Diego, CA USA; [Lindeman, Margaret R.] Univ Southampton, Natl Oceanog Ctr Southampton, Sch Ocean &amp; Earth Sci, Southampton SO14 3ZH, England; [Rea, Brice R.] Univ Aberdeen, Sch Geosci, Geog &amp; Environm, Elphinstone Rd, Aberdeen AB24 3UF, Scotland; [Humbert, Angelika; Helm, Veit] Helmholtz Zentrum Polar &amp; Meeresforsch, Alfred Wegener Inst, Bremerhaven, Germany; [Humbert, Angelika] Univ Bremen, Fac Geosci, Bremen, Germany; [Lane, Timothy P.] Liverpool John Moores Univ, Sch Biol &amp; Environm Sci, Liverpool L3 3AF, Merseyside, England; [Darvill, Christopher M.] Univ Manchester, Dept Geog, Oxford Rd, Manchester M13 9PL, England</t>
  </si>
  <si>
    <t>Durham University; UK Research &amp; Innovation (UKRI); Natural Environment Research Council (NERC); NERC British Antarctic Survey; University of California System; University of California San Diego; Scripps Institution of Oceanography; University of Southampton; NERC National Oceanography Centre; University of Aberdeen; Helmholtz Association; Alfred Wegener Institute, Helmholtz Centre for Polar &amp; Marine Research; University of Bremen; Liverpool John Moores University; University of Manchester</t>
  </si>
  <si>
    <t>Bentley, MJ (corresponding author), Univ Durham, Dept Geog, South Rd, Durham DH1 3LE, England.</t>
  </si>
  <si>
    <t>m.j.bentley@durham.ac.uk</t>
  </si>
  <si>
    <t>; Bentley, Michael/F-7386-2011</t>
  </si>
  <si>
    <t>Lindeman, Margaret Ruth/0000-0003-1737-4861; Rea, Brice/0000-0002-9928-145X; Straneo, Fiammetta/0000-0002-1735-2366; Lane, Timothy/0000-0002-7116-9976; Bentley, Michael/0000-0002-2048-0019</t>
  </si>
  <si>
    <t>Natural Environment Research Council [NE/N011228/1]; NERC [NE/N011228/1] Funding Source: UKRI</t>
  </si>
  <si>
    <t>This research has been supported by the Natural Environment Research Council (grant no. NE/N011228/1).</t>
  </si>
  <si>
    <t>MAY 5</t>
  </si>
  <si>
    <t>10.5194/tc-17-1821-2023</t>
  </si>
  <si>
    <t>F4MX2</t>
  </si>
  <si>
    <t>Green Submitted, Green Accepted, gold, Green Published</t>
  </si>
  <si>
    <t>WOS:000982115600001</t>
  </si>
  <si>
    <t>Sonnewald, M; Reeve, KA; Lguensat, R</t>
  </si>
  <si>
    <t>Sonnewald, Maike; Reeve, Krissy Anne; Lguensat, Redouane</t>
  </si>
  <si>
    <t>A Southern Ocean supergyre as a unifying dynamical framework identified by physics-informed machine learning</t>
  </si>
  <si>
    <t>ANTARCTIC CIRCUMPOLAR CURRENT; WEDDELL GYRE; WATER MASSES; OVERTURNING CIRCULATION; CONTINENTAL-SLOPE; TRANSPORT; DEEP; SEA; VARIABILITY; VOLUME</t>
  </si>
  <si>
    <t>Southern Ocean circulation can be viewed as a supergyre-several inter-connected, leaky sub-gyres-as opposed to isolated gyres in the Weddell and Ross Seas, according to new analysis using machine learning techniques The Southern Ocean closes the global overturning circulation and is key to the regulation of carbon, heat, biological production, and sea level. However, the dynamics of the general circulation and upwelling pathways remain poorly understood. Here, a physics-informed unsupervised machine learning framework using principled constraints is used. A unifying framework is proposed invoking a semi-circumpolar supergyre south of the Antarctic circumpolar current: a massive series of leaking sub-gyres spanning the Weddell and Ross seas that are connected and maintained via rough topography that acts as scaffolding. The supergyre framework challenges the conventional view of having separate circulation structures in the Weddell and Ross seas and suggests that idealized models and zonally-averaged frameworks may be of limited utility for climate applications. Machine learning was used to reveal areas of coherent driving forces within a vorticity-based analysis. Predictions from the supergyre framework are supported by available observations and could aid observational and modelling efforts to study this climatologically key region undergoing rapid change.</t>
  </si>
  <si>
    <t>[Sonnewald, Maike] Princeton Univ, Princeton, NJ 08544 USA; [Sonnewald, Maike] Univ Washington, Seattle, WA 98195 USA; [Sonnewald, Maike] NOAA, Geophys Fluid Dynam Lab, Princeton, NJ 08540 USA; [Reeve, Krissy Anne] Alfred Wegener Inst Helmholtz, Zent Polar &amp; Marine Res, Bremerhaven, Germany; [Lguensat, Redouane] Sorbonne Univ, Inst Pierre Simon Laplace, IRD, Paris, France</t>
  </si>
  <si>
    <t>Princeton University; University of Washington; University of Washington Seattle; National Oceanic Atmospheric Admin (NOAA) - USA; Helmholtz Association; Alfred Wegener Institute, Helmholtz Centre for Polar &amp; Marine Research; Universite Paris Saclay; Institut de Recherche pour le Developpement (IRD); Centre National de la Recherche Scientifique (CNRS); CNRS - National Institute for Earth Sciences &amp; Astronomy (INSU); Sorbonne Universite; Universite Paris Cite</t>
  </si>
  <si>
    <t>Sonnewald, M (corresponding author), Princeton Univ, Princeton, NJ 08544 USA.;Sonnewald, M (corresponding author), Univ Washington, Seattle, WA 98195 USA.;Sonnewald, M (corresponding author), NOAA, Geophys Fluid Dynam Lab, Princeton, NJ 08540 USA.</t>
  </si>
  <si>
    <t>maikes@princeton.edu</t>
  </si>
  <si>
    <t>Lguensat, Redouane/HIU-0421-2022</t>
  </si>
  <si>
    <t>Lguensat, Redouane/0000-0003-0226-9057; Sonnewald, Maike/0000-0002-5136-9604; Reeve, Krissy Anne/0000-0001-5615-8040</t>
  </si>
  <si>
    <t>National Oceanic and Atmospheric Administration, U.S. Department of Commerce [NA18OAR4320123]; Deutsche Forschungsgemeinschaft Schwerpunktprogramm [424330345]</t>
  </si>
  <si>
    <t>National Oceanic and Atmospheric Administration, U.S. Department of Commerce(National Oceanic Atmospheric Admin (NOAA) - USA); Deutsche Forschungsgemeinschaft Schwerpunktprogramm(German Research Foundation (DFG))</t>
  </si>
  <si>
    <t>The authors are grateful for valuable discussions with S. Griffies, V. Balaji, A. Adcroft, L. Talley, Y. Nakayama, D. Jones, J. Deshayes, I. Rosso., E. Wilson and A. Thompson. We are grateful to Y. Cho who offered assistance with Figs. 2 and 8. MS funding: Cooperative Institute for Modelling the Earth System, Princeton University, under Award NA18OAR4320123 from the National Oceanic and Atmospheric Administration, U.S. Department of Commerce. The statements, findings, conclusions, and recommendations are those of the authors and do not necessarily reflect the views of Princeton University, the National Oceanic and Atmospheric Administration, or the U.S. Department of Commerce. RL funding: The Make Our Planet Great Again (MOPGA) funding from the Agence National de Recherche under the Investissements d'avenir programme with the reference ANR-17-MPGA-0010. KAR funding: Project WedUP: Weddell Gyre Upwelling and Dynamical Processes funded by the Deutsche Forschungsgemeinschaft Schwerpunktprogramm SPP1158 Antarktisforschung, with grant number 424330345.</t>
  </si>
  <si>
    <t>10.1038/s43247-023-00793-7</t>
  </si>
  <si>
    <t>F6EY1</t>
  </si>
  <si>
    <t>WOS:000983267400001</t>
  </si>
  <si>
    <t>Angulo-Preckler, C; Turon, M; Praebel, K; Avila, C; Wangensteen, OS</t>
  </si>
  <si>
    <t>Angulo-Preckler, Carlos; Turon, Marta; Praebel, Kim; Avila, Conxita; Wangensteen, Owen S.</t>
  </si>
  <si>
    <t>Spatio-temporal patterns of eukaryotic biodiversity in shallow hard-bottom communities from the West Antarctic Peninsula revealed by DNA metabarcoding</t>
  </si>
  <si>
    <t>DIVERSITY AND DISTRIBUTIONS</t>
  </si>
  <si>
    <t>benthic invertebrates; bulk DNA; community DNA; community ecology; eukaryotic; metabarcoding; Southern Ocean</t>
  </si>
  <si>
    <t>DECEPTION ISLAND; BENTHIC COMMUNITIES; ENVIRONMENTAL DNA; ICE-SCOUR; MARINE; DIVERSITY; DISTURBANCE; INVERTEBRATES; ABUNDANCE; RECOVERY</t>
  </si>
  <si>
    <t>Aim: We studied molecular eukaryotic biodiversity patterns in shallow hard-bottom Antarctic benthic communities using community DNA metabarcoding. Polar ecosystems are extremely exposed to climate change, and benthic macroinvertebrate communities have demonstrated rapid response to a range of natural and anthropogenic pressures. However, these rich and diverse ecosystems are poorly studied, revealing how little is known about the biodiversity of the Antarctic benthos associated with hard-bottom habitats.Location: West Antarctic Peninsula and South Shetland Islands.Methods: Using data collected in seven localities along the western Antarctic Peninsula, we calculated spatial patterns of alpha and beta diversities. Furthermore, we analysed temporal changes in benthic composition in one location (Deception Island) over 3 years. We calculated the temporal alpha and beta diversities to reveal changes in this community over time.Results: We obtained a final list of 2057 molecular operational taxonomic units. We found significant differences in benthic community composition between localities and among years. Our dataset revealed a total of 10 different kingdom-level lineages and 34 different phyla in the samples. The most diverse phylum was Arthropoda, followed by Bacillariophyta, and Annelida, while the highest relative read abundances belonged to Annelida, Porifera and Echinodermata. Benthic community compositions changed between 2016 and 2018 in Deception Island, and decreasing species richness was the main component of temporal beta diversity.Main Conclusions: Direct sampling methods are required for monitoring these complex communities. Informative biodiversity patterns can be retrieved even though most of the benthic biodiversity found in Antarctic habitats is yet to be taxonomically described and barcoded. Hard-bottom assemblages exhibit high spatial variability and heterogeneity, not related to depth, which represent a huge challenge for large-scale studies in the Southern Ocean. Local patchiness and structure within these communities are probably a consequence of a combination of several biotic and abiotic factors (i.e. ice disturbance, food supply and competition).</t>
  </si>
  <si>
    <t>[Angulo-Preckler, Carlos; Turon, Marta; Praebel, Kim; Wangensteen, Owen S.] UiT Arctic Univ Norway, Norwegian Coll Fishery Sci, Tromso, Norway; [Angulo-Preckler, Carlos] King Abdullah Univ Sci &amp; Technol KAUST, Marine Sci Program, Biol &amp; Environm Sci &amp; Engn Div, Thuwal, Saudi Arabia; [Angulo-Preckler, Carlos] King Abdullah Univ Sci &amp; Technol KAUST, Red Sea Res Ctr RSRC, Thuwal, Saudi Arabia; [Praebel, Kim] Inland Norway Univ Appl Sci, Dept Forestry &amp; Wildlife Management, Elverum Campus Evens, Norway; [Avila, Conxita] Univ Barcelona, Ecol Environm Sci &amp; Biodivers Res Inst IrBIO, Fac Biol, Dept Evolutionary Biol, Catalonia, Spain</t>
  </si>
  <si>
    <t>UiT The Arctic University of Tromso; King Abdullah University of Science &amp; Technology; King Abdullah University of Science &amp; Technology; Inland Norway University of Applied Sciences; University of Barcelona</t>
  </si>
  <si>
    <t>Angulo-Preckler, C (corresponding author), UiT Arctic Univ Norway, Norwegian Coll Fishery Sci, Tromso, Norway.</t>
  </si>
  <si>
    <t>carlospreckler@hotmail.com</t>
  </si>
  <si>
    <t>Angulo_Preckler, Carlos/A-6456-2011; Wangensteen, Owen S./E-3559-2018; Praebel, Kim/A-2844-2014</t>
  </si>
  <si>
    <t>Angulo_Preckler, Carlos/0000-0001-9028-274X; Wangensteen, Owen S./0000-0001-5593-348X; Praebel, Kim/0000-0002-0681-1854</t>
  </si>
  <si>
    <t>Ministerio de Ciencia y Tecnologia; Universitetet i Tromso; Ramon Areces Foundation</t>
  </si>
  <si>
    <t>Ministerio de Ciencia y Tecnologia(Spanish Government); Universitetet i Tromso; Ramon Areces Foundation</t>
  </si>
  <si>
    <t>1366-9516</t>
  </si>
  <si>
    <t>1472-4642</t>
  </si>
  <si>
    <t>DIVERS DISTRIB</t>
  </si>
  <si>
    <t>Divers. Distrib.</t>
  </si>
  <si>
    <t>10.1111/ddi.13703</t>
  </si>
  <si>
    <t>J4PC0</t>
  </si>
  <si>
    <t>WOS:000982296200001</t>
  </si>
  <si>
    <t>Zhang, XR; Liang, YT; Zheng, KY; Wang, ZY; Dong, Y; Liu, YD; Ren, LY; Wang, HM; Han, Y; McMinn, A; Sung, YY; Mok, WJ; Wong, LL; He, JF; Wang, M</t>
  </si>
  <si>
    <t>Zhang, Xinran; Liang, Yantao; Zheng, Kaiyang; Wang, Ziyue; Dong, Yue; Liu, Yundan; Ren, Linyi; Wang, Hongmin; Han, Ying; McMinn, Andrew; Sung, Yeong Yik; Mok, Wen Jye; Wong, Li Lian; He, Jianfeng; Wang, Min</t>
  </si>
  <si>
    <t>Characterization and genomic analysis of phage vB_ValR_NF, representing a new viral family prevalent in the Ulva prolifera blooms</t>
  </si>
  <si>
    <t>Vibrio phage; siphovirus; Ulva prolifera blooms; genomic and phylogenetic analysis; bacteriophage therapy</t>
  </si>
  <si>
    <t>YELLOW SEA; EUKARYOTES; VIRUSES; DEHYDROGENASE; SUPERFAMILY; INFECTION; SEQUENCE; INSIGHTS; ELEMENTS; THERAPY</t>
  </si>
  <si>
    <t>IntroductionVibrio is an important bacterial genus containing many pathogenic species. Although more and more Vibrio phages were isolated, the genome, ecology and evolution of Vibrio phages and their roles in bacteriophage therapy, have not been fully revealed. MethodsNovel Vibrio phage vB_ValR_NF infecting Vibrio alginolyticus was isolated from the coastal waters of Qingdao during the Ulva prolifera blooms, Characterization and genomic feature of phage vB_ValR_NF has been analysed using phage isolation, sequencing and metagenome method. Results and DiscussionPhage vB_ValR_NF has a siphoviral morphology (icosahedral head 114 +/- 1 nm in diameter; a tail length of 231 +/- 1 nm), a short latent period (30 minutes) and a large burst size (113 virions per cell), and the thermal/pH stability study showed that phage vB_ValR_NF was highly tolerant to a range of pHs (4-12) and temperatures (-20 - 45 degrees C), respectively. Host range analysis suggests that phage vB_ValR_NF not only has a high inhibitory ability against the host strain V. alginolyticus, but also can infect 7 other Vibrio strains. In addition, the phage vB_ValR_NF has a double-stranded 44, 507 bp DNA genome, with 43.10 % GC content and 75 open reading frames. Three auxiliary metabolic genes associated with aldehyde dehydrogenase, serine/threonine protein phosphatase and calcineurin-like phosphoesterase were predicted, might help the host V. alginolyticus occupy the survival advantage, thus improving the survival chance of phage vB_ValR_NF under harsh conditions. This point can be supported by the higher abundance of phage vB_ValR_NF during the U. prolifera blooms than in other marine environments. Further phylogenetic and genomic analysis shows that the viral group represented by Vibrio phage vB_ValR_NF is different from other well-defined reference viruses, and can be classified into a new family, named Ruirongviridae. In general, as a new marine phage infecting V. alginolyticus, phage vB_ValR_NF provides basic information for further molecular research on phage-host interactions and evolution, and may unravel a novel insight into changes in the community structure of organisms during the U. prolifera blooms. At the same time, its high tolerance to extreme conditions and excellent bactericidal ability will become important reference factors when evaluating the potential of phage vB_ValR_NF in bacteriophage therapy in the future.</t>
  </si>
  <si>
    <t>[Zhang, Xinran; Liang, Yantao; Zheng, Kaiyang; Wang, Ziyue; Dong, Yue; Liu, Yundan; Ren, Linyi; Wang, Hongmin; Han, Ying; McMinn, Andrew; Wang, Min] Ocean Univ China, Inst Evolut &amp; Marine Biodivers, Coll Marine Life Sci, Frontiers Sci Ctr Deep Ocean Multispheres &amp; Earth, Qingdao, Peoples R China; [Zhang, Xinran; He, Jianfeng] Polar Res Inst China, MNR Key Lab Polar Sci, Antarctic Great Wall Ecol Natl Observat &amp; Res Stn, Shanghai, Peoples R China; [Liang, Yantao; Sung, Yeong Yik; Mok, Wen Jye; Wong, Li Lian; Wang, Min] UMT OUC Joint Ctr Marine Studies, Qingdao, Peoples R China; [McMinn, Andrew] Univ Tasmania, Inst Marine &amp; Antarctic Studies, Hobart, Tas, Australia; [Sung, Yeong Yik; Mok, Wen Jye; Wong, Li Lian] Univ Malaysia Terengganu, Inst Marine Biotechnol, Kuala Terengganu, Malaysia; [He, Jianfeng] Tongji Univ, Coll Environm Sci &amp; Engn, Shanghai, Peoples R China; [Wang, Min] Ocean Univ China, Haide Coll, Qingdao, Peoples R China; [Wang, Min] Qingdao Univ, Affiliated Hosp, Qingdao, Peoples R China</t>
  </si>
  <si>
    <t>Ocean University of China; Polar Research Institute of China; University of Tasmania; Universiti Malaysia Terengganu; Tongji University; Ocean University of China; Qingdao University</t>
  </si>
  <si>
    <t>Liang, YT; Wang, M (corresponding author), Ocean Univ China, Inst Evolut &amp; Marine Biodivers, Coll Marine Life Sci, Frontiers Sci Ctr Deep Ocean Multispheres &amp; Earth, Qingdao, Peoples R China.;He, JF (corresponding author), Polar Res Inst China, MNR Key Lab Polar Sci, Antarctic Great Wall Ecol Natl Observat &amp; Res Stn, Shanghai, Peoples R China.;Liang, YT; Wang, M (corresponding author), UMT OUC Joint Ctr Marine Studies, Qingdao, Peoples R China.;He, JF (corresponding author), Tongji Univ, Coll Environm Sci &amp; Engn, Shanghai, Peoples R China.;Wang, M (corresponding author), Ocean Univ China, Haide Coll, Qingdao, Peoples R China.;Wang, M (corresponding author), Qingdao Univ, Affiliated Hosp, Qingdao, Peoples R China.</t>
  </si>
  <si>
    <t>liangyantao@ouc.edu.cn; hejianfeng@pric.org.cn; mingwang@ouc.edu.cn</t>
  </si>
  <si>
    <t>Mok, Wen Jye/AAF-9229-2019; yang, zhou/KBB-6972-2024; chen, bin/KBQ-8114-2024; zhou, yuwei/KHD-4127-2024; Han, Yang/JVN-5921-2024; Wang, Yibin/KEZ-9645-2024; WONG, LI LIAN/ABE-1887-2022; Wang, Chen/JZE-6385-2024; li, jixiang/JXN-7599-2024; Wang, Min/AFR-9645-2022; Ma, Wei/JXY-5019-2024; yu, hui/KDO-3946-2024; Yang, han/KFS-2671-2024; JIANG, Peng/KGL-3427-2024; li, xinyi/KEI-6391-2024</t>
  </si>
  <si>
    <t>Mok, Wen Jye/0000-0002-7629-8312; chen, bin/0000-0002-3398-1314; Wang, Min/0000-0002-2357-589X; Ma, Wei/0000-0002-7344-998X; Yeong, Yik Sung/0000-0001-5897-9037</t>
  </si>
  <si>
    <t>Laoshan Laboratory [LSKJ202203201]; National Key Research and Development Program of China [2022YFC2807500]; Natural Science Foundation of China [41976117, 42120104006, 42176111, 42188102]; Fundamental Research Funds for the Central Universities [202172002, 201812002, 202072001]</t>
  </si>
  <si>
    <t>This work was supported by the Laoshan Laboratory (no. LSKJ202203201), National Key Research and Development Program of China (2022YFC2807500), Natural Science Foundation of China (nos. 41976117, 42120104006, 42176111, and 42188102), and the Fundamental Research Funds for the Central Universities (202172002, 201812002, and 202072001 to AM).</t>
  </si>
  <si>
    <t>10.3389/fmicb.2023.1161265</t>
  </si>
  <si>
    <t>G6WH7</t>
  </si>
  <si>
    <t>WOS:000990533600001</t>
  </si>
  <si>
    <t>Oliva, M; Palacios, D; Fernández-Fernández, JM; Fernandes, M; Schimmelpfennig, I; Vieira, G; Antoniades, D; Pérez-Alberti, A; García-Oteyza, J</t>
  </si>
  <si>
    <t>Oliva, Marc; Palacios, David; Fernandez-Fernandez, Jose M.; Fernandes, Marcelo; Schimmelpfennig, Irene; Vieira, Goncalo; Antoniades, Dermot; Perez-Alberti, Augusto; Garcia-Oteyza, Julia</t>
  </si>
  <si>
    <t>ASTER TEAM</t>
  </si>
  <si>
    <t>Holocene deglaciation of the northern Fildes Peninsula, King George Island, Antarctica</t>
  </si>
  <si>
    <t>LAND DEGRADATION &amp; DEVELOPMENT</t>
  </si>
  <si>
    <t>Antarctica; cosmic-ray exposure dating; deglaciation; Fildes Peninsula; Holocene Thermal Maximum</t>
  </si>
  <si>
    <t>SOUTH-SHETLAND-ISLANDS; JAMES-ROSS-ISLAND; LIVINGSTON-ISLAND; ICE-CAP; BRANSFIELD BASIN; GLACIAL HISTORY; BYERS PENINSULA; MARGUERITE BAY; LAKE-SEDIMENTS; CLIMATE-CHANGE</t>
  </si>
  <si>
    <t>The timing and magnitude of Holocene glacial oscillations in most currently ice-free areas of Antarctica remain unknown. This work focuses on the recent deglaciation in the northern sector of the Fildes Peninsula, King George Island, northern Antarctic Peninsula. The ice cap covering ca. 90% of the island has receded since the Last Glacial Maximum and exposed ca. 29 km(2) of ice-free land. We reconstruct its glacial history based on a dataset of 12 Cl-36 exposure ages obtained through cosmic-ray exposure (CRE) dating of moraine boulders, polished surfaces and erratic boulders surrounding the peninsula's northern plateau. Results reveal that the deglaciation of the northern Fildes Peninsula took place during the Holocene Thermal Maximum at 7-6 ka, when warm conditions promoted a massive glacial retreat. The present arrangement of ice-free areas was in place by 6 ka. Small cirque moraines suggest the subsequent occurrence of favourable climate conditions for glacial expansion fed by intense snow deflation at 4.6 and 1 ka at the foot of the northern plateau. The deglaciation pattern of the Fildes Peninsula resulted from the combined shrinkage of different ice masses, rather than of the long-term retreat of the King George Ice Cap. No evidence of glacier expansion during more recent cold periods (i.e. the Little Ice Age) was found. These results fit well with regional deglacial histories inferred from lacustrine sediments and raised beaches and complement the existing chronological framework to help better understand the peninsula's Holocene geoecological dynamics.</t>
  </si>
  <si>
    <t>[Oliva, Marc; Perez-Alberti, Augusto] Univ Barcelona, Dept Geog, Catalonia, Spain; [Palacios, David; Fernandez-Fernandez, Jose M.] Univ Complutense Madrid, Dept Geog, Madrid, Spain; [Fernandes, Marcelo; Vieira, Goncalo] Univ Lisbon, Ctr Geog Studies, IGOT, Lisbon, Portugal; [Schimmelpfennig, Irene] Aix Marseille Univ, Coll France, CNRS, IRD,INRAE,UM CEREGE 34, Aix en Provence, France; [Antoniades, Dermot] Univ Laval, Dept Geog &amp; Ctr Northern Studies, Quebec City, PQ, Canada; [Perez-Alberti, Augusto] Univ Santiago Compostela, Cross Res Environm Technol CRETUS, Santiago De Compostela, Spain; [Oliva, Marc] Univ Barcelona, Dept Geog, Montalegre 6 8,3rfloor, Barcelona 08001, Spain</t>
  </si>
  <si>
    <t>University of Barcelona; Complutense University of Madrid; Universidade de Lisboa; Aix-Marseille Universite; Universite PSL; College de France; INRAE; Institut de Recherche pour le Developpement (IRD); Centre National de la Recherche Scientifique (CNRS); Laval University; Universidade de Santiago de Compostela; University of Barcelona</t>
  </si>
  <si>
    <t>Oliva, M (corresponding author), Univ Barcelona, Dept Geog, Montalegre 6 8,3rfloor, Barcelona 08001, Spain.</t>
  </si>
  <si>
    <t>marcoliva@ub.edu</t>
  </si>
  <si>
    <t>Vieira, Goncalo/G-5958-2010; Oliva, Marc/K-5423-2014</t>
  </si>
  <si>
    <t>Vieira, Goncalo/0000-0001-7611-3464; Oliva, Marc/0000-0001-6521-6388; Fernandes, Marcelo/0000-0001-6840-4317</t>
  </si>
  <si>
    <t>Universidade de Lisboa; Fundacao para a Ciencia e Tecnologia of Portugal [02/SAICT/2017 32002, RYC-2015-17597]; Ministerio de Economia y Competitividad, Spain [UIDB/00295/2020]; Antarctic, Arctic, Alpine Environments [CTM2016-77878-P]; Agencia de Gestio d'Ajuts Universitaris i de Recerca of the Government of Catalonia; ZEPHYRUS (Climate Change and Environmental Systems); College on Polar and Extreme Environments (Polar2E); NEOGREEN [2017-SGR-1102]; Spanish Ministerio de Economia y Competitividad; Ramon y Cajal Program [PID2020-113798GB-C31]; INSU/CNRS</t>
  </si>
  <si>
    <t>Universidade de Lisboa; Fundacao para a Ciencia e Tecnologia of Portugal(Fundacao para a Ciencia e a Tecnologia (FCT)); Ministerio de Economia y Competitividad, Spain(Spanish Government); Antarctic, Arctic, Alpine Environments; Agencia de Gestio d'Ajuts Universitaris i de Recerca of the Government of Catalonia; ZEPHYRUS (Climate Change and Environmental Systems); College on Polar and Extreme Environments (Polar2E); NEOGREEN; Spanish Ministerio de Economia y Competitividad(Spanish Government); Ramon y Cajal Program(Spanish Government); INSU/CNRS(Centre National de la Recherche Scientifique (CNRS))</t>
  </si>
  <si>
    <t>Universidade de Lisboa; Fundacao para a Ciencia e Tecnologia of Portugal, Grant/Award Number: 02/SAICT/2017 - 32002; Ministerio de Economia y Competitividad, Spain, Grant/Award Number: CTM2016-77878-P; Antarctic, Arctic, Alpine Environments, Grant/Award Number: 2017-SGR-1102; Agencia de Gestio d'Ajuts Universitaris i de Recerca of the Government of Catalonia; ZEPHYRUS (Climate Change and Environmental Systems); College on Polar and Extreme Environments (Polar2E); NEOGREEN, Grant/Award Number: PID2020-113798GB-C31; Spanish Ministerio de Economia y Competitividad; Ramon y Cajal Program, Grant/Award Number: RYC-2015-17597; Marcelo Fernandes by a PhD fellowship of the Fundacao para a Ciencia e Tecnologia of Portugal, Grant/Award Number: UIDB/00295/2020; INSU/CNRS</t>
  </si>
  <si>
    <t>1085-3278</t>
  </si>
  <si>
    <t>1099-145X</t>
  </si>
  <si>
    <t>LAND DEGRAD DEV</t>
  </si>
  <si>
    <t>Land Degrad. Dev.</t>
  </si>
  <si>
    <t>10.1002/ldr.4730</t>
  </si>
  <si>
    <t>Environmental Sciences; Soil Science</t>
  </si>
  <si>
    <t>Environmental Sciences &amp; Ecology; Agriculture</t>
  </si>
  <si>
    <t>FO9C2</t>
  </si>
  <si>
    <t>WOS:000981386100001</t>
  </si>
  <si>
    <t>Diaz, MA; Gardner, CB; Elliot, DH; Adams, BJ; Lyons, WB</t>
  </si>
  <si>
    <t>Diaz, Melisa A.; Gardner, Christopher B.; Elliot, David H.; Adams, Byron J.; Lyons, W. Berry</t>
  </si>
  <si>
    <t>Change at 85 degrees south: Shackleton Glacier region proglacial lakes from 1960 to 2020</t>
  </si>
  <si>
    <t>Antarctic glaciology; climate change; meltwater chemistry</t>
  </si>
  <si>
    <t>ISOTOPIC COMPOSITION; POLAR DESERT; VARIABILITY; SOILS; SNOW</t>
  </si>
  <si>
    <t>Over the last two decades, anomalous warming events have been observed in coastal Antarctic regions. While these events have been documented in the Ross Sea sector, the Antarctic interior is believed to have been buffered from warming. In this work, we present data from lakes located near Mt. Heekin and Thanksgiving Valley (similar to 85 degrees S) along the Shackleton Glacier, which are believed to be the southern-most Antarctic dry valley lakes. In 2018, the lakes were characterized, repeat satellite images were examined, and lake water chemistry was measured. Our analysis shows that lake areas recently increased, and the water-soluble ion chemistry indicates a flushing of salts from periglacial soils, likely from increased glacial melt as illustrated by water isotope data. Our results show that high southern latitude ice-free areas have likely been affected by warm pulses over the past 60 years and these pulses may be quasi-synchronous throughout the Transantarctic Mountains.</t>
  </si>
  <si>
    <t>[Diaz, Melisa A.; Gardner, Christopher B.; Elliot, David H.; Lyons, W. Berry] Ohio State Univ, Sch Earth Sci, Columbus, OH 43210 USA; [Diaz, Melisa A.; Gardner, Christopher B.; Elliot, David H.; Lyons, W. Berry] Ohio State Univ, Byrd Polar &amp; Climate Res Ctr, Columbus, OH USA; [Diaz, Melisa A.] Univ Colorado Boulder, Dept Geog, Boulder, CO 80309 USA; [Diaz, Melisa A.] Univ Colorado Boulder, Inst Arctic &amp; Alpine Res, Boulder, CO 80309 USA; [Adams, Byron J.] Brigham Young Univ, Dept Biol &amp; Evolutionary Ecol Labs, Provo, UT USA; [Adams, Byron J.] Brigham Young Univ, Monte L Bean Life Sci Museum, Provo, UT USA</t>
  </si>
  <si>
    <t>University System of Ohio; Ohio State University; University System of Ohio; Ohio State University; University of Colorado System; University of Colorado Boulder; University of Colorado System; University of Colorado Boulder; Brigham Young University; Brigham Young University</t>
  </si>
  <si>
    <t>Diaz, MA (corresponding author), Ohio State Univ, Sch Earth Sci, Columbus, OH 43210 USA.;Diaz, MA (corresponding author), Univ Colorado Boulder, Dept Geog, Boulder, CO 80309 USA.;Diaz, MA (corresponding author), Univ Colorado Boulder, Inst Arctic &amp; Alpine Res, Boulder, CO 80309 USA.</t>
  </si>
  <si>
    <t>melisa.diaz@colorado.edu</t>
  </si>
  <si>
    <t>Diaz, Melisa/0000-0001-6657-358X</t>
  </si>
  <si>
    <t>Polar Geospatial Center under NSF-OPP [1043681, 1559691]; NSF-OPP [1341631, 1341629]; NSF-GRFP [60041697]</t>
  </si>
  <si>
    <t>Polar Geospatial Center under NSF-OPP; NSF-OPP(National Science Foundation (NSF)NSF - Directorate for Geosciences (GEO)); NSF-GRFP(National Science Foundation (NSF)NSF - Office of the Director (OD))</t>
  </si>
  <si>
    <t>We thank the United States Antarctic Program (USAP), Antarctic Science Contractors (ASC), and Petroleum Helicopters Inc. (PHI) for logistical and field support. We are especially grateful to Michael Cloutier (PGC) for his help in acquiring satellite imagery from the Shackleton Glacier region, S. Welch for help with the geochemical measurements, and D. Smith for help with the water isotope measurements. Geospatial support for this work was provided by the Polar Geospatial Center under NSF-OPP awards 1043681 and 1559691. This work was supported by NSF-OPP awards 1341631 and 1341629 to WBL and BJA, and NSF-GRFP 60041697 awarded to MAD.</t>
  </si>
  <si>
    <t>2023 MAY 5</t>
  </si>
  <si>
    <t>PII S0260305523000277</t>
  </si>
  <si>
    <t>10.1017/aog.2023.27</t>
  </si>
  <si>
    <t>F4CG7</t>
  </si>
  <si>
    <t>WOS:000981834500001</t>
  </si>
  <si>
    <t>Nyquist, NF; Burri, L; Jensen, RB</t>
  </si>
  <si>
    <t>Nyquist, Nicole Frost; Burri, Lena; Jensen, Rasmus Bovbjerg</t>
  </si>
  <si>
    <t>Effect of dietary krill oil supplementation on horse red blood cell membrane fatty acid composition and blood parameters</t>
  </si>
  <si>
    <t>JOURNAL OF ANIMAL PHYSIOLOGY AND ANIMAL NUTRITION</t>
  </si>
  <si>
    <t>DHA; docosahexaenoic acid; eicosapentaenoic acid; EPA; equine; Euphausia superba</t>
  </si>
  <si>
    <t>ALPHA-LINOLENIC ACID; FISH-OIL; OMEGA-3-FATTY-ACID SUPPLEMENTATION; INSULIN SENSITIVITY; OMEGA-3 INDEX; PLASMA; DHA</t>
  </si>
  <si>
    <t>Supplementation with marine-derived n-3 long-chain polyunsaturated fatty acids (LC PUFAs), eicosapentaenoic acid (EPA, 20:5 n-3) and docosahexaenoic acid (DHA, 22:6 n-3) is linked to beneficial health effects in both humans and horses. Krill oil (KO), which is extracted from the Antarctic krill (Euphausia superba), is well documented as a safe and biologically available dietary supplement in humans and several animal species, but there is a lack of documentation regarding its effect as a dietary ingredient for horses. The objective of this study was to test whether KO as a dietary supplement had the ability to raise horse red blood cell (RBC) membrane EPA and DHA, expressed as the n-3 index. Five nonworking Norwegian cold-blooded trotter horse geldings (body weight [BW]: 567 +/- 38 kg) were supplemented with KO (10 mL/100 kg BW) for 35 days in a longitudinal study. Blood samples were analysed for RBC membrane fatty acid (FA) profile, haematology and serum biochemistry every 7th day. KO was well accepted by all horses, and no adverse health effects were observed during the 35-day trial period. KO supplementation affected the RBC membrane FA profile by increasing the n-3 index from Day 0 to 35 (Day 0: 0.53% vs. Day 35: 4.05% of total RBC FAs). The observed increase in the sum of EPA and DHA (p &lt; 0.001), total n-3 FAs (p &lt; 0.001) and the reduction of n-6 FAs (p &lt; 0.044) resulted in a lower n-6:n-3 ratio (p &lt; 0.001) by Day 35 of KO supplementation. In conclusion, the RBC n-3 index was increased and the general n-6:n-3 ratio was decreased in horses receiving 35-day dietary KO supplementation.</t>
  </si>
  <si>
    <t>[Nyquist, Nicole Frost] Norwegian Univ Life Sci, Fac Vet Sci, Dept Paraclin Sci, As, Norway; [Burri, Lena] Aker BioMarine Antarctic AS, Lysaker, Norway; [Jensen, Rasmus Bovbjerg] Norwegian Univ Life Sci, Fac Biosci, Dept Anim &amp; Aquacultural Sci, As, Norway; [Nyquist, Nicole Frost] Norwegian Univ Life Sci, Fac Vet Sci, Dept Paraclin Sci, POB 5003 NMBU, NO-1432 As, Norway</t>
  </si>
  <si>
    <t>Norwegian University of Life Sciences; Norwegian University of Life Sciences; Norwegian University of Life Sciences</t>
  </si>
  <si>
    <t>Nyquist, NF (corresponding author), Norwegian Univ Life Sci, Fac Vet Sci, Dept Paraclin Sci, POB 5003 NMBU, NO-1432 As, Norway.</t>
  </si>
  <si>
    <t>nicole.nyquist@nmbu.no</t>
  </si>
  <si>
    <t>Jensen, Rasmus/0000-0001-6108-0233</t>
  </si>
  <si>
    <t>0931-2439</t>
  </si>
  <si>
    <t>1439-0396</t>
  </si>
  <si>
    <t>J ANIM PHYSIOL AN N</t>
  </si>
  <si>
    <t>J. Anim. Physiol. Anim. Nutr.</t>
  </si>
  <si>
    <t>10.1111/jpn.13828</t>
  </si>
  <si>
    <t>Agriculture, Dairy &amp; Animal Science; Veterinary Sciences</t>
  </si>
  <si>
    <t>Agriculture; Veterinary Sciences</t>
  </si>
  <si>
    <t>R4GJ6</t>
  </si>
  <si>
    <t>WOS:000980353500001</t>
  </si>
  <si>
    <t>Decewicz, P; Romaniuk, K; Gorecki, A; Radlinska, M; Dabrowska, M; Wyszynska, A; Dziewit, L</t>
  </si>
  <si>
    <t>Decewicz, Przemyslaw; Romaniuk, Krzysztof; Gorecki, Adrian; Radlinska, Monika; Dabrowska, Maria; Wyszynska, Agnieszka; Dziewit, Lukasz</t>
  </si>
  <si>
    <t>Structure and functions of a multireplicon genome of Antarctic Psychrobacter sp. ANT_H3: characterization of the genetic modules suitable for the construction of the plasmid-vectors for cold-active bacteria</t>
  </si>
  <si>
    <t>JOURNAL OF APPLIED GENETICS</t>
  </si>
  <si>
    <t>Antarctica; Multireplicon genome; Plasmid; Psychrobacter; Vector</t>
  </si>
  <si>
    <t>RESTRICTION-MODIFICATION SYSTEMS; ESCHERICHIA-COLI; DATABASE; DNA; MOBILIZATION; ANNOTATION; HOST; TRANSFORMATION; REPLICATION; TEMPERATURE</t>
  </si>
  <si>
    <t>Among Psychrobacter spp., there are several multireplicon strains, carrying more than two plasmids. Psychrobacter sp. ANT_H3 carries as many as 11 extrachromosomal replicons, which is the highest number in Psychrobacter spp. Plasmids of this strain were subjected to detailed genomic analysis, which enables an insight into the structure and functioning of this multireplicon genome. The replication and conjugal transfer modules of ANT_H3 plasmids were analyzed functionally to discover their potential for being used as building blocks for the construction of novel plasmid-vectors for cold-active bacteria. It was shown that two plasmids have a narrow host range as they were not able to replicate in species other than Psychrobacter, while remaining plasmids had a wider host range and were functional in various Alpha- and Gammaproteobacteria. Moreover, it was confirmed that mobilization modules of seven plasmids were functional, i.e., could be mobilized for conjugal transfer by the RK2 conjugation system. Auxiliary genes were also distinguished in ANT_H3 plasmids, including these encoding putative DNA-protecting protein DprA, multidrug efflux SMR transporter of EmrE family, glycine cleavage system T protein, MscS small-conductance mechanosensitive channel protein, and two type II restriction-modification systems. Finally, all genome-retrieved plasmids of Psychrobacter spp. were subjected to complex genome- and proteome-based comparative analyses showing that Antarctic replicons are significantly different from plasmids from other locations.</t>
  </si>
  <si>
    <t>[Decewicz, Przemyslaw; Romaniuk, Krzysztof; Radlinska, Monika; Dabrowska, Maria; Dziewit, Lukasz] Univ Warsaw, Inst Microbiol, Fac Biol, Dept Environm Microbiol &amp; Biotechnol, Warsaw, Poland; [Decewicz, Przemyslaw] Flinders Univ S Australia, Coll Sci &amp; Engn, Flinders Accelerator Microbiome Explorat, Adelaide, Australia; [Gorecki, Adrian] Warsaw Univ Life Sci SGGW, Inst Biol, Dept Biochem &amp; Microbiol, Warsaw, Poland; [Wyszynska, Agnieszka] Univ Warsaw, Inst Microbiol, Fac Biol, Dept Bacterial Genet, Warsaw, Poland</t>
  </si>
  <si>
    <t>University of Warsaw; Flinders University South Australia; Warsaw University of Life Sciences; University of Warsaw</t>
  </si>
  <si>
    <t>Dziewit, L (corresponding author), Univ Warsaw, Inst Microbiol, Fac Biol, Dept Environm Microbiol &amp; Biotechnol, Warsaw, Poland.</t>
  </si>
  <si>
    <t>l.dziewit@uw.edu.pl</t>
  </si>
  <si>
    <t>Decewicz, Przemyslaw/ABE-4554-2020; Dziewit, Lukasz/L-1131-2016</t>
  </si>
  <si>
    <t>Decewicz, Przemyslaw/0000-0002-5621-7124; Dziewit, Lukasz/0000-0002-5057-2811; Radlinska, Monika/0000-0001-6818-8685</t>
  </si>
  <si>
    <t>European Union - the European Regional Development Fund [POIG.02.02.00-14-024/08-00]</t>
  </si>
  <si>
    <t>European Union - the European Regional Development Fund(European Union (EU))</t>
  </si>
  <si>
    <t>We acknowledge access to the infrastructure of the Polish Antarctic Station Arctowski (Antarctica). We thank Jan Gawor from the DNA Sequencing and Oligonucleotide Synthesis Laboratory, IBB Polish Academy of Science for his technical assistance during plasmid sequencing. Library construction and plasmid genome assembly were carried out at the DNA Sequencing and Oligonucleotide Synthesis Laboratory IBB PAN using the CePT infrastructure financed by the European Union - the European Regional Development Fund [Innovative economy 2007-13, Agreement POIG.02.02.00-14-024/08-00].</t>
  </si>
  <si>
    <t>1234-1983</t>
  </si>
  <si>
    <t>2190-3883</t>
  </si>
  <si>
    <t>J APPL GENET</t>
  </si>
  <si>
    <t>J. Appl. Genetics</t>
  </si>
  <si>
    <t>10.1007/s13353-023-00759-7</t>
  </si>
  <si>
    <t>F5LA0</t>
  </si>
  <si>
    <t>WOS:000982747500001</t>
  </si>
  <si>
    <t>Calderan, SV; Dornan, T; Fielding, S; Irvine, R; Jackson, JA; Leaper, R; Liszka, CM; Olson, PA; Collins, MA</t>
  </si>
  <si>
    <t>Calderan, Susannah V.; Dornan, Tracey; Fielding, Sophie; Irvine, Ryan; Jackson, Jennifer A.; Leaper, Russell; Liszka, Cecilia M.; Olson, Paula A.; Collins, Martin A.</t>
  </si>
  <si>
    <t>Observations of southern right whales (Eubalaena australis) surface feeding on krill in austral winter at South Georgia</t>
  </si>
  <si>
    <t>ANTARCTIC KRILL; RELATIVE ABUNDANCE; BEHAVIOR; NOISE; FOOD</t>
  </si>
  <si>
    <t>[Calderan, Susannah V.] Scottish Assoc Marine Sci SAMS, Argyll, Scotland; [Dornan, Tracey; Fielding, Sophie; Jackson, Jennifer A.; Liszka, Cecilia M.; Collins, Martin A.] British Antarctic Survey, NERC, Cambridge, England; [Irvine, Ryan] Ryan Irvine Ecol, Churchtown House, St Buryan, Cornwall, England; [Leaper, Russell] Int Fund Anim Welf, London, England; [Olson, Paula A.] NOAA, Natl Marine Fisheries Serv, Southwest Fisheries Sci Ctr, La Jolla, CA USA; [Calderan, Susannah V.] Scottish Assoc Marine Sci SAMS, Argyll PA37 1QA, Scotland</t>
  </si>
  <si>
    <t>UK Research &amp; Innovation (UKRI); Natural Environment Research Council (NERC); NERC British Antarctic Survey; National Oceanic Atmospheric Admin (NOAA) - USA</t>
  </si>
  <si>
    <t>Calderan, SV (corresponding author), Scottish Assoc Marine Sci SAMS, Argyll PA37 1QA, Scotland.</t>
  </si>
  <si>
    <t>susannah.calderan@sams.ac.uk</t>
  </si>
  <si>
    <t>Jackson, Jennifer A/E-7997-2013; Fielding, Sophie/E-5137-2012</t>
  </si>
  <si>
    <t>Calderan, Susannah/0000-0002-5838-5041; Liszka, Cecilia/0000-0003-1309-4045; Jackson, Jennifer/0000-0003-4158-1924; Dornan, Tracey/0000-0001-8265-286X; Leaper, Russell/0000-0002-8712-8925; Collins, Martin/0000-0001-7132-8650</t>
  </si>
  <si>
    <t>Darwin Plus Grant [DPLUS149]; Friends of South Georgia Island; South Georgia Heritage Trust</t>
  </si>
  <si>
    <t>Darwin Plus Grant; Friends of South Georgia Island; South Georgia Heritage Trust</t>
  </si>
  <si>
    <t>Darwin Plus Grant, Grant/Award Number: DPLUS149; Friends of South Georgia Island; South Georgia Heritage Trust</t>
  </si>
  <si>
    <t>10.1111/mms.13025</t>
  </si>
  <si>
    <t>WOS:000981395300001</t>
  </si>
  <si>
    <t>Sun, JM; Sha, JE; Windley, BF; Zhang, ZL; Fu, BH</t>
  </si>
  <si>
    <t>Sun, Jimin; Sha, Jingeng; Windley, Brian F.; Zhang, Zhiliang; Fu, Bihong</t>
  </si>
  <si>
    <t>Late Eocene stepwise seawater retreat from the Pamir-Tian Shan convergence zone (Alay Valley) in the western Tarim Basin, China</t>
  </si>
  <si>
    <t>Paleogene; Turan Sea; Land -sea distribution; Far -field effect; Indo-Eurasian collision</t>
  </si>
  <si>
    <t>TIBETAN PLATEAUCRUSTAL STACKING; TIEN-SHAN; EXTENSIONAL COLLAPSE; ANTARCTIC GLACIATION; CENOZOIC EVOLUTION; FORELAND BASIN; SEA RETREAT; ARIDIFICATION; PARATETHYS; EXHUMATION</t>
  </si>
  <si>
    <t>Inner Asia underwent dramatic changes in sea-land distributions and paleoenvironment in the Cenozoic that were marked by the westward retreat and finally demise of the proto-Paratethys and the subsequent formation of the largest mid-latitude dryland in Central Asia in the Northern Hemisphere. The proto-Paratethys has now retreated to the present-day Mediterranean, but this huge epicontinental sea once extended eastward to the remote Tarim Basin in Central Asia. Although the Tarim and Tajik Basins are today separated by the Pamir salient, they were once the same basin occupied by sea water that belonged to the easternmost part of the Turan Sea in the early Cenozoic. The present Alay Valley that is situated between the Pamirs and Tian Shan was formerly the seawater channel that connected the Tarim and Tajik Basins; since the late Eocene the Valley has experienced a major change in altitude from sea level to 3500 m. The timing and detailed process of the final seawater retreat in the Alay Valley have considerable importance for understanding the interplay between tectonics, surface process, and climate. However, there is still much controversy about the timing of the final seawater retreat from the Tarim and Tajik Basins. In this paper we present a multidisciplinary study of Upper Paleogene strata in the easternmost Alay Valley. Our new magnetostratigraphy, together with the biostratigraphy and the U-Pb age of detrital zircons, indicates that the Upper Paleogene strata have an age range of 40 to 28 Ma. A shallow open sea ended at 40 Ma in both the Tarim and Tajik Basins just after the termination of the Middle Eocene Climatic Optimum. The change from a shallow open sea to an alternative deposition of restricted marine and continental facies began at 40 Ma. Nine marine transgression/regression cycles were recorded in the Alay Valley as indicated by the alternations between restricted marine environment (lagoon) and terrestrial deposition from 39.1 to 37.8 Ma. During this period, the Alay Valley was intermittently occupied by seawater. The final seawater retreat from the Alay Valley was at 37.8 Ma. There might be a diachronous final seawater retreat from the restricted marine environment in the Alay Valley and the Tajik Basin, it was mostly related to the sedimentary hiatuses and/or to the differential uplift and basin filling processes driven by the outward growth of the Pamirs.</t>
  </si>
  <si>
    <t>[Sun, Jimin] Chinese Acad Sci, Inst Geol &amp; Geophys, Beijing 100029, Peoples R China; [Sun, Jimin] Univ Chinese Acad Sci, Beijing 100049, Peoples R China; [Sha, Jingeng] Chinese Acad Sci, Nanjing Inst Geol &amp; Paleontol, State Key Lab Palaeobiol &amp; Stratig, Nanjing 210008, Peoples R China; [Windley, Brian F.] Univ Leicester, Sch Geog Geol &amp; Environm, Leicester LEI 7RH, England; [Zhang, Zhiliang] China Earthquake Adm, Inst Geol, Beijing 100029, Peoples R China; [Fu, Bihong] Chinese Acad Sci, Aerosp Informat Res Inst, Beijing, Peoples R China</t>
  </si>
  <si>
    <t>Chinese Academy of Sciences; Institute of Geology &amp; Geophysics, CAS; Chinese Academy of Sciences; University of Chinese Academy of Sciences, CAS; Chinese Academy of Sciences; Nanjing Institute of Geology &amp; Paleontology, CAS; University of Leicester; China Earthquake Administration; Chinese Academy of Sciences; Aerospace Information Research Institute, CAS</t>
  </si>
  <si>
    <t>Sun, JM (corresponding author), Chinese Acad Sci, Inst Geol &amp; Geophys, Beijing 100029, Peoples R China.</t>
  </si>
  <si>
    <t>jmsun@mail.iggcas.ac.cn</t>
  </si>
  <si>
    <t>zhou, xian/JYQ-9844-2024; Sun, Jimin/F-1240-2018</t>
  </si>
  <si>
    <t>Sun, Jimin/0000-0003-3516-1413</t>
  </si>
  <si>
    <t>National Natural Science Foundation of China [XDA20070202]; Strategic Priority Research Program of the Chinese Academy of Sciences [DD20221829]; Bureau of Geological Survey of China; [41888101]</t>
  </si>
  <si>
    <t>National Natural Science Foundation of China(National Natural Science Foundation of China (NSFC)); Strategic Priority Research Program of the Chinese Academy of Sciences(Chinese Academy of Sciences); Bureau of Geological Survey of China;</t>
  </si>
  <si>
    <t>This study was financially supported by the National Natural Science Foundation of China (41888101) , the Strategic Priority Research Program of the Chinese Academy of Sciences (XDA20070202) , and the Bureau of Geological Survey of China (DD20221829. The authors thank the two anonymous reviewers for their constructive comments, and Paul Hesse for editorial handling of the manuscript.</t>
  </si>
  <si>
    <t>10.1016/j.palaeo.2023.111603</t>
  </si>
  <si>
    <t>Q2OS9</t>
  </si>
  <si>
    <t>WOS:001055967300001</t>
  </si>
  <si>
    <t>Vives, CR; Schallenberg, C; Strutton, PG; Boyd, PW</t>
  </si>
  <si>
    <t>Vives, Clara R.; Schallenberg, Christina; Strutton, Peter G.; Boyd, Philip W.</t>
  </si>
  <si>
    <t>Biogeochemical-Argo floats show that chlorophyll increases before carbon in the high-latitude Southern Ocean spring bloom</t>
  </si>
  <si>
    <t>Letter; Early Access</t>
  </si>
  <si>
    <t>PHYTOPLANKTON BIOMASS; IRON; LIGHT; PHENOLOGY; RATIO; CO2; PHOTOSYNTHESIS; PHYSIOLOGY; DRIVERS; GROWTH</t>
  </si>
  <si>
    <t>In the Southern Ocean, phytoplankton blooms are an annually recurring prominent feature that play a significant role in ocean CO2 uptake. Understanding the timing of the phytoplankton bloom is necessary to provide insights into the underlying physiological drivers, for the study of ecosystem dynamics and consequent patterns in downward carbon export. Previous studies have used chlorophyll (chl) and particulate organic carbon, from either satellites or biogeochemical-Argo (BGC-Argo) floats, to investigate bloom phenology, but provide inconsistent findings regarding bloom timing. Here, we compare bloom dynamics based on three diagnostics from 7114 BGC-Argo float profiles, south of 60 &amp; DEG;S. Bloom onset consistently occurs earlier when calculated using chl than when based on phytoplankton carbon or nitrate uptake, and the decoupling increases with latitude. This suggests that phytoplankton synthesize increased chl to acclimate to low-light conditions, before increasing their biomass. These results highlight the importance of considering phytoplankton physiology when choosing proxies for phytoplankton growth.</t>
  </si>
  <si>
    <t>[Vives, Clara R.; Strutton, Peter G.; Boyd, Philip W.] Univ Tasmania, Inst Marine &amp; Antarctic Studies, Hobart, Tas, Australia; [Vives, Clara R.; Strutton, Peter G.] Univ Tasmania, Australian Res Council Ctr Excellence Climate Extr, Hobart, Tas, Australia; [Schallenberg, Christina] CSIRO Environm, Hobart, Tas, Australia; [Schallenberg, Christina; Boyd, Philip W.] Univ Tasmania, Inst Marine &amp; Antarctic Studies, Australian Antarctic Program Partnership, Hobart, Tas, Australia</t>
  </si>
  <si>
    <t>Vives, CR (corresponding author), Univ Tasmania, Inst Marine &amp; Antarctic Studies, Hobart, Tas, Australia.;Vives, CR (corresponding author), Univ Tasmania, Australian Res Council Ctr Excellence Climate Extr, Hobart, Tas, Australia.</t>
  </si>
  <si>
    <t>clara.rodriguezvives@utas.edu.au</t>
  </si>
  <si>
    <t>Schallenberg, Christina/N-4187-2017; Strutton, Peter/C-4466-2011; Boyd, Philip/J-7624-2014</t>
  </si>
  <si>
    <t>Schallenberg, Christina/0000-0002-3073-7500; R. Vives, Clara/0000-0002-6150-7644; Strutton, Peter/0000-0002-2395-9471; Boyd, Philip/0000-0001-7850-1911</t>
  </si>
  <si>
    <t>International Argo Program; Australian Antarctic Division (AAD); Australian Research Council Centre of Excellence for Climate Extremes (CLEX) [CE170100023]; Australian Antarctic Program Partnership as part of the Antarctic Science Collaboration Initiative [ASCI000002]</t>
  </si>
  <si>
    <t>International Argo Program; Australian Antarctic Division (AAD); Australian Research Council Centre of Excellence for Climate Extremes (CLEX)(Australian Research Council); Australian Antarctic Program Partnership as part of the Antarctic Science Collaboration Initiative</t>
  </si>
  <si>
    <t>BGC-Argo float data were collected and made freely available by the Southern Ocean Carbon and Climate Observations and Modeling (SOCCOM) program, and by the International Argo Program and the national programs that contribute to it (, ). The Argo Program is part of the Global Ocean Observing System. The authors would like to thank the Australian Antarctic Division (AAD), in particular Ben Raymond, for facilitating the mirroring repository. This research was supported by the Australian Research Council Centre of Excellence for Climate Extremes (CLEX; CE170100023). C. Schallenberg and P. W. Boyd are also supported by the Australian Antarctic Program Partnership as part of the Antarctic Science Collaboration Initiative (ASCI000002). The authors also want to thank Guillaume Liniger for help processing sea-ice data, and Lionel Arteaga for help determining ocean fronts. The authors are thankful for the suggestions provided by three anonymous reviewers and the journal editor.</t>
  </si>
  <si>
    <t>2023 MAY 4</t>
  </si>
  <si>
    <t>10.1002/lol2.10322</t>
  </si>
  <si>
    <t>M9DG6</t>
  </si>
  <si>
    <t>WOS:001033140400001</t>
  </si>
  <si>
    <t>Prescott, LA; Symonds, JE; Walker, SP; Miller, MR; Semmens, JM; Carter, CG</t>
  </si>
  <si>
    <t>Prescott, Leteisha A.; Symonds, Jane E.; Walker, Seumas P.; Miller, Matthew R.; Semmens, Jayson M.; Carter, Chris G.</t>
  </si>
  <si>
    <t>Long-term sustained swimming improves swimming performance in Chinook salmon, Oncorhynchus tshawytscha, with and without scoliosis</t>
  </si>
  <si>
    <t>Exercise -training; Muscle fibre; Proximate composition; Metabolic rate; Smolt; Body shape</t>
  </si>
  <si>
    <t>SALMON SALMO-SALAR; TROUT ONCORHYNCHUS-MYKISS; SPRINT-TRAINING PROTOCOL; JUVENILE ATLANTIC SALMON; FATTY-ACID PROFILE; RAINBOW-TROUT; EXHAUSTIVE EXERCISE; BODY-COMPOSITION; WATER VELOCITY; OXYGEN-TRANSPORT</t>
  </si>
  <si>
    <t>Exercise training during pre-and post-smolt production is becoming a key component in salmon hatcheries as it is known to enhance several production-related traits in salmonids. Exercise conditions for rearing salmonids are continually being optimised and now that the salmonid industry is developing offshore, training is being considered as a tool to prepare domestic stocks for high energy environments. It is unknown if exercise can enhance traits in other understudied salmonid species and in individuals with spinal curvature (scoliosis), which is a common health concern within some salmon farms. Here we exposed Chinook salmon (initial weight: 82.9 +/- 0.30 g) to low (0.3 bl s-1) and moderate (0.8 bl s-1) flow regimes for ten to eleven months and quantified respiratory and swimming performance in individuals with and without mild scoliosis. Further, we investigated compositional changes and morphological responses at cellular and whole-body levels. Raising Chinook salmon under moderate flow regimes improved critical swimming speed, maximum metabolic rate, and aerobic scope in individuals with and without spinal curvature, but recovery processes (exhaustive exercise post oxygen consumption and time) in individuals with spinal curvature required higher energetic costs (measured immediately after reaching critical swimming speed). Fat content was reduced in fish raised under moderate flow regimes, while protein content was higher in individuals with spinal curvature. Exercise regimes caused morphological changes in muscle fibres, gill, and skin. Together, the results of this study shows benefits for integrating exercise training into hatchery settings (i.e., pre- and post-smolts) to prepare stocks for offshore farming and provides evidence that some exercise-enhanced traits can be translated into individuals with spinal curvature, but concerns remain for individuals with more severe spinal curvature. Additionally, this study reveals that exercise regimes influence nutrient utilisation and deposition in Chinook salmon, therefore optimising nutrient profiles for offshore feeds should be considered as nutrient demands in fish farmed in high energy sites may differ to nutrient demands of fish in lower energy nearshore farms.</t>
  </si>
  <si>
    <t>[Prescott, Leteisha A.; Symonds, Jane E.; Miller, Matthew R.; Semmens, Jayson M.; Carter, Chris G.] Univ Tasmania, Inst Marine &amp; Antarctic Studies, Hobart, Tas 7001, Australia; [Prescott, Leteisha A.; Carter, Chris G.] Blue Econ Cooperat Res Ctr, POB 897, Launceston, Tas 7250, Australia; [Prescott, Leteisha A.; Symonds, Jane E.; Walker, Seumas P.; Miller, Matthew R.] Cawthron Inst, Nelson 7010, New Zealand</t>
  </si>
  <si>
    <t>University of Tasmania; University of Western Australia; Cawthron Institute</t>
  </si>
  <si>
    <t>Prescott, LA (corresponding author), Univ Tasmania, Inst Marine &amp; Antarctic Studies, Hobart, Tas 7001, Australia.</t>
  </si>
  <si>
    <t>Leteisha.Prescott@utas.edu.au; Jane.Symonds@cawthron.org.nz; Seumas.Walker@cawthron.org.nz; Matt.Miller@cawthron.org.nz; Jayson.Semmens@utas.edu.au; Chris.Carter@utas.edu.au</t>
  </si>
  <si>
    <t>Carter, Chris Guy/A-3438-2008; Miller, Matthew Robert/D-5982-2011</t>
  </si>
  <si>
    <t>Carter, Chris Guy/0000-0001-5210-1282; Miller, Matthew Robert/0000-0002-5402-7466</t>
  </si>
  <si>
    <t>Blue Economy Cooperative Research Centre (CRC) under the Australian Government's CRC Program [CRC-20180101]; Institute for Marine and Antarctic Studies, University of Tasmania, Australia; Cawthron Institute; NZ Government, Ministry for Business Innovation and Employment [CAWX1606]</t>
  </si>
  <si>
    <t>Blue Economy Cooperative Research Centre (CRC) under the Australian Government's CRC Program; Institute for Marine and Antarctic Studies, University of Tasmania, Australia; Cawthron Institute; NZ Government, Ministry for Business Innovation and Employment</t>
  </si>
  <si>
    <t>The authors acknowledge the financial support of the Blue Economy Cooperative Research Centre (CRC) , established and supported under the Australian Government's CRC Program, grant number CRC-20180101. The CRC Program supports industry-led collaborations between industry, researchers, and the community. The authors acknowledge financial support from the Institute for Marine and Antarctic Studies, University of Tasmania, Australia. The authors acknowledge financial support from the Cawthron Institute and the NZ Government, Ministry for Business Innovation and Employment (contract no. CAWX1606) .</t>
  </si>
  <si>
    <t>10.1016/j.aquaculture.2023.739629</t>
  </si>
  <si>
    <t>I0FJ0</t>
  </si>
  <si>
    <t>WOS:000999615800001</t>
  </si>
  <si>
    <t>Zhang, BW; Pethybridge, H; Virtue, P; Nichols, PD</t>
  </si>
  <si>
    <t>Zhang, Bowen; Pethybridge, Heidi; Virtue, Patti; Nichols, Peter D.</t>
  </si>
  <si>
    <t>Lipid dynamics in the southern hemisphere: a 30-year meta-analysis of marine consumers</t>
  </si>
  <si>
    <t>Consumers; DHA; Ecosystem assessments; Environment; EPA; Fatty acids; Habitat; Marine ecosystem; Meta-analysis</t>
  </si>
  <si>
    <t>FATTY-ACID-COMPOSITION; ANTARCTIC KRILL; TROPHIC RELATIONSHIPS; FISH; FOOD; SQUID; BIODIVERSITY; ZOOPLANKTON; TEMPERATURE; METABOLISM</t>
  </si>
  <si>
    <t>Assessing the total lipid content (TLC, expressed as % wet weight, WW) and constituent fatty acid (FA) composition (expressed as % of total FA) in marine organisms provides vital knowledge about the transfer of energy and essential nutrients from primary producers to higher-order consumers, including humans. To obtain a broad understanding of marine lipid dynamics, we used information from more than 470 species of Australian and Southern Ocean marine consumers spanning across the food web, from secondary to apex predators, sampled over a 30 yr period (1989 to 2019). Taxa group, trophic guild, and collection period were found to be the most influential drivers of variability in 4 key variables (TLC, docosahexaenoic acid [DHA, 22:6n-3], eicosapentaenoic acid [EPA, 20:5n-3] and arachidonic acid [ARA, 20:4n-6]). Highest TLC was observed in marine mammals and mid-trophic consumers, highest DHA occurred in fish and apex predators, highest EPA occurred in krill and other lower-level consumers, and highest ARA was present in rays and other apex predators. Horizontal habitat type was also an important driver with significantly higher TLC, EPA, and DHA found in samples from oceanic and pelagic habitat types, whilst coastal habitat samples had significantly higher ARA. Generalised additive mixed models determined that there were regional spatial patterns and interannual trends for all variables over the 30 yr period across all taxa groups. This study provides new understanding of the spatial distribution, temporal trends, and drivers of lipid and essential fatty acids (EFA) in marine ecosystems in the southern hemisphere.</t>
  </si>
  <si>
    <t>[Zhang, Bowen; Virtue, Patti; Nichols, Peter D.] Univ Tasmania, Inst Marine &amp; Antarct Studies, Battery Point, Tas 7004, Australia; [Zhang, Bowen; Pethybridge, Heidi; Virtue, Patti; Nichols, Peter D.] CSIRO Environm, Battery Point, Tas 7004, Australia</t>
  </si>
  <si>
    <t>Zhang, BW (corresponding author), Univ Tasmania, Inst Marine &amp; Antarct Studies, Battery Point, Tas 7004, Australia.;Zhang, BW (corresponding author), CSIRO Environm, Battery Point, Tas 7004, Australia.</t>
  </si>
  <si>
    <t>b.zhang@utas.edu.au</t>
  </si>
  <si>
    <t>Zhang, Bowen/0000-0003-0813-7127</t>
  </si>
  <si>
    <t>10.3354/meps14295</t>
  </si>
  <si>
    <t>G5SE3</t>
  </si>
  <si>
    <t>WOS:000989745100001</t>
  </si>
  <si>
    <t>Maimone, NM; Pozza, MC; de Oliveira, LFP; Rojas-Villalta, D; de Lira, SP; Barrientos, L; Núñez-Montero, K</t>
  </si>
  <si>
    <t>Maimone, Naydja Moralles; Pozza Jr, Mario Cezar; de Oliveira, Lucianne Ferreira Paes; Rojas-Villalta, Dorian; de Lira, Simone Possedente; Barrientos, Leticia; Nunez-Montero, Kattia</t>
  </si>
  <si>
    <t>Metabologenomics analysis of Pseudomonas sp. So3.2b, an Antarctic strain with bioactivity against Rhizoctonia solani</t>
  </si>
  <si>
    <t>bioactivity; OSMAC; molecular networking; secondary metabolites; genomics; biosynthetic gene cluster; bioprospecting</t>
  </si>
  <si>
    <t>ANTIFUNGAL ACTIVITY; NATURAL-PRODUCTS; SECONDARY METABOLITES; CYCLIC LIPOPEPTIDE; MASS-SPECTROMETRY; BIOCONTROL AGENT; DERIVATIVES; FLUORESCENS; RHAMNOLIPIDS; AUREOFACIENS</t>
  </si>
  <si>
    <t>IntroductionPhytopathogenic fungi are a considerable concern for agriculture, as they can threaten the productivity of several crops worldwide. Meanwhile, natural microbial products are acknowledged to play an important role in modern agriculture as they comprehend a safer alternative to synthetic pesticides. Bacterial strains from underexplored environments are a promising source of bioactive metabolites. MethodsWe applied the OSMAC (One Strain, Many Compounds) cultivation approach, in vitro bioassays, and metabolo-genomics analyses to investigate the biochemical potential of Pseudomonas sp. So3.2b, a strain isolated from Antarctica. Crude extracts from OSMAC were analyzed through HPLC-QTOF-MS/MS, molecular networking, and annotation. The antifungal potential of the extracts was confirmed against Rhizoctonia solani strains. Moreover, the whole-genome sequence was studied for biosynthetic gene clusters (BGCs) identification and phylogenetic comparison. Results and DiscussionMolecular networking revealed that metabolite synthesis has growth media specificity, and it was reflected in bioassays results against R. solani. Bananamides, rhamnolipids, and butenolides-like molecules were annotated from the metabolome, and chemical novelty was also suggested by several unidentified compounds. Additionally, genome mining confirmed a wide variety of BGCs present in this strain, with low to no similarity with known molecules. An NRPS-encoding BGC was identified as responsible for producing the banamides-like molecules, while phylogenetic analysis demonstrated a close relationship with other rhizosphere bacteria. Therefore, by combining -omics approaches and in vitro bioassays, our study demonstrates that Pseudomonas sp. So3.2b has potential application to agriculture as a source of bioactive metabolites.</t>
  </si>
  <si>
    <t>[Maimone, Naydja Moralles; Pozza Jr, Mario Cezar; de Oliveira, Lucianne Ferreira Paes; de Lira, Simone Possedente] Univ Sao Paulo, Luiz de Queiroz Superior Coll Agr, Dept Math Chem &amp; Stat, Piracicaba, SP, Brazil; [Rojas-Villalta, Dorian] Inst Tecnol Costa Rica, Biotechnol Res Ctr, Dept Biol, Cartago, Costa Rica; [Barrientos, Leticia] Univ La Frontera, Ctr Excellence Translat Med, Extreme Environm Biotechnol Lab, Temuco, Chile; [Nunez-Montero, Kattia] Univ Autonoma Chile, Fac Ciencias Salud, Inst Ciencias Biomed, Temuco, Chile</t>
  </si>
  <si>
    <t>Universidade de Sao Paulo; Instituto Tecnologico de Costa Rica; Universidad de La Frontera; Universidad Autonoma de Chile</t>
  </si>
  <si>
    <t>Barrientos, L (corresponding author), Univ La Frontera, Ctr Excellence Translat Med, Extreme Environm Biotechnol Lab, Temuco, Chile.;Núñez-Montero, K (corresponding author), Univ Autonoma Chile, Fac Ciencias Salud, Inst Ciencias Biomed, Temuco, Chile.</t>
  </si>
  <si>
    <t>leticia.barrientos@ufrontera.cl; kattia.nunez@uautonoma.cl</t>
  </si>
  <si>
    <t>Rojas-Villalta, Dorian/ISB-3389-2023; Barrientos, Leticia X/A-9261-2013; Pozza Junior, Mario Cezar/IAQ-7122-2023</t>
  </si>
  <si>
    <t>Rojas-Villalta, Dorian/0000-0002-2939-1485; Pozza Junior, Mario Cezar/0000-0001-6211-8192; Nunez-Montero, Kattia/0000-0002-8629-5107; Moralles Maimone, Naydja/0000-0002-3116-0889</t>
  </si>
  <si>
    <t>Agencia Nacional de Investigacion y Desarrollo de Chile (ANID) [FONDECYT-1210563, 11230475]; National Council for Scientific and Technological Development (CNPq scholarship) [142260/2020-4, 141501/2020-0]; Sao Paulo State Funding Agency, Brazil (FAPESP) [2019/17721-9, 2022/01529-4]; Coordenacao de Aperfeicoamento de Pessoal de Nivel Superior - Brasil (CAPES) [001]; CONICYT-PFCHA/Doctorado Nacional [2017-21170263]; Instituto Tecnologico de Costa Rica project [5402-1510-1035]; Network for Extreme Environments Research (NEXER) [NXR17-0003]; Instituto Antartico Chileno (INACH) [INACH DG_01-19]</t>
  </si>
  <si>
    <t>Agencia Nacional de Investigacion y Desarrollo de Chile (ANID); National Council for Scientific and Technological Development (CNPq scholarship)(Conselho Nacional de Desenvolvimento Cientifico e Tecnologico (CNPQ)); Sao Paulo State Funding Agency, Brazil (FAPESP); Coordenacao de Aperfeicoamento de Pessoal de Nivel Superior - Brasil (CAPES)(Coordenacao de Aperfeicoamento de Pessoal de Nivel Superior (CAPES)); CONICYT-PFCHA/Doctorado Nacional; Instituto Tecnologico de Costa Rica project; Network for Extreme Environments Research (NEXER); Instituto Antartico Chileno (INACH)</t>
  </si>
  <si>
    <t>This research was funded by grants from the Agencia Nacional de Investigacion y Desarrollo de Chile (ANID) - FONDECYT-1210563 and 11230475, the Instituto Antartico Chileno (INACH), INACH DG_01-19; Network for Extreme Environments Research (NEXER), NXR17-0003; Instituto Tecnologico de Costa Rica project 5402-1510-1035, CONICYT-PFCHA/Doctorado Nacional/2017-21170263 for KN-M, DR-V, and LB, by the Coordenacao de Aperfeicoamento de Pessoal de Nivel Superior - Brasil (CAPES) - Finance Code 001 (scholarship to NM, LO, and MJ), by Sao Paulo State Funding Agency, Brazil (FAPESP research grant 2019/17721-9 to Roberto Gomes de Souza Berlinck and scholarship 2022/01529-4 to NM) and the National Council for Scientific and Technological Development (CNPq scholarship 142260/2020-4 to LO and 141501/2020-0 to MJ).</t>
  </si>
  <si>
    <t>10.3389/fmicb.2023.1187321</t>
  </si>
  <si>
    <t>G5ZD4</t>
  </si>
  <si>
    <t>WOS:000989926600001</t>
  </si>
  <si>
    <t>Travouillon, T; Smith, RM; Fucik, J; Figer, DF; Kasliwal, M; Moore, AM; Guillot, T</t>
  </si>
  <si>
    <t>Travouillon, Tony; Smith, Roger M.; Fucik, Jason; Figer, Don F.; Kasliwal, Mansi; Moore, Anna M.; Guillot, Tristan</t>
  </si>
  <si>
    <t>Ultra wide-field infrared astronomy in Antarctica</t>
  </si>
  <si>
    <t>ASTRONOMISCHE NACHRICHTEN</t>
  </si>
  <si>
    <t>instrumentation; detectors; telescopes; infrared; general</t>
  </si>
  <si>
    <t>DESIGN</t>
  </si>
  <si>
    <t>The science enabled by the deep and high-cadence survey that will be performed by the Vera Rubin Observatory has led to an increase of survey and follow-up capabilities around the world. The infrared, has however, not match this growth due to the challenges caused by the atmospheric and the cost of large detector arrays. In this paper, we present solutions to resolve these challenges and a path toward an Antarctic observatory capable matching the volumetric speed of the Vera Rubin Observatory survey in the infrared k-band. We will detail the current state of infrared survey telescopes, demonstrate the benefits of Antarctic high-plateau for such observations, and show some of the development made in detector technologies to make large detector arrays a reality for such application.</t>
  </si>
  <si>
    <t>[Travouillon, Tony; Moore, Anna M.] Australian Natl Univ, Res Sch Astron &amp; Astrophys, Canberra, ACT, Australia; [Smith, Roger M.; Fucik, Jason] CALTECH, Caltech Opt Observ, Pasadena, CA USA; [Figer, Don F.] Rochester Inst Technol, Ctr Detectors, Rochester, NY USA; [Kasliwal, Mansi] CALTECH, Cahill Ctr Astrophys, Pasadena, CA USA; [Guillot, Tristan] Observ Cote Azur, Lab Lagrange, Nice, France</t>
  </si>
  <si>
    <t>Australian National University; California Institute of Technology; Rochester Institute of Technology; California Institute of Technology; Universite Cote d'Azur; Observatoire de la Cote d'Azur</t>
  </si>
  <si>
    <t>Travouillon, T (corresponding author), Australian Natl Univ, Res Sch Astron &amp; Astrophys, Canberra, ACT, Australia.</t>
  </si>
  <si>
    <t>tony.travouillon@anu.edu.au</t>
  </si>
  <si>
    <t>Travouillon, Tony/0000-0001-9304-6718</t>
  </si>
  <si>
    <t>Ames Research Center [NNX13AH70G]; National Science Foundation [1207827, 1509716, AST 2010041]</t>
  </si>
  <si>
    <t>Ames Research Center; National Science Foundation(National Science Foundation (NSF))</t>
  </si>
  <si>
    <t>Ames Research Center, Grant/Award Number: NNX13AH70G; National Science Foundation, Grant/Award Numbers: 1207827, 1509716, AST 2010041</t>
  </si>
  <si>
    <t>0004-6337</t>
  </si>
  <si>
    <t>1521-3994</t>
  </si>
  <si>
    <t>ASTRON NACHR</t>
  </si>
  <si>
    <t>Astro. Nachr.</t>
  </si>
  <si>
    <t>8-9</t>
  </si>
  <si>
    <t>10.1002/asna.20230063</t>
  </si>
  <si>
    <t>EI9O9</t>
  </si>
  <si>
    <t>WOS:000981992000001</t>
  </si>
  <si>
    <t>Hoban, S; da Silva, JM; Mastretta-Yanes, A; Grueber, CE; Heuertz, M; Hunter, ME; Mergeay, J; Paz-Vinas, I; Fukaya, K; Ishihama, F; Jordan, R; Köppä, V; Latorre-Cárdenas, MC; MacDonald, AJ; Rincon-Parra, V; Sjögren-Gulve, P; Tani, N; Thurfjell, H; Laikre, L</t>
  </si>
  <si>
    <t>Hoban, Sean; da Silva, Jessica M.; Mastretta-Yanes, Alicia; Grueber, Catherine E.; Heuertz, Myriam; Hunter, Margaret E.; Mergeay, Joachim; Paz-Vinas, Ivan; Fukaya, Keiichi; Ishihama, Fumiko; Jordan, Rebecca; Koppa, Viktoria; Latorre-Cardenas, Maria Camilla; MacDonald, Anna J.; Rincon-Parra, Victor; Sjogren-Gulve, Per; Tani, Naoki; Thurfjell, Henrik; Laikre, Linda</t>
  </si>
  <si>
    <t>Monitoring status and trends in genetic diversity for the Convention on Biological Diversity: An ongoing assessment of genetic indicators in nine countries</t>
  </si>
  <si>
    <t>CONSERVATION LETTERS</t>
  </si>
  <si>
    <t>adaptive capacity; conservation genetics; indicators; monitoring; policy; resilience</t>
  </si>
  <si>
    <t>CONSERVATION; IMPLEMENTATION; BIODIVERSITY; POPULATIONS; POLICY; RULE</t>
  </si>
  <si>
    <t>Recent scientific evidence shows that genetic diversity must be maintained, managed, and monitored to protect biodiversity and nature's contributions to people. Three genetic diversity indicators, two of which do not require DNA-based assessment, have been proposed for reporting to the Convention on Biological Diversity and other conservation and policy initiatives. These indicators allow an approximation of the status and trends of genetic diversity to inform policy, using existing demographic and geographic information. Application of these indicators has been initiated and here we describe ongoing efforts in calculating these indicators with examples. We specifically describe a project underway to apply these indicators in nine countries, provide example calculations, address concerns of policy makers and implementation challenges, and describe a roadmap for further development and deployment, incorporating feedback from the broader community. We also present guidance documents and data collection tools for calculating indicators. We demonstrate that Parties can successfully and cost-effectively report these genetic diversity indicators with existing biodiversity observation data, and, in doing so, better conserve the Earth's biodiversity.</t>
  </si>
  <si>
    <t>[Hoban, Sean] Morton Arboretum, Ctr Tree Sci, Lisle, IL 60532 USA; [Hoban, Sean] Univ Chicago, Chicago, IL 60637 USA; [da Silva, Jessica M.] South African Natl Biodivers Inst, Fdn Biodivers Sci Div, Pretoria, South Africa; [da Silva, Jessica M.] Univ Johannesburg, Ctr Ecol Genom &amp; Wildlife Conservat, Dept Zool, Johannesburg, South Africa; [Mastretta-Yanes, Alicia] Comis Nacl Conocimiento &amp; Uso Biodiversidad, Mexico City, Mexico; [Mastretta-Yanes, Alicia] Consejo Nacl Ciencia &amp; Technol, Mexico City, Mexico; [Grueber, Catherine E.] Univ Sydney, Fac Sci Sch Life &amp; Environm Sci, Sydney, NSW, Australia; [Heuertz, Myriam] Univ Bordeaux, INRAE, Biogeco, Cestas, France; [Hunter, Margaret E.] US Geol Survey, Wetland &amp; Aquat Res Ctr, Gainesville, FL USA; [Mergeay, Joachim] Res Inst Nat &amp; Forest, Geraardsbergen, Belgium; [Mergeay, Joachim] Katholieke Univ Leuven, Ecol, Leuven, Belgium; [Paz-Vinas, Ivan] Colorado State Univ, Dept Biol, Ft Collins, CO USA; [Fukaya, Keiichi; Ishihama, Fumiko] Natl Inst Environm Studies, Tsukuba, Ibaraki, Japan; [Jordan, Rebecca] CSIRO, Sandy Bay, Tas, Australia; [Koppa, Viktoria; Laikre, Linda] Stockholm Univ, Dept Zool, Div Populat Genet, Stockholm, Sweden; [Latorre-Cardenas, Maria Camilla] Univ Nacl Autonoma Mexico, Inst Invest Ecosistemas &amp; Sustentabilidad, Morelia, Mexico; [MacDonald, Anna J.] Australian Antarctic Div, Dept Climate Change Energy Environm &amp; Water, Kingston, Tas, Australia; [Rincon-Parra, Victor] Programa evaluac &amp; monitoreo, Inst Invest Recursos Biol Alexander von Humboldt, Bogota, Colombia; [Sjogren-Gulve, Per] Nord Chapter Soc Conservat Biol, Uppsala, Sweden; [Tani, Naoki] Japan Int Res Ctr Agr Sci, Forestry Div, Tsukuba, Ibaraki, Japan; [Tani, Naoki] Univ Tsukuba, Fac Life &amp; Environm Sci, Tsukuba, Ibaraki, Japan; [Thurfjell, Henrik] Swedish Univ Agr Sci, Swedish Species Informat Ctr, Uppsala, Sweden; [Laikre, Linda] Stockholm Univ, Dept Zool, Div Populat Genet, Stockholm SE-10691, Sweden</t>
  </si>
  <si>
    <t>University of Chicago; South African National Biodiversity Institute; University of Johannesburg; University of Sydney; INRAE; Universite de Bordeaux; United States Department of the Interior; United States Geological Survey; Research Institute for Nature &amp; Forest; KU Leuven; Colorado State University; National Institute for Environmental Studies - Japan; Commonwealth Scientific &amp; Industrial Research Organisation (CSIRO); Stockholm University; Universidad Nacional Autonoma de Mexico; Australian Antarctic Division; Alliance; International Center for Tropical Agriculture - CIAT; Japan International Research Center for Agricultural Sciences; University of Tsukuba; Swedish University of Agricultural Sciences; Stockholm University</t>
  </si>
  <si>
    <t>Hoban, S (corresponding author), Morton Arboretum, Ctr Tree Sci, Lisle, IL 60532 USA.;Laikre, L (corresponding author), Stockholm Univ, Dept Zool, Div Populat Genet, Stockholm SE-10691, Sweden.</t>
  </si>
  <si>
    <t>shoban@mortonarb.org; linda.laikre@popgen.su.se</t>
  </si>
  <si>
    <t>Hoban, Sean M/E-1530-2011; Heuertz, Myriam/A-7831-2011; da Silva, Jessica Marie/J-4290-2012; Mergeay, Joachim/E-7670-2011; Paz-Vinas, Ivan/L-1936-2013</t>
  </si>
  <si>
    <t>Heuertz, Myriam/0000-0002-6322-3645; da Silva, Jessica Marie/0000-0001-8385-1166; Mergeay, Joachim/0000-0002-6504-0551; Grueber, Catherine/0000-0002-8179-1822; Paz-Vinas, Ivan/0000-0002-0043-9289</t>
  </si>
  <si>
    <t>1755-263X</t>
  </si>
  <si>
    <t>CONSERV LETT</t>
  </si>
  <si>
    <t>Conserv. Lett.</t>
  </si>
  <si>
    <t>10.1111/conl.12953</t>
  </si>
  <si>
    <t>L2DL9</t>
  </si>
  <si>
    <t>WOS:000979327700001</t>
  </si>
  <si>
    <t>Zigman, V; Dominique, M; Grubor, D; Rodger, CJ; Clilverd, MA</t>
  </si>
  <si>
    <t>Zigman, Vida; Dominique, Marie; Grubor, Davorka; Rodger, Craig J.; Clilverd, Mark A.</t>
  </si>
  <si>
    <t>Lower-ionosphere electron density and effective recombination coefficients from multi-instrument space observations and ground VLF measurements during solar flares</t>
  </si>
  <si>
    <t>Solar flares; Solar spectral irradiance; Ionosphere; VLF; Time delay; Electron density</t>
  </si>
  <si>
    <t>EARTHS LOWER IONOSPHERE; D-REGION ENHANCEMENTS; AMPLITUDE; IONIZATION; ABSORPTION; CHIANTI; EVENT; PHASE; RATES</t>
  </si>
  <si>
    <t>A new model to predict the electron density and effective recombination coefficient of the lower ionosphere under solar flare conditions is presented. This model relies on space-borne solar irradiance measurements in coincidence with ground recorded active transmissions of Very Low Frequency (VLF), (&lt;30 kHz) signals. Use is made of the irradiance measured by broad-band radiometers onboard the satellites: GOES, SDO, and PROBA2. Measurements are made over succeeding and partly overlapping wavelength intervals of the instrument band-pass ranges altogether covering the range 0.1-20 nm. The aim is to determine the effectiveness of the particular instrument bandpass in producing changes in the ionization of the lower ionosphere (D-region) during solar X-ray flares. Ionization efficiency is evaluated using modelled Solar Spectral Irradiance for each flare separately and for each instrument as a function of its bandpass.The new model is based on coupling of the continuity equation with the Appleton relation and uses the concept of time delay - the time lag of the extreme VLF amplitude and phase behind the flare irradiance maximum. The solution of the continuity equation predicts the electron density time -height profile for 55-100 km altitude.An analysis of M to X class flares shows the flare-enhanced electron densities due to a particular ionizing wavelength domain are in good agreement for the case where irradiance is taken over the bandpass of (1) either GOES (0.1-0.8 nm) or SDO/ESP (0.1-7 nm) for up to 90 km (2) either SDO/ESP or PROBA2/LYRA (1-2 +6-20 nm) at heights above 90 km. The results agree within 22% for heights up to 90 km, and differ by at most a factor of 2 for heights above 90 km. Remarkable agreement is shown between measured and evaluated time delay; discrepancies are generally less than 8%. The effective recombination coefficient is deduced from the model itself and is found to be consistent with other independent estimates.</t>
  </si>
  <si>
    <t>[Zigman, Vida] Univ Nova Gorica, Vipavska Cesta 13, Nova Gorica 5000, Slovenia; [Dominique, Marie] Royal Observ Belgium, 3 Ave Circulaire, B-1180 Brussels, Belgium; [Grubor, Davorka] Univ Belgrade, Fac Min &amp; Geol, Phys Cathedra, Djusina 7, Belgrade 11000, Serbia; [Rodger, Craig J.] Univ Otago, Dept Phys, POB 56, Dunedin 9054, New Zealand; [Clilverd, Mark A.] British Antarctic Survey UKRI NERC, Madingley Rd, Cambridge CB3 0ET, England</t>
  </si>
  <si>
    <t>University of Nova Gorica; University of Belgrade; University of Otago; UK Research &amp; Innovation (UKRI); Natural Environment Research Council (NERC); NERC British Antarctic Survey</t>
  </si>
  <si>
    <t>Zigman, V (corresponding author), Univ Nova Gorica, Vipavska Cesta 13, Nova Gorica 5000, Slovenia.</t>
  </si>
  <si>
    <t>vida.zigman@ung.si</t>
  </si>
  <si>
    <t>Rodger, Craig/A-1501-2011</t>
  </si>
  <si>
    <t>Rodger, Craig J./0000-0002-6770-2707</t>
  </si>
  <si>
    <t>China (CRIRP); Finland (SA); Japan (NIPR and ISEE); Norway (NFR); Sweden (VR); United Kingdom (UKRI); Belgian Federal Science Policy Office (BELSPO); Swiss Bundesamt fur Bildung und Wissenschaft; Belgian Federal Science Policy Office [4000134474]</t>
  </si>
  <si>
    <t>China (CRIRP); Finland (SA); Japan (NIPR and ISEE); Norway (NFR)(Research Council of Norway); Sweden (VR)(Swedish Research Council); United Kingdom (UKRI)(UK Research &amp; Innovation (UKRI)); Belgian Federal Science Policy Office (BELSPO)(Belgian Federal Science Policy Office); Swiss Bundesamt fur Bildung und Wissenschaft; Belgian Federal Science Policy Office(Belgian Federal Science Policy Office)</t>
  </si>
  <si>
    <t>This research was performed within the frame of the Guest Investigator Programme of the PROBA2 Science Center of the Royal Observatory of Belgium. V. Zigman acknowledges the guest investigator stay at ROB. We acknowledge the use of GOES (XRS) data from https:// www.ng dc.noaa.gov/stp/satellite/goes/dataaccess.html, SDO (ESP) data from https://lasp.colorado.edu/home/eve/; PROBA2 (LYRA) data from htt ps://proba2.sidc.be; TIMED.SEE data from http://lasps.colorado. edu/see/. We thank J. Machol of the NOAA Center for Environmental Information regarding the use of GOES XRS data and in indicating the relevant NOAA data links. The assistance of I . Haggstrom in using the EISCAT Tromso VHF radar data (https:/madrigal.eiscat.se/madrigal/) is gratefully acknowledged . EISCAT is an international association supported by research organisations in China (CRIRP) , Finland (SA) , Japan (NIPR and ISEE) , Norway (NFR) , Sweden (VR) , and the United Kingdom (UKRI) . The VLF data from the Belgrade VLF Observatory were retrieved through a collaborative project between the Institute of Physics, University of Belgrade, Serbia and the University of Nova Gorica, Slovenia. VLF data from Casey, Antarctica were obtained in collaboration with the VERSIM IAGA joint working group with support from the Australian Antarctic Division, and can be found at Data Coverage-Casey ULTRA by Variants (nerc-bas.ac.uk) We thank W. Singer for kindly providing the Singer et al. (2011) electron density data in tabular form. LYRA is a project of the Center Spatial de Liege, the Physikalisch-Meteorologisches Observatorium Davos and the Royal Observatory of Belgium, funded by the Belgian Federal Science Policy Office (BELSPO) and by the Swiss Bundesamt fur Bildung und Wissenschaft. M. Dominique work is funded by the Belgian Federal Science Policy Office through the ESA-PRODEX programme, grant No. 4000134474. The authors thank the Reviewers for helpful comments on the paper.</t>
  </si>
  <si>
    <t>10.1016/j.jastp.2023.106074</t>
  </si>
  <si>
    <t>H8HE2</t>
  </si>
  <si>
    <t>WOS:000998299000001</t>
  </si>
  <si>
    <t>Rabault, J; Müller, M; Voermans, J; Brazhnikov, D; Turnbull, I; Marchenko, A; Biuw, M; Nose, T; Waseda, T; Johansson, M; Breivik, O; Sutherland, G; Hole, LR; Johnson, M; Jensen, A; Gundersen, O; Kristoffersen, Y; Babanin, A; Tedesco, P; Christensen, KH; Kristiansen, M; Hope, G; Kodaira, T; de Aguiar, V; Taelman, C; Quigley, CP; Filchuk, K; Mahoney, AR</t>
  </si>
  <si>
    <t>Rabault, Jean; Mueller, Malte; Voermans, Joey; Brazhnikov, Dmitry; Turnbull, Ian; Marchenko, Aleksey; Biuw, Martin; Nose, Takehiko; Waseda, Takuji; Johansson, Malin; Breivik, Oyvind; Sutherland, Graig; Hole, Lars Robert; Johnson, Mark; Jensen, Atle; Gundersen, Olav; Kristoffersen, Yngve; Babanin, Alexander; Tedesco, Paulina; Christensen, Kai Haakon; Kristiansen, Martin; Hope, Gaute; Kodaira, Tsubasa; de Aguiar, Victor; Taelman, Catherine; Quigley, Cornelius P.; Filchuk, Kirill; Mahoney, Andrew R.</t>
  </si>
  <si>
    <t>A dataset of direct observations of sea ice drift and waves in ice</t>
  </si>
  <si>
    <t>FLOE SIZE DISTRIBUTION; CLIMATE-CHANGE; OCEAN; MODEL; ATTENUATION; PROPAGATION; BEAUFORT; TRENDS; MOTION</t>
  </si>
  <si>
    <t>Variability in sea ice conditions, combined with strong couplings to the atmosphere and the ocean, lead to a broad range of complex sea ice dynamics. More in-situ measurements are needed to better identify the phenomena and mechanisms that govern sea ice growth, drift, and breakup. To this end, we have gathered a dataset of in-situ observations of sea ice drift and waves in ice. A total of 15 deployments were performed over a period of 5 years in both the Arctic and Antarctic, involving 72 instruments. These provide both GPS drift tracks, and measurements of waves in ice. The data can, in turn, be used for tuning sea ice drift models, investigating waves damping by sea ice, and helping calibrate other sea ice measurement techniques, such as satellite based observations.</t>
  </si>
  <si>
    <t>[Rabault, Jean; Tedesco, Paulina] Norwegian Meteorol Inst, IT Dept, N-0313 Oslo, Norway; [Mueller, Malte; Christensen, Kai Haakon] Norwegian Meteorol Inst, R&amp;D Dept, N-0313 Oslo, Norway; [Mueller, Malte; Christensen, Kai Haakon] Univ Oslo, Dept Geosci, N-0313 Oslo, Norway; [Voermans, Joey; Babanin, Alexander] Univ Melbourne, Dept Infrastruct Engn, Melbourne 3010, Australia; [Brazhnikov, Dmitry; Johnson, Mark] Univ Alaska Fairbanks, Coll Fisheries &amp; Ocean Sci, Fairbanks, AK 99775 USA; [Turnbull, Ian] C CORE, Captain Robert A Bartlett Bldg, Morrissey Rd, St John, NF A1B 3X5, Canada; [Marchenko, Aleksey] Univ Ctr Svalbard, Arctic Technol Deparment, 156 N, N-9171 Longyearbyen, Norway; [Biuw, Martin; Kristiansen, Martin] Inst Marine Res, Fram Ctr, POB 6606 Langnes, N-9296 Tromso, Norway; [Nose, Takehiko; Waseda, Takuji; Kodaira, Tsubasa] Univ Tokyo, Grad Sch Frontier Sci, Kashiwa 2778561, Japan; [Waseda, Takuji] Japan Agcy Marine Earth Sci &amp; Technol, Yokosuka 2370061, Japan; [Johansson, Malin; de Aguiar, Victor; Taelman, Catherine; Quigley, Cornelius P.] UiT Arctic Univ Norway, Dept Phys &amp; Technol, N-9037 Tromso, Norway; [Breivik, Oyvind; Hole, Lars Robert; Hope, Gaute] Norwegian Meteorol Inst, R&amp;D Dept, N-5007 Bergen, Norway; [Breivik, Oyvind] Univ Bergen, Geophys Inst, N-5007 Bergen, Norway; [Sutherland, Graig] Environm &amp; Climate Change Canada, Environm Numer Predict Res Dept, Dorval, PQ K1A 0H3, Canada; [Jensen, Atle; Gundersen, Olav] Univ Oslo, Dept Math, N-0313 Oslo, Norway; [Kristoffersen, Yngve] Univ Bergen, Dept Earth Sci, N-5007 Bergen, Norway; [Tedesco, Paulina] Univ Oslo, Dept Phys, N-0313 Oslo, Norway; [Filchuk, Kirill] Arctic &amp; Antarctic Res Inst AARI, St Petersburg, Russia; [Mahoney, Andrew R.] Univ Alaska Fairbanks, Geophys Inst, Fairbanks, AK 99775 USA</t>
  </si>
  <si>
    <t>Norwegian Meteorological Institute; Norwegian Meteorological Institute; University of Oslo; University of Melbourne; University of Alaska System; University of Alaska Fairbanks; University Centre Svalbard (UNIS); Institute of Marine Research - Norway; University of Tokyo; Japan Agency for Marine-Earth Science &amp; Technology (JAMSTEC); UiT The Arctic University of Tromso; Norwegian Meteorological Institute; University of Bergen; Environment &amp; Climate Change Canada; University of Oslo; University of Bergen; University of Oslo; Arctic &amp; Antarctic Research Institute; University of Alaska System; University of Alaska Fairbanks</t>
  </si>
  <si>
    <t>Rabault, J (corresponding author), Norwegian Meteorol Inst, IT Dept, N-0313 Oslo, Norway.</t>
  </si>
  <si>
    <t>jean.rblt@gmail.com</t>
  </si>
  <si>
    <t>Marchenko, Aleksey/GSD-3516-2022; Waseda, Takuji/F-1445-2019; Muller, Malte/AAD-7692-2022</t>
  </si>
  <si>
    <t>Marchenko, Aleksey/0000-0003-4169-0063; Muller, Malte/0000-0003-2871-8359; Rabault, Jean/0000-0002-7244-6592; Johansson, Malin/0000-0003-0129-2239; de Aguiar, Victor/0000-0001-5930-4330</t>
  </si>
  <si>
    <t>Norwegian Research Council; Norwegian Polar Institute [280625, 276730, 303411, 301450]; CIRFA [237906]; Australian Antarctic Science Program [AAS4593]; US Office of Naval Research Grant [N62909-20-1-2080]; Research Council of Norway through the Centre for Sustainable Arctic Marine and Coastal Technology (SAMCoT); Arctic Offshore and Coastal Engineering in a Changing Climate (AOCEC) project of the Programme for International Partnerships for Excellent Education [274951]; Dynamics of Floating Ice (DOFI) project of the Large-scale Programme for Petroleum Research (Petromaks2); Lundin Energy Norway [802144]; Fram Center through the Arctic Ocean flagship grant (project ThinTec - Thin ice Measurement Technology)</t>
  </si>
  <si>
    <t>Norwegian Research Council(Research Council of Norway); Norwegian Polar Institute; CIRFA; Australian Antarctic Science Program; US Office of Naval Research Grant(Office of Naval Research); Research Council of Norway through the Centre for Sustainable Arctic Marine and Coastal Technology (SAMCoT)(Research Council of Norway); Arctic Offshore and Coastal Engineering in a Changing Climate (AOCEC) project of the Programme for International Partnerships for Excellent Education; Dynamics of Floating Ice (DOFI) project of the Large-scale Programme for Petroleum Research (Petromaks2); Lundin Energy Norway; Fram Center through the Arctic Ocean flagship grant (project ThinTec - Thin ice Measurement Technology)</t>
  </si>
  <si>
    <t>This work was partly funded through the following projects and funding agencies: the Norwegian Research Council, the Norwegian Polar Institute, and the Norwegian Meteorological Institute through the following projects: Dynamics Of Floating Ice (DOFI, grant number 280625), Arven Etter Nansen (AeN, 276730), Machine Ocean (303411), FOCUS (301450), CIRFA (237906). JV and AB were supported by the Australian Antarctic Science Program under Project AAS4593. AB acknowledges support from the US Office of Naval Research Grant Number N62909-20-1-2080. AM and IT were supported by the Research Council of Norway through the Centre for Sustainable Arctic Marine and Coastal Technology (SAMCoT), the Arctic Offshore and Coastal Engineering in a Changing Climate (AOCEC) project of the Programme for International Partnerships for Excellent Education, Research, and Innovation (IntPart, Project number 274951), and the Dynamics of Floating Ice (DOFI) project of the Large-scale Programme for Petroleum Research (Petromaks2). YK was supported by Lundin Energy Norway (grant 802144). MJ, JR, AM were supported by the Fram Center through the Arctic Ocean flagship grant (project ThinTec - Thin ice Measurement Technology). We want to thank the crews of the R/V Kronprins Haakon and the MS Polarsyssel for their invaluable help during fieldwork. IT and AM thank the C-CORE for in-kind support of this work and Ryan Crawford and Erik Veitch for their assistance with the fieldwork. We also want to thank Jim Thomson for his support of our idea to create a github data index, and pointing us to the data he has been involved in releasing openly on data repositories.</t>
  </si>
  <si>
    <t>MAY 3</t>
  </si>
  <si>
    <t>10.1038/s41597-023-02160-9</t>
  </si>
  <si>
    <t>F4EH6</t>
  </si>
  <si>
    <t>WOS:000981888900002</t>
  </si>
  <si>
    <t>Nguyen, VH; Wemheuer, B; Song, WZ; Bennett, H; Webster, N; Thomas, T</t>
  </si>
  <si>
    <t>Nguyen, Viet Hung; Wemheuer, Bernd; Song, Weizhi; Bennett, Holly; Webster, Nicole; Thomas, Torsten</t>
  </si>
  <si>
    <t>Identification, classification, and functional characterization of novel sponge-associated acidimicrobiial species</t>
  </si>
  <si>
    <t>Actinobacteriota; Acidimicrobiia; Symbionts; Taxonomy; Metabolism; Host speci ficity</t>
  </si>
  <si>
    <t>DEPENDENT FORMALDEHYDE DEHYDROGENASE; SP NOV.; ESCHERICHIA-COLI; GEN. NOV.; MARINE SPONGES; STEROL COMPOSITION; ERGOSTEROL BIOSYNTHESIS; ISOPRENOID BIOSYNTHESIS; MOLECULAR-BIOLOGY; BACTERIAL</t>
  </si>
  <si>
    <t>Sponges are known to harbour an exceptional diversity of uncultured microorganisms, including members of the phylum Actinobacteriota. While members of the actinobacteriotal class Actinomycetia have been studied intensively due to their potential for secondary metabolite production, the sister class of Acidimicrobiia is often more abundant in sponges. However, the taxonomy, functions, and ecological roles of sponge-associated Acidimicrobiia are largely unknown. Here, we reconstructed and characterized 22 metagenome-assembled genomes (MAGs) of Acidimicrobiia from three sponge species. These MAGs represented six novel species, belonging to five genera, four families, and two orders, which are all uncharacterized (except the order Acidimicrobiales) and for which we propose nomenclature. These six uncultured species have either only been found in sponges and/or corals and have varying degrees of specificity to their host species. Functional gene profiling indicated that these six species shared a similar potential to non-symbiotic Acidimicrobiia with respect to amino acid biosynthesis and utilization of sulfur compounds. However, sponge-associated Acidimicrobiia differed from their non-symbiotic counterparts by relying predominantly on organic rather than inorganic sources of energy, and their predicted capacity to synthesise bioactive compounds or their precursors implicated in host defence. Additionally, the species possess the genetic capacity to degrade aromatic compounds that are frequently found in sponges. The novel Acidimicrobiia may also potentially mediate host development by modulating Hedgehog signalling and by the production of serotonin, which can affect host body contractions and digestion. These results highlight unique genomic and metabolic features of six new acidimicrobiial species that potentially support a sponge-associated lifestyle.</t>
  </si>
  <si>
    <t>[Nguyen, Viet Hung; Wemheuer, Bernd; Song, Weizhi; Thomas, Torsten] Univ New South Wales, Sch Biol Earth &amp; Environm Sci, Ctr Marine Sci &amp; Innovat, Sydney, NSW, Australia; [Bennett, Holly; Webster, Nicole] Australian Inst Marine Sci, Townsville, Qld, Australia; [Webster, Nicole] Australian Antarctic Div, Hobart, Tas, Australia</t>
  </si>
  <si>
    <t>University of New South Wales Sydney; Australian Institute of Marine Science; Australian Antarctic Division</t>
  </si>
  <si>
    <t>Thomas, T (corresponding author), Univ New South Wales, Sch Biol Earth &amp; Environm Sci, Ctr Marine Sci &amp; Innovat, Sydney, NSW, Australia.</t>
  </si>
  <si>
    <t>t.thomas@unsw.edu.au</t>
  </si>
  <si>
    <t>Nguyen, Hung/F-1236-2013</t>
  </si>
  <si>
    <t>Song, Weizhi/0000-0001-5890-5361</t>
  </si>
  <si>
    <t>10.1016/j.syapm.2023.126426</t>
  </si>
  <si>
    <t>H8TV4</t>
  </si>
  <si>
    <t>WOS:000998629500001</t>
  </si>
  <si>
    <t>Buss, DL; Atmore, LM; Zicos, MH; Goodall-Copestake, WP; Brace, S; Archer, FI; Baker, CS; Barnes, I; Carroll, EL; Hart, T; Kitchener, AC; Sabin, R; Sremba, AL; Weir, CR; Jackson, JA</t>
  </si>
  <si>
    <t>Buss, Danielle L.; Atmore, Lane M.; Zicos, Maria H.; Goodall-Copestake, William P.; Brace, Selina; Archer, Frederick I.; Baker, C. Scott; Barnes, Ian; Carroll, Emma L.; Hart, Tom; Kitchener, Andrew C.; Sabin, Richard; Sremba, Angela L.; Weir, Caroline R.; Jackson, Jennifer A.</t>
  </si>
  <si>
    <t>Historical Mitogenomic Diversity and Population Structuring of Southern Hemisphere Fin Whales</t>
  </si>
  <si>
    <t>baleen whale; population structure; genomic analysis; South Pacific; South Atlantic; ancient DNA</t>
  </si>
  <si>
    <t>MITOCHONDRIAL-DNA VARIATION; HUMPBACK WHALES; GENETIC DIFFERENTIATION; BLUE WHALES; MEGAPTERA-NOVAEANGLIAE; BALAENOPTERA-PHYSALUS; NORTH-ATLANTIC; SPERM-WHALES; ANCIENT DNA; ABUNDANCE</t>
  </si>
  <si>
    <t>Fin whales Balaenoptera physalus were hunted unsustainably across the globe in the 19th and 20th centuries, leading to vast reductions in population size. Whaling catch records indicate the importance of the Southern Ocean for this species; approximately 730,000 fin whales were harvested during the 20th century in the Southern Hemisphere (SH) alone, 94% of which were at high latitudes. Genetic samples from contemporary whales can provide a window to past population size changes, but the challenges of sampling in remote Antarctic waters limit the availability of data. Here, we take advantage of historical samples in the form of bones and baleen available from ex-whaling stations and museums to assess the pre-whaling diversity of this once abundant species. We sequenced 27 historical mitogenomes and 50 historical mitochondrial control region sequences of fin whales to gain insight into the population structure and genetic diversity of Southern Hemisphere fin whales (SHFWs) before and after the whaling. Our data, both independently and when combined with mitogenomes from the literature, suggest SHFWs are highly diverse and may represent a single panmictic population that is genetically differentiated from Northern Hemisphere populations. These are the first historic mitogenomes available for SHFWs, providing a unique time series of genetic data for this species.</t>
  </si>
  <si>
    <t>[Buss, Danielle L.; Goodall-Copestake, William P.; Jackson, Jennifer A.] British Antarctic Survey, Natl Environm Res Council, Cambridge CB3 0ET, England; [Buss, Danielle L.; Atmore, Lane M.] Univ Cambridge, Dept Archaeol, Downing St, Cambridge CB2 3DZ, England; [Atmore, Lane M.] Univ Oslo, Ctr Ecol &amp; Evolutionary Synth, Dept Biosci, N-0316 Oslo, Norway; [Zicos, Maria H.; Brace, Selina; Barnes, Ian; Sabin, Richard] Nat Hist Museum, Cromwell Rd, London SW7, England; [Goodall-Copestake, William P.] Scottish Assoc Marine Sci, Oban PA37 1QA, England; [Archer, Frederick I.] Southwest Fisheries Sci Ctr, Natl Ocean &amp; Atmospher Adm, La Jolla, CA 92037 USA; [Baker, C. Scott; Sremba, Angela L.] Oregon State Univ, Marine Mammal Inst, Newport, OR 97365 USA; [Baker, C. Scott; Sremba, Angela L.] Oregon State Univ, Hatfield Marine Sci Ctr, Dept Fisheries &amp; Wildlife, Newport, OR 97365 USA; [Carroll, Emma L.] Univ Auckland Waipapa Taumata Rau, Te Kura Matauranga Koiora Sch Biol Sci, Auckland 1010, New Zealand; [Hart, Tom] Univ Oxford, Dept Zool, Mansfield Rd, Oxford OX1 3SZ, England; [Kitchener, Andrew C.] Natl Museums Scotland, Dept Nat Sci, Chambers St, Edinburgh EH1 1JF, Scotland; [Kitchener, Andrew C.] Univ Edinburgh, Sch Geosci, Drummond St, Edinburgh EH8 9XP, Scotland; [Weir, Caroline R.] Falklands Conservat, Ross Rd, Stanley F1QQ 1ZZ, Falkland Island</t>
  </si>
  <si>
    <t>UK Research &amp; Innovation (UKRI); Natural Environment Research Council (NERC); NERC British Antarctic Survey; University of Cambridge; University of Oslo; Natural History Museum London; National Oceanic Atmospheric Admin (NOAA) - USA; Oregon State University; Oregon State University; University of Oxford; University of Edinburgh</t>
  </si>
  <si>
    <t>Buss, DL (corresponding author), British Antarctic Survey, Natl Environm Res Council, Cambridge CB3 0ET, England.;Buss, DL (corresponding author), Univ Cambridge, Dept Archaeol, Downing St, Cambridge CB2 3DZ, England.</t>
  </si>
  <si>
    <t>daniellebuss277@gmail.com</t>
  </si>
  <si>
    <t>Goodall-Copestake, William P/C-1061-2011; Buss, Danny/JDW-2244-2023; Jackson, Jennifer A/E-7997-2013; Barnes, Ian C/B-8081-2008; Archer, Frederick/HRA-3487-2023; Carroll, Emma/U-9133-2019</t>
  </si>
  <si>
    <t>Barnes, Ian C/0000-0001-8322-6918; Archer, Frederick/0000-0002-3179-4769; Carroll, Emma/0000-0003-3193-7288; Weir, Caroline/0000-0002-2052-5037; Jackson, Jennifer/0000-0003-4158-1924; Kitchener, Andrew/0000-0003-2594-0827; Sabin, Richard/0000-0003-0699-7596; Goodall-Copestake, Will/0000-0003-3586-9091; Buss, Danielle/0000-0001-5362-240X; Atmore, Lane/0000-0002-8903-8149</t>
  </si>
  <si>
    <t>NERC-Cambridge ESS Doctoral Training Partnership studentship from the Natural Environment Research Council [NE/L002507/1]; NERC; Falklands Conservation; Royal Society for the Protection of Birds (RSPB); FIG</t>
  </si>
  <si>
    <t>NERC-Cambridge ESS Doctoral Training Partnership studentship from the Natural Environment Research Council; NERC(UK Research &amp; Innovation (UKRI)Natural Environment Research Council (NERC)); Falklands Conservation; Royal Society for the Protection of Birds (RSPB); FIG</t>
  </si>
  <si>
    <t>D.L.B. was supported by a NERC-Cambridge ESS Doctoral Training Partnership studentship from the Natural Environment Research Council (NE/L002507/1). This work contributes to the Ecosystems component of the British Antarctic Survey Polar Science for Planet Earth Programme funded by the NERC. Sampling in the Falkland Islands was carried out with Falkland Islands Government (FIG) Research Licence Nos. R11/2017 and R05/2018 and was part of work funded by Falklands Conservation, the Royal Society for the Protection of Birds (RSPB) and the FIG.</t>
  </si>
  <si>
    <t>10.3390/genes14051038</t>
  </si>
  <si>
    <t>H7QW2</t>
  </si>
  <si>
    <t>WOS:000997874400001</t>
  </si>
  <si>
    <t>Si, YDF; Stewart, AL; Eisenman, I</t>
  </si>
  <si>
    <t>Si, Yidongfang; Stewart, Andrew L.; Eisenman, Ian</t>
  </si>
  <si>
    <t>Heat transport across the Antarctic Slope Front controlled by cross-slope salinity gradients</t>
  </si>
  <si>
    <t>CIRCUMPOLAR DEEP-WATER; BASAL MELT RATES; ICE SHELVES; OCEAN CIRCULATION; SOUTHERN-OCEAN; CONTINENTAL-SHELF; EDDY; DRIVEN; SENSITIVITY; MELTWATER</t>
  </si>
  <si>
    <t>The Antarctic Slope Front (ASF) is a strong gradient in water mass properties close to the Antarctic margins, separating warm water from the Antarctic ice sheet. Heat transport across the ASF is important to Earth's climate, as it influences melting of ice shelves, the formation of bottom water, and thus the global meridional overturning circulation. Previous studies based on relatively low-resolution global models have reported con-tradictory findings regarding the impact of additional meltwater on heat transport toward the Antarctic conti-nental shelf: It remains unclear whether meltwater enhances shoreward heat transport, leading to a positive feedback, or further isolates the continental shelf from the open ocean. In this study, heat transport across the ASF is investigated using eddy-and tide-resolving, process-oriented simulations. It is found that freshening of the fresh coastal waters leads to increased shoreward heat flux, which implies a positive feedback in a warming climate: Increased meltwater will increase shoreward heat transport, causing further melt of ice shelves.</t>
  </si>
  <si>
    <t>[Si, Yidongfang; Stewart, Andrew L.] Univ Calif Los Angeles, Dept Atmospher &amp; Ocean Sci, Los Angeles, CA 90095 USA; [Eisenman, Ian] Univ Calif Los Angeles, Scripps Inst Oceanog, La Jolla, CA USA</t>
  </si>
  <si>
    <t>University of California System; University of California Los Angeles; University of California System; University of California Los Angeles; University of California San Diego; Scripps Institution of Oceanography</t>
  </si>
  <si>
    <t>Si, YDF (corresponding author), Univ Calif Los Angeles, Dept Atmospher &amp; Ocean Sci, Los Angeles, CA 90095 USA.</t>
  </si>
  <si>
    <t>ysi@g.ucla.edu</t>
  </si>
  <si>
    <t>Eisenman, Ian/B-9329-2009</t>
  </si>
  <si>
    <t>Eisenman, Ian/0000-0003-0190-2869; Si, Yidongfang/0000-0003-3343-406X; Stewart, Andrew/0000-0001-5861-4070</t>
  </si>
  <si>
    <t>National Science Foundation [OPP-1643445, OCE-1751386, OPP-2023244, ACI-1548562, OCE-2048590]; China Scholarship Council [201806010366]</t>
  </si>
  <si>
    <t>National Science Foundation(National Science Foundation (NSF)); China Scholarship Council(China Scholarship Council)</t>
  </si>
  <si>
    <t>This work was supported by National Science Foundation grant OCE-1751386 (A.L.S.) , National Science Foundation grant OPP-2023244 (A.L.S.) , National Science Foundation grant ACI-1548562 (A.L.S.) , National Science Foundation grant OCE-2048590 (I.E.) , National Science Foundation grant OPP-1643445 (I.E.) , and China Scholarship Council scholarship 201806010366 (Y.S.).</t>
  </si>
  <si>
    <t>eadd7049</t>
  </si>
  <si>
    <t>10.1126/sciadv.add7049</t>
  </si>
  <si>
    <t>G3NP9</t>
  </si>
  <si>
    <t>WOS:000988268100012</t>
  </si>
  <si>
    <t>Arsenault, J; Talbot, J; Brown, LE; Helbig, M; Holden, J; Hoyos-Santillan, J; Jolin, E; Mackenzie, R; Martinez-Cruz, K; Sepulveda-Jauregui, A; Lapierre, JF</t>
  </si>
  <si>
    <t>Arsenault, Julien; Talbot, Julie; Brown, Lee E.; Helbig, Manuel; Holden, Joseph; Hoyos-Santillan, Jorge; Jolin, Emilie; Mackenzie, Roy; Martinez-Cruz, Karla; Sepulveda-Jauregui, Armando; Lapierre, Jean-Francois</t>
  </si>
  <si>
    <t>Climate-driven spatial and temporal patterns in peatland pool biogeochemistry</t>
  </si>
  <si>
    <t>GLOBAL CHANGE BIOLOGY</t>
  </si>
  <si>
    <t>biogeochemistry; carbon; climate change; climate sentinels; landscape change; nutrient cycling; ponds</t>
  </si>
  <si>
    <t>ORGANIC-CARBON EXPORT; ECOSYSTEM FUNCTION; VEGETATION; DECOMPOSITION; GRADIENTS; HYDROLOGY; NITROGEN; LAKES; BOGS</t>
  </si>
  <si>
    <t>Peatland pools are freshwater bodies that are highly dynamic aquatic ecosystems because of their small size and their development in organic-rich sediments. However, our ability to understand and predict their contribution to both local and global biogeochemical cycles under rapidly occurring environmental change is limited because the spatiotemporal drivers of their biogeochemical patterns and processes are poorly understood. We used (1) pool biogeochemical data from 20 peatlands in eastern Canada, the United Kingdom, and southern Patagonia and (2) multi-year data from an undisturbed peatland of eastern Canada, to determine how climate and terrain features drive the production, delivering and processing of carbon (C), nitrogen (N), and phosphorus (P) in peatland pools. Across sites, climate (24%) and terrain (13%) explained distinct portions of the variation in pool biogeochemistry, with climate driving spatial differences in pool dissolved organic C (DOC) concentration and aromaticity. Within the multi-year dataset, DOC, carbon dioxide (CO2), total N concentrations, and DOC aromaticity were highest in the shallowest pools and at the end of the growing seasons, and increased gradually from 2016 to 2021 in relation to a combination of increases in summer precipitation, mean air temperature for the previous fall, and number of extreme summer heat days. Given the contrasting effects of terrain and climate, broad-scale terrain characteristics may offer a baseline for the prediction of small-scale pool biogeochemistry, while broad-scale climate gradients and relatively small year-to-year variations in local climate induce a noticeable response in pool biogeochemistry. These findings emphasize the reactivity of peatland pools to both local and global environmental change and highlight their potential to act as widely distributed climate sentinels within historically relatively stable peatland ecosystems.</t>
  </si>
  <si>
    <t>[Arsenault, Julien; Talbot, Julie; Jolin, Emilie] Univ Montreal, Dept Geog, Montreal, PQ, Canada; [Arsenault, Julien; Talbot, Julie; Jolin, Emilie; Lapierre, Jean-Francois] Grp Rech Interuniv Limnol GRIL, Montreal, PQ, Canada; [Brown, Lee E.; Holden, Joseph] Univ Leeds, Sch Geog, Water Leeds, Leeds, England; [Helbig, Manuel] Dalhousie Univ, Dept Phys &amp; Atmospher Sci, Halifax, NS, Canada; [Hoyos-Santillan, Jorge; Martinez-Cruz, Karla; Sepulveda-Jauregui, Armando] Univ Magallanes, Environm Biogeochem Lab, Punta Arenas, Chile; [Hoyos-Santillan, Jorge] Univ Nottingham, Sch Biosci, Loughborough, England; [Mackenzie, Roy] Cape Horn Int Ctr CHIC, Puerto Williams, Chile; [Mackenzie, Roy] Millennium Inst Biodivers Antarctic &amp; Subantarct E, Santiago, Chile; [Martinez-Cruz, Karla] Univ Konstanz, Limnol Inst, Environm Phys, Constance, Germany; [Lapierre, Jean-Francois] Univ Montreal, Dept Sci Biol, Montreal, PQ, Canada; [Arsenault, Julien] Univ Montreal, Dept Geog, Montreal, PQ H2V 0B3, Canada</t>
  </si>
  <si>
    <t>Universite de Montreal; University of Leeds; Dalhousie University; Universidad de Magallanes; University of Nottingham; University of Konstanz; Universite de Montreal; Universite de Montreal</t>
  </si>
  <si>
    <t>Arsenault, J (corresponding author), Univ Montreal, Dept Geog, Montreal, PQ H2V 0B3, Canada.</t>
  </si>
  <si>
    <t>julien.arsenault.1@umontreal.ca</t>
  </si>
  <si>
    <t>Talbot, Julie/W-3931-2019; Lapierre, Jean-Francois/F-1838-2010; Sepulveda-Jauregui, Armando/J-5049-2019; Mackenzie, Roy/AAU-7621-2020; Hoyos, Jorge/F-3529-2019</t>
  </si>
  <si>
    <t>Talbot, Julie/0000-0002-1417-2327; Lapierre, Jean-Francois/0000-0001-5862-7955; Sepulveda-Jauregui, Armando/0000-0001-7777-4520; Mackenzie, Roy/0000-0001-6620-1532; Hoyos, Jorge/0000-0001-6295-9485; Holden, Joseph/0000-0002-1108-4831; Brown, Lee E./0000-0002-2420-0088; Arsenault, Julien/0000-0002-7840-1838; Helbig, Manuel/0000-0003-1996-8639</t>
  </si>
  <si>
    <t>Agencia Nacional de Investigacion y Desarrollo [ANID-FONDECYT-11170134 / ANID-FONDECYT-11200024 /]; Esmee Fairbairn Foundation [10-0774]; Fonds de recherche du Quebec - Nature et technologies; Natural Environment Research Council [NE-J007609-1]; Natural Sciences and Engineering Research Council of Canada [RGPIN-2020-05310 / RGPIN-2021-02565]</t>
  </si>
  <si>
    <t>Agencia Nacional de Investigacion y Desarrollo; Esmee Fairbairn Foundation; Fonds de recherche du Quebec - Nature et technologies(Fonds de recherche du Quebec (FRQ)Fonds de recherche du Quebec - Nature et technologies (FRQNT)); Natural Environment Research Council(UK Research &amp; Innovation (UKRI)Natural Environment Research Council (NERC)); Natural Sciences and Engineering Research Council of Canada(Natural Sciences and Engineering Research Council of Canada (NSERC)CGIAR)</t>
  </si>
  <si>
    <t>Agencia Nacional de Investigacion y Desarrollo, Grant/Award Number: ANID-FONDECYT-11170134 / ANID-FONDECYT-11200024 /; Esmee Fairbairn Foundation, Grant/Award Number: 10-0774; Fonds de recherche du Quebec - Nature et technologies; Natural Environment Research Council, Grant/Award Number: NE-J007609-1; Natural Sciences and Engineering Research Council of Canada, Grant/Award Number: RGPIN-2020-05310 / RGPIN-2021-02565</t>
  </si>
  <si>
    <t>1354-1013</t>
  </si>
  <si>
    <t>1365-2486</t>
  </si>
  <si>
    <t>GLOBAL CHANGE BIOL</t>
  </si>
  <si>
    <t>Glob. Change Biol.</t>
  </si>
  <si>
    <t>10.1111/gcb.16748</t>
  </si>
  <si>
    <t>J2ZH1</t>
  </si>
  <si>
    <t>WOS:000981825600001</t>
  </si>
  <si>
    <t>Brown, KE; Koppel, DJ; Price, GAV; King, CK; Adams, MS; Jolley, DF</t>
  </si>
  <si>
    <t>Brown, Kathryn E.; Koppel, Darren J.; Price, Gwilym A. V.; King, Catherine K.; Adams, Merrin S.; Jolley, Dianne F.</t>
  </si>
  <si>
    <t>High Sensitivity of the Antarctic Rotifer Adineta editae to Metals and Ecological Relevance in Contaminated Site Risk Assessments</t>
  </si>
  <si>
    <t>ENVIRONMENTAL TOXICOLOGY AND CHEMISTRY</t>
  </si>
  <si>
    <t>Terrestrial invertebrate toxicology; Soil contamination; Metal toxicity; Antarctic contamination risks; Metal mixture; Bdelloid rotifers</t>
  </si>
  <si>
    <t>TOXICANT EXPOSURE; CHRONIC TOXICITY; LEAD; BDELLOIDEA; CHEMISTRY; MODEL; STATE</t>
  </si>
  <si>
    <t>Anthropogenic activities in Antarctica have led to contamination of terrestrial sites, and soils in ice-free areas have elevated concentrations of metals, particularly around current and historic research stations. Effective management of Antarctic contaminated sites depends on the assessment of risks to a representative range of native terrestrial species. Bdelloid rotifers are an abundant and biodiverse component of Antarctic limnoterrestrial communities and play a key role in nutrient cycling in Antarctic ecosystems. The present study investigates the toxicity of five metals (cadmium, copper, nickel, lead, and zinc) to the endemic bdelloid rotifer Adineta editae, both singly and in metal mixtures. Based on the concentrations tested, zinc was the most toxic metal to survival with a 7-day median lethal concentration (LC50) of 344 mu g Zn/L, followed by cadmium with a 7-day LC50 of 1542 mu g Cd/L. Rotifers showed high sensitivity using cryptobiosis (chemobiosis) as a sublethal behavioral endpoint. Chemobiosis was triggered in A. editae at low metal concentrations (e.g., 6 mu g/L Pb) and is likely a protective mechanism and survival strategy to minimize exposure to stressful conditions. Lead and copper were most toxic to rotifer behavior, with 4-day median effect concentrations (EC50s) of 18 and 27 mu g/L, respectively, followed by zinc and cadmium (4-day EC50 values of 52 and 245 mu g/L, respectively). The response of rotifers to the metal mixtures was antagonistic, with less toxicity observed than was predicted by the model developed from the single-metal exposure data. The present study provides evidence that this bdelloid rotifer represents a relatively sensitive microinvertebrate species to metals and is recommended for use in contaminant risk assessments in Antarctica. Environ Toxicol Chem 2023;00:1-11. (c) 2023 SETAC</t>
  </si>
  <si>
    <t>[Brown, Kathryn E.; Price, Gwilym A. V.; King, Catherine K.] Australian Antarctic Div, Kingston, Tas, Australia; [Koppel, Darren J.; Price, Gwilym A. V.; Adams, Merrin S.; Jolley, Dianne F.] CSIRO Environm, Lucas, NSW, Australia; [Koppel, Darren J.] Australian Inst Marine Sci, Crawley, WA, Australia</t>
  </si>
  <si>
    <t>Australian Antarctic Division; Australian Institute of Marine Science</t>
  </si>
  <si>
    <t>Brown, KE (corresponding author), Australian Antarctic Div, Kingston, Tas, Australia.</t>
  </si>
  <si>
    <t>Kathryn.Brown@aad.gov.au</t>
  </si>
  <si>
    <t>Adams, Merrin S/F-3513-2011; Brown, Kathryn/AAE-9933-2021; Jolley, Dianne/D-1597-2009; King, Catherine/G-7059-2017</t>
  </si>
  <si>
    <t>Jolley, Dianne/0000-0003-1028-1603; Koppel, Darren/0000-0001-7534-237X; King, Catherine/0000-0003-3356-0381; Brown, Kathryn/0000-0002-9093-8742; Price, Gwilym/0000-0003-3261-1298</t>
  </si>
  <si>
    <t>Australian Antarctic Science Program (AAS) [4326, 4100]; Australian Antarctic Program expeditioners at Casey</t>
  </si>
  <si>
    <t>Australian Antarctic Science Program (AAS); Australian Antarctic Program expeditioners at Casey</t>
  </si>
  <si>
    <t>Funding and support were provided by the Australian Antarctic Science Program (AAS Projects 4326 and 4100). We acknowledge the support of Australian Antarctic Program expeditioners at Casey during the 2017/18 field season and CSIRO Environment, Lucas Heights, for laboratory support during metals analysis. We thank J. Gibson and L. Clarke for taxonomic identification, L. Meyer for assistance with metadata compilation, and J. Wasley for comments on an earlier draft manuscript.</t>
  </si>
  <si>
    <t>0730-7268</t>
  </si>
  <si>
    <t>1552-8618</t>
  </si>
  <si>
    <t>ENVIRON TOXICOL CHEM</t>
  </si>
  <si>
    <t>Environ. Toxicol. Chem.</t>
  </si>
  <si>
    <t>10.1002/etc.5621</t>
  </si>
  <si>
    <t>H1JA4</t>
  </si>
  <si>
    <t>WOS:000980599100001</t>
  </si>
  <si>
    <t>Orheim, O; Giles, AB; Jacka, TH; Moholdt, G</t>
  </si>
  <si>
    <t>Orheim, Olav; Giles, A. Barry; Jacka, T. H. (Jo); Moholdt, Geir</t>
  </si>
  <si>
    <t>Quantifying dissolution rates of Antarctic icebergs in open water</t>
  </si>
  <si>
    <t>Antarctic glaciology; ice; ocean interactions; iceberg calving; icebergs</t>
  </si>
  <si>
    <t>TABULAR ICEBERGS; EVOLUTION; IMPACT</t>
  </si>
  <si>
    <t>At any one time 130 000 icebergs are afloat in the Southern Ocean; 97% of these are too small to be registered in current satellite-based databases, yet the melting of these small icebergs provides a major input to the Southern Ocean. We use a unique set of visual size observations of 53 000 icebergs in the South Atlantic Ocean, the SCAR International Iceberg Database, to derive average iceberg dissolution rates. Fracture into two parts is the dominant dissolution process for tabular icebergs, with an average half-life of 30 days for icebergs &lt; 4 km length and 60 days for larger icebergs. Complete shatter producing many icebergs &lt; 1 km length is rare. A side attrition rate of 0.23 m d(-1) combined with drift speed of 6 km d(-1), or any proportional change in both numbers fits the observed changes in iceberg distribution. The largest injection into the Southern Ocean of fresh water and any iceberg-transported material takes place in a similar to 2.3 x 10(6); km(2) zone extending east-northeast from the Antarctic Peninsula to the Greenwich meridian. The iceberg contribution to salinities and temperatures, with maximum contribution north of the Weddell Sea, differs in some regions, from those indicated by tracking large icebergs.</t>
  </si>
  <si>
    <t>[Orheim, Olav; Moholdt, Geir] Norsk Polar Inst, N-9296 Tromso, Norway; [Giles, A. Barry] Univ Tasmania, Inst Marine &amp; Antarctic Studies IMAS, Private Bag 80, Hobart, Tas 7001, Australia; [Jacka, T. H. (Jo)] Australian Antarctic Div, Antarctic Climate Program, 203 Channel Highway, Kingston, Tas 7050, Australia</t>
  </si>
  <si>
    <t>Norwegian Polar Institute; University of Tasmania; Australian Antarctic Division</t>
  </si>
  <si>
    <t>Orheim, O (corresponding author), Norsk Polar Inst, N-9296 Tromso, Norway.</t>
  </si>
  <si>
    <t>olav@polarviten.no</t>
  </si>
  <si>
    <t>2023 MAY 3</t>
  </si>
  <si>
    <t>PII S0260305523000265</t>
  </si>
  <si>
    <t>10.1017/aog.2023.26</t>
  </si>
  <si>
    <t>F2NW6</t>
  </si>
  <si>
    <t>WOS:000980774000001</t>
  </si>
  <si>
    <t>Désy, B; Desrosiers, P; Allard, A</t>
  </si>
  <si>
    <t>Desy, Beatrice; Desrosiers, Patrick; Allard, Antoine</t>
  </si>
  <si>
    <t>Dimension matters when modeling network communities in hyperbolic spaces</t>
  </si>
  <si>
    <t>Over the last decade, random hyperbolic graphs have proved successful in providing geometric explanations for many key properties of real-world networks, including strong clustering, high navigability, and heterogeneous degree distributions. These properties are ubiquitous in systems as varied as the internet, transportation, brain or epidemic networks, which are thus unified under the hyperbolic network interpretation on a surface of constant negative curvature. Although a few studies have shown that hyperbolic models can generate community structures, another salient feature observed in real networks, we argue that the current models are overlooking the choice of the latent space dimensionality that is required to adequately represent clustered networked data. We show that there is an important qualitative difference between the lowest-dimensional model and its higher-dimensional counterparts with respect to how similarity between nodes restricts connection probabilities. Since more dimensions also increase the number of nearest neighbors for angular clusters representing communities, considering only one more dimension allows us to generate more realistic and diverse community structures.</t>
  </si>
  <si>
    <t>[Desy, Beatrice] Victoria Univ Wellington, Sch Informat Management, Wellington 6140, New Zealand; [Desy, Beatrice] Victoria Univ Wellington, Antarctic Res Ctr, Wellington 6140, New Zealand; [Desrosiers, Patrick; Allard, Antoine] Univ Laval, Dept Phys Genie Phys &amp; Opt, Quebec City, PQ G1V 0A6, Canada; [Desrosiers, Patrick; Allard, Antoine] Univ Laval, Ctr Interdisciplinaire Modelisat Math, Quebec City, PQ G1V 0A6, Canada; [Desrosiers, Patrick] Ctr Rech CERVO, Quebec City, PQ G1J 2G3, Canada</t>
  </si>
  <si>
    <t>Victoria University Wellington; Victoria University Wellington; Laval University; Laval University</t>
  </si>
  <si>
    <t>Désy, B (corresponding author), Victoria Univ Wellington, Sch Informat Management, Wellington 6140, New Zealand.;Désy, B (corresponding author), Victoria Univ Wellington, Antarctic Res Ctr, Wellington 6140, New Zealand.;Allard, A (corresponding author), Univ Laval, Dept Phys Genie Phys &amp; Opt, Quebec City, PQ G1V 0A6, Canada.;Allard, A (corresponding author), Univ Laval, Ctr Interdisciplinaire Modelisat Math, Quebec City, PQ G1V 0A6, Canada.</t>
  </si>
  <si>
    <t>beatrice.desy@vuw.ac.nz; antoine.allard@phy.ulaval.ca</t>
  </si>
  <si>
    <t>Allard, Antoine/H-3168-2011</t>
  </si>
  <si>
    <t>Desrosiers, Patrick/0000-0001-7528-697X; Allard, Antoine/0000-0002-8208-9920</t>
  </si>
  <si>
    <t>Fonds de recherche du Quebec-Nature et technologies; Natural Sciences and Engineering Research Council of Canada; Sentinelle Nord program of Universite Laval - Canada First Research Excellence Fund</t>
  </si>
  <si>
    <t>Fonds de recherche du Quebec-Nature et technologies(Fonds de recherche du Quebec (FRQ)Fonds de recherche du Quebec - Nature et technologies (FRQNT)); Natural Sciences and Engineering Research Council of Canada(Natural Sciences and Engineering Research Council of Canada (NSERC)CGIAR); Sentinelle Nord program of Universite Laval - Canada First Research Excellence Fund</t>
  </si>
  <si>
    <t>This work was supported by the Fonds de recherche du Quebec-Nature et technologies, the Natural Sciences and Engineering Research Council of Canada, and the Sentinelle Nord program of Universite Laval, funded by the Canada First Research Excellence Fund. We acknowledge Calcul Quebec and Compute Canada for their technical support and computing infrastructures. This manuscript was posted on a preprint server: https://doi.org/10.48550/arXiv.2209.09201.</t>
  </si>
  <si>
    <t>MAY 2</t>
  </si>
  <si>
    <t>pgad136</t>
  </si>
  <si>
    <t>10.1093/pnasnexus/pgad136</t>
  </si>
  <si>
    <t>P8LZ8</t>
  </si>
  <si>
    <t>WOS:001053144200009</t>
  </si>
  <si>
    <t>Zhang, S; Li, TG; Yu, ZF; Chang, FM; Gu, SF; Xiong, ZF; Liu, H; Qian, F; Zhang, JR; Cheng, XH; Li, BH</t>
  </si>
  <si>
    <t>Zhang, Shuai; Li, Tiegang; Yu, Zhoufei; Chang, Fengming; Gu, Sifan; Xiong, Zhifang; Liu, Heng; Qian, Fang; Zhang, Junru; Cheng, Xuhua; Li, Baohua</t>
  </si>
  <si>
    <t>Abrupt warming of the equatorial intermediate Pacific during Heinrich Stadial 1</t>
  </si>
  <si>
    <t>Western equatorial Pacific; Intermediate water; Heinrich Stadial 1; Thermohaline evolution</t>
  </si>
  <si>
    <t>MERIDIONAL OVERTURNING CIRCULATION; NORTH PACIFIC; PLANKTONIC-FORAMINIFERA; LAST DEGLACIATION; SURFACE-WATER; OXYGEN ISOTOPES; HEAT-CONTENT; DEEP-OCEAN; ATLANTIC; CARBON</t>
  </si>
  <si>
    <t>The Pacific intermediate water is essential for global ocean heat storage and transfer and connected to the higher latitude sea areas. Its thermohaline evolution and relationship to high latitudes on millennium scales, however, are both poorly understood. In this study, we used sediment core KX22-4 in the western equatorial Pacific to reconstruct the thermohaline and &amp; delta;13C variations in the intermediate water over the past 28,000 years based on Mg/Ca, &amp; delta;18O and &amp; delta;13C measurements of deep dwelling planktonic foraminiferal species. The results show that during Heinrich Stadial 1, the temperature of intermediate water rapidly increased by roughly 6 degrees C and was simultaneous with the Southern Ocean surface water, carrying a typical Antarctic signature along with the salter and reduced &amp; delta;13C signals. The Southern Hemisphere climatic development and the advection of the thermal anomaly into the tropical intermediate Pacific via the Southern Ocean intermediate water are thought to be closely coupled.</t>
  </si>
  <si>
    <t>[Zhang, Shuai; Liu, Heng; Cheng, Xuhua] Hohai Univ, Coll Oceanog, Nanjing 210098, Peoples R China; [Zhang, Shuai; Chang, Fengming; Qian, Fang; Zhang, Junru] Chinese Acad Sci, Inst Oceanol, Key Lab Marine Geol &amp; Environm, Qingdao 266071, Peoples R China; [Zhang, Shuai; Yu, Zhoufei; Li, Baohua] Chinese Acad Sci, Nanjing Inst Geol &amp; Palaeontol, State Key Lab Palaeobiol &amp; Stratig, Nanjing 210008, Peoples R China; [Li, Tiegang; Xiong, Zhifang] Minist Nat Resources, Inst Oceanog 1, Key Lab Marine Geol &amp; Metallogeny, Qingdao 266061, Peoples R China; [Li, Tiegang; Chang, Fengming; Xiong, Zhifang; Li, Baohua] Pilot Natl Lab Marine Sci &amp; Technol Qingdao, Lab Marine Geol, Qingdao 266237, Peoples R China; [Gu, Sifan] Shanghai Jiao Tong Univ, Sch Oceanog, Shanghai, Peoples R China</t>
  </si>
  <si>
    <t>Hohai University; Chinese Academy of Sciences; Institute of Oceanology, CAS; Chinese Academy of Sciences; First Institute of Oceanography, Ministry of Natural Resources; Ministry of Natural Resources of the People's Republic of China; Laoshan Laboratory; Shanghai Jiao Tong University</t>
  </si>
  <si>
    <t>Li, TG; Li, BH (corresponding author), Pilot Natl Lab Marine Sci &amp; Technol Qingdao, Lab Marine Geol, Qingdao 266237, Peoples R China.</t>
  </si>
  <si>
    <t>tgli@fio.org.cn; bh-li@nigpas.ac.cn</t>
  </si>
  <si>
    <t>Xiong, Zhifang/H-2052-2013; Cheng, Xuhua/AAQ-6124-2020; Li, Baohua/A-9347-2012</t>
  </si>
  <si>
    <t>Cheng, Xuhua/0000-0001-6815-1970;</t>
  </si>
  <si>
    <t>National Natural Science Foundation of China [2022QNLM050203-1]; Special funds of Shandong Province for Pilot National Laboratory for Marine Science and Technology (Qingdao) [B230201016]; Fundamental Research Funds for the Central Universities [XDB26000000]; Strategic Priority Research Program of Chinese Academy of Sciences [223136]; State Key Laboratory of Palaeobiology and Stratigraphy (Nanjing Institute of Geology and Palaeontology, CAS) [SKLLQG2228]; State Key Laboratory of Loess and Quaternary Geology; State Key Laboratory of Loess and Quaternary Geology, Institute of Eearth Environment, CAS; [41830539]</t>
  </si>
  <si>
    <t>National Natural Science Foundation of China(National Natural Science Foundation of China (NSFC)); Special funds of Shandong Province for Pilot National Laboratory for Marine Science and Technology (Qingdao); Fundamental Research Funds for the Central Universities(Fundamental Research Funds for the Central Universities); Strategic Priority Research Program of Chinese Academy of Sciences(Chinese Academy of Sciences); State Key Laboratory of Palaeobiology and Stratigraphy (Nanjing Institute of Geology and Palaeontology, CAS)(Chinese Academy of Sciences); State Key Laboratory of Loess and Quaternary Geology(Chinese Academy of Sciences); State Key Laboratory of Loess and Quaternary Geology, Institute of Eearth Environment, CAS;</t>
  </si>
  <si>
    <t>This study was supported by the National Natural Science Foundation of China (41830539) , Special funds of Shandong Province for Pilot National Laboratory for Marine Science and Technology (Qingdao) (2022QNLM050203-1) , the Fundamental Research Funds for the Central Universities (B230201016) , Strategic Priority Research Program of Chinese Academy of Sciences (XDB26000000) , State Key Laboratory of Palaeobiology and Stratigraphy (Nanjing Institute of Geology and Palaeontology, CAS) (223136) and State Key Laboratory of Loess and Quaternary Geology, Institute of Eearth Environment, CAS (SKLLQG2228) . The authors also gratefully acknowledge the laboratory assistance of Haixia Wang and Xiaoying Jiang, as well as the crews and shipboard scientific parties of cruise KX08-973 and cruise NORC2019-09.</t>
  </si>
  <si>
    <t>10.1016/j.palaeo.2023.111600</t>
  </si>
  <si>
    <t>Q2WW9</t>
  </si>
  <si>
    <t>WOS:001056180600001</t>
  </si>
  <si>
    <t>Huang, YB; Fassbender, AJ; Bushinsky, SM</t>
  </si>
  <si>
    <t>Huang, Yibin; Fassbender, Andrea J.; Bushinsky, Seth M.</t>
  </si>
  <si>
    <t>Biogenic carbon pool production maintains the Southern Ocean carbon sink</t>
  </si>
  <si>
    <t>Southern Ocean; carbon export; biogenic carbon pool; air-sea CO2 exchange; biological pump</t>
  </si>
  <si>
    <t>NET COMMUNITY PRODUCTION; ANTHROPOGENIC CO2; EXPORT EFFICIENCY; HIGH-RESOLUTION; ORGANIC-MATTER; FLUX; THERMOCLINE; NUTRIENTS; DRIVEN; PCO(2)</t>
  </si>
  <si>
    <t>Through biological activity, marine dissolved inorganic carbon (DIC) is transformed into different types of biogenic carbon available for export to the ocean interior, includ-ing particulate organic carbon (POC), dissolved organic carbon (DOC), and particulate inorganic carbon (PIC). Each biogenic carbon pool has a different export efficiency that impacts the vertical ocean carbon gradient and drives natural air-sea carbon dioxide gas (CO2) exchange. In the Southern Ocean (SO), which presently accounts for -40% of the anthropogenic ocean carbon sink, it is unclear how the production of each biogenic carbon pool contributes to the contemporary air-sea CO2 exchange. Based on 107 independent observations of the seasonal cycle from 63 biogeochemical profiling floats, we provide the basin-scale estimate of distinct biogenic carbon pool production. We find significant meridional variability with enhanced POC production in the subantarctic and polar Antarctic sectors and enhanced DOC production in the subtropical and sea-ice-dominated sectors. PIC production peaks between 47 &amp; DEG;S and 57 &amp; DEG;S near the great calcite belt. Relative to an abiotic SO, organic carbon production enhances CO2 uptake by 2.80 &amp; PLUSMN; 0.28 Pg C y-1, while PIC production diminishes CO2 uptake by 0.27 &amp; PLUSMN; 0.21 Pg C y-1. Without organic carbon production, the SO would be a CO2 source to the atmosphere. Our findings emphasize the importance of DOC and PIC production, in addition to the well-recognized role of POC production, in shaping the influence of carbon export on air-sea CO2 exchange.</t>
  </si>
  <si>
    <t>[Huang, Yibin; Fassbender, Andrea J.] Univ Calif Santa Cruz, Dept Ocean Sci, Santa Cruz, CA 95064 USA; [Huang, Yibin; Fassbender, Andrea J.] NOAA, Pacific Marine Environm Lab, Seattle, WA 98115 USA; [Bushinsky, Seth M.] Univ Hawaii Manoa, Dept Oceanog, Honolulu, HI 96822 USA</t>
  </si>
  <si>
    <t>University of California System; University of California Santa Cruz; National Oceanic Atmospheric Admin (NOAA) - USA; University of Hawaii System; University of Hawaii Manoa</t>
  </si>
  <si>
    <t>Fassbender, AJ (corresponding author), Univ Calif Santa Cruz, Dept Ocean Sci, Santa Cruz, CA 95064 USA.;Fassbender, AJ (corresponding author), NOAA, Pacific Marine Environm Lab, Seattle, WA 98115 USA.</t>
  </si>
  <si>
    <t>andrea.j.fassbender@noaa.gov</t>
  </si>
  <si>
    <t>Bushinsky, Seth/Q-3379-2017</t>
  </si>
  <si>
    <t>Bushinsky, Seth/0000-0001-5106-4678; HUANG, YIBIN/0000-0001-8585-8599</t>
  </si>
  <si>
    <t>NSF [2049631]; NOAA PMEL; NASA [80NSSC22K0156]; NOAA [NA21OAR4310260]; [2032754]</t>
  </si>
  <si>
    <t>NSF(National Science Foundation (NSF)); NOAA PMEL(National Oceanic Atmospheric Admin (NOAA) - USA); NASA(National Aeronautics &amp; Space Administration (NASA)); NOAA(National Oceanic Atmospheric Admin (NOAA) - USA);</t>
  </si>
  <si>
    <t>We are grateful to the Southern Ocean Carbon and Climate Observations and Modeling project for float production, deployment, data quality control, and access to near real-time data. We also thank Sarah Battle and Dr. Hannah Joy-Warren from NOAA's Pacific Marine Environmental Laboratory (NOAA, PMEL) for assistance in figure design. This study has benefited significantly from discussions with Dr. Brandon Stephens (University of California, Santa Barbra) , Dr. Mariana B. Bif (Monterey Bay Aquarium Research Institution) , and Dr. Barney Balch (Bigelow Laboratory for Ocean Sciences) . Y.H. and this work are supported by an NSF grant to A.J.F. (2032754) . A.J.F. is supported by NOAA PMEL. S.M.B. is supported by NSF grant 2049631, NASA grant 80NSSC22K0156, and NOAA grant NA21OAR4310260. This is PMEL Contribution No. 5441.</t>
  </si>
  <si>
    <t>e2217909120</t>
  </si>
  <si>
    <t>10.1073/pnas.2217909120</t>
  </si>
  <si>
    <t>N6FD4</t>
  </si>
  <si>
    <t>WOS:001037938300001</t>
  </si>
  <si>
    <t>Okyere, I; Chuku, EO; Dzantor, SA; Ahenkorah, V; Adade, R</t>
  </si>
  <si>
    <t>Okyere, Isaac; Chuku, Ernest Obeng; Dzantor, Selorm Awiah; Ahenkorah, Violet; Adade, Richard</t>
  </si>
  <si>
    <t>Capacity deficit and marginalisation of artisanal fishers hamper effective fisheries governance in Ghana: Insights and propositions for promoting sustainable small-scale fisheries</t>
  </si>
  <si>
    <t>Small-scale fisheries; Fisheries governance; Sustainable fisheries; Co -management; Fisher empowerment</t>
  </si>
  <si>
    <t>POVERTY</t>
  </si>
  <si>
    <t>Ghana's artisanal small-scale fisheries (SSF) is collapsing despite the existence of numerous governance struc-tures and regulatory and policy frameworks for the development of the sector. To sustainably manage the SSF, a deeper understanding of the complexity of its governance and the precursors for transformation is imperative. Using a qualitative approach and non-probability sampling techniques, we unravel the inherent and exogenous factors driving capacity deficit in SSF governance groups and how this cascades into their marginalisation and consequent disharmony, challenging effective governance and sustainable management of the sector. Low level of formal education, long-held perception of the fishery as a traditional heritage that requires no formalised management regime, lack of structured training in fisheries management for the leadership, and the leadership selection process were identified as the main areas of capacity deficit in the artisanal sector. Artisanal fishers felt inadequately engaged in the fisheries decision-making processes and uninformed about fisheries laws and pol-icies; stemming from a predominantly top-down governance dispensation. The current dispensation discourages grassroots participation and compliance during policy implementation, which has led to the further margin-alisation of artisanal fishers, causing disharmony in the industry and ultimately steering overexploitation of the marine small pelagic fishery to the brink of collapse. We make propositions for effective and transformational governance reforms to promote sustainable fisheries in Ghana's SSF sector, principally capacity building, in-clusion, leadership selection reforms, and co-management.</t>
  </si>
  <si>
    <t>[Okyere, Isaac] Univ Cape Coast, Coll Agr &amp; Nat Sci, Sch Biol Sci, Dept Fisheries &amp; Aquat Sci, Cape Coast, Ghana; [Okyere, Isaac; Chuku, Ernest Obeng; Dzantor, Selorm Awiah; Adade, Richard] Univ Cape Coast, Ctr Coastal Management, Africa Ctr Excellence Coastal Resilience, ACECoR, Cape Coast, Ghana; [Chuku, Ernest Obeng] Univ Tasmania, Inst Marine &amp; Antarctic Studies IMAS, Hobart, Tas, Australia; [Ahenkorah, Violet] Univ Cape Coast, Coll Humanities &amp; Legal Studies, Fac Social Sci, Dept Populat &amp; Hlth, Cape Coast, Ghana; [Okyere, Isaac] Univ Cape Coast, Sch Biol Sci, Dept Fisheries &amp; Aquat Sci, CANS, Cape Coast, Ghana</t>
  </si>
  <si>
    <t>University of Cape Coast; University of Cape Coast; University of Tasmania; University of Cape Coast; University of Cape Coast</t>
  </si>
  <si>
    <t>Okyere, I (corresponding author), Univ Cape Coast, Sch Biol Sci, Dept Fisheries &amp; Aquat Sci, CANS, Cape Coast, Ghana.</t>
  </si>
  <si>
    <t>iokyere@ucc.edu.gh</t>
  </si>
  <si>
    <t>Chuku, Ernest/C-1718-2019; Okyere, Isaac/A-9053-2017</t>
  </si>
  <si>
    <t>Chuku, Ernest/0000-0003-2716-5510; Okyere, Isaac/0000-0001-8725-1555</t>
  </si>
  <si>
    <t>European Union through the Far Ban Bo (Improving Fisheries Livelihoods) project [GHA010000005048]</t>
  </si>
  <si>
    <t>European Union through the Far Ban Bo (Improving Fisheries Livelihoods) project</t>
  </si>
  <si>
    <t>This work was supported by the European Union through the Far Ban Bo (Improving Fisheries Livelihoods) project [Purchase Order No. GHA01-0000005048].</t>
  </si>
  <si>
    <t>10.1016/j.marpol.2023.105640</t>
  </si>
  <si>
    <t>J3RU5</t>
  </si>
  <si>
    <t>WOS:001008826500001</t>
  </si>
  <si>
    <t>Sime, LC; Sivankutty, R; Vallet-Malmierca, I; de Boer, AM; Sicard, M</t>
  </si>
  <si>
    <t>Sime, Louise C.; Sivankutty, Rahul; Vallet-Malmierca, Irene; de Boer, Agatha M.; Sicard, Marie</t>
  </si>
  <si>
    <t>Summer surface air temperature proxies point to near-sea-ice-free conditions in the Arctic at 127 ka</t>
  </si>
  <si>
    <t>CLIMATE; SIMULATIONS; INTERGLACIALS</t>
  </si>
  <si>
    <t>The Last Interglacial (LIG) period, which had higher summer solar insolation than today, has been suggested as the last time that Arctic summers were ice free. However, the latest suite of Coupled Modelling Intercomparison Project 6 Paleoclimate (CMIP6-PMIP4) simulations of the LIG produce a wide range of Arctic summer minimum sea ice area (SIA) results, with a 30% to 96% reduction from the pre-industrial (PI) period. Sea ice proxies are also currently neither abundant nor consistent enough to determine the most realistic state. Here we estimate LIG minimum SIA indirectly through the use of 21 proxy records for LIG summer surface air temperature (SSAT) and 11 CMIP6-PMIP4 models for the LIG. We use two approaches. First, we use two tests to determine how skilful models are at simulating reconstructed Delta SSAT from proxy records (where Delta refers to LIG-PI). This identifies a positive correlation between model skill and the magnitude of Delta SIA: the most reliable models simulate a larger sea ice reduction. Averaging the two most skilful models yields an average SIA of 1 :3 x 10(6) km(2) for the LIG. This equates to a 4 :5 x 10(6) km(2) or 79% SIA reduction from the PI to the LIG. Second, across the 11 models, the averaged Delta SSAT at the 21 proxy locations and the pan-Arctic average Delta SSAT are inversely correlated with Delta SIA ( r = - 0.86 and 0.79, respectively). In other words, the models show that a larger Arctic warming is associated with a greater sea ice reduction. Using the proxy-record-averaged Delta SSAT of 4 :5 +/- 1 :7K and the relationship between Delta SSAT and Delta SIA suggests an estimated sea ice reduction of 4:2 +/- 1:4 x 10(6) km(2) or about 74% less sea ice than the PI period. The mean proxy-location Delta SSAT is well correlated with the Arctic-wide Delta SSAT north of 60 degrees N (r = D 0:97), and this relationship is used to show that the mean proxy record Delta SSAT is equivalent to an Arctic-wide warming of 3 :7 +/- 1 :5K at the LIG compared to the PI period. Applying this Arctic-wide Delta SSAT and its modelled relationship to Delta SIA, results in a similar estimate of LIG sea ice reduction of 4 :1 +/- 1 :2 x 10(6) km(2). These LIG climatological minimum SIA of 1.3 to 1.5 x 10(6) km(2) are close to the definition of a summer ice-free Arctic, which is a maximum sea ice extent of less than 1 x 10(6) km(2). The results of this study thus suggest that the Arctic likely experienced a mixture of ice-free and near-ice-free summers during the LIG.</t>
  </si>
  <si>
    <t>[Sime, Louise C.; Sivankutty, Rahul; Vallet-Malmierca, Irene] British Antarctic Survey, Cambridge, England; [de Boer, Agatha M.; Sicard, Marie] Stockholm Univ, Dept Geol Sci, Stockholm, Sweden</t>
  </si>
  <si>
    <t>UK Research &amp; Innovation (UKRI); Natural Environment Research Council (NERC); NERC British Antarctic Survey; Stockholm University</t>
  </si>
  <si>
    <t>Sime, LC (corresponding author), British Antarctic Survey, Cambridge, England.</t>
  </si>
  <si>
    <t>lsim@bas.ac.uk</t>
  </si>
  <si>
    <t>De Boer, Agatha M/H-4202-2012</t>
  </si>
  <si>
    <t>Malmierca Vallet, Irene/0000-0002-2871-9741; Sime, Louise/0000-0002-9093-7926; Sicard, Marie/0000-0002-6180-2264</t>
  </si>
  <si>
    <t>NERC; European Union's Horizon~2020 research and innovation programme; Swedish Research Council; NERC [NE/P013279/1, NE/P009271/1] Funding Source: UKRI</t>
  </si>
  <si>
    <t>NERC(UK Research &amp; Innovation (UKRI)Natural Environment Research Council (NERC)); European Union's Horizon~2020 research and innovation programme(Horizon 2020); Swedish Research Council(Swedish Research Council); NERC(UK Research &amp; Innovation (UKRI)Natural Environment Research Council (NERC))</t>
  </si>
  <si>
    <t>Louise C. Sime and Rahul Sivankutty acknowledge support from NERC. Louise C. Sime and Irene Vallet-Malmierca acknowledge support from the European Union's Horizon 2020 research and innovation programme. Agatha M. de Boer and Marie Sicard acknowledge support from the Swedish Research Council grant. This work used the ARCHER UK National Supercomputing Service and the JASMIN analysis platform.</t>
  </si>
  <si>
    <t>10.5194/cp-19-883-2023</t>
  </si>
  <si>
    <t>F3LG6</t>
  </si>
  <si>
    <t>WOS:000981386800001</t>
  </si>
  <si>
    <t>Mascioni, M; Almandoz, GO; Cusick, A; Pan, BJ; Vernet, M</t>
  </si>
  <si>
    <t>Mascioni, Martina; Almandoz, Gaston O.; Cusick, Allison; Pan, B. Jack; Vernet, Maria</t>
  </si>
  <si>
    <t>Phytoplankton dynamics in nearshore regions of the western Antarctic Peninsula in relation to a variable frontal zone in the Gerlache Strait</t>
  </si>
  <si>
    <t>thermal front; diatoms; cryptophytes; prasinophytes; phytoplankton succession; Citizen Science</t>
  </si>
  <si>
    <t>KRILL EUPHAUSIA-SUPERBA; NORTHERN MARGUERITE BAY; INTERANNUAL VARIABILITY; BRANSFIELD STRAITS; AUSTRAL FALL; SUMMER; ASSEMBLAGES; BIOMASS; CARBON; PRODUCTIVITY</t>
  </si>
  <si>
    <t>The Gerlache Strait is a narrow channel that separates the western coast of the Antarctic Peninsula (WAP) from the Palmer Archipelago. This area is characterized by the presence of interconnected fjords, bays, islands, and channels that serve as a refuge for megafauna during summer. Through the framework of FjordPhyto - a citizen science collaboration with the International Association of Antarctica Tour Operators (IAATO) vessels - we assessed phytoplankton biomass and composition in surface waters of six under-explored nearshore areas connected to the Gerlache Strait (between 64 degrees and 65 degrees S) during three consecutive seasons, from November to March (2016-2019). During the first two seasons, we found significant differences in the phytoplankton community distribution and successional patterns to the north and south of the sampling area; the greatest differences were evidenced mainly in the months of high biomass, December and January. During December, cryptophytes bloomed in the north, while microplanktonic diatoms dominated in the south, and during January, small centric diatoms dominated in the north, while prasinophytes bloomed in the south. This spatial distinction in phytoplankton communities were mainly associated with the occurrence of a surface thermal front in the Gerlache Strait around 64.5 degrees S. The presence of the front separating warm waters to the north and colder waters to the south, during the months of December to February, was confirmed by the analysis of 10 years of remote sensing data. By contrast, during the third season, low biomass prevailed, and no differences in the phytoplankton composition between the north and south areas were observed. The third season was the coldest of the series, with smaller differences in water temperature north and south of the usual front location. This study shows for the first time a complete overview of the phytoplankton composition throughout the entire growth season (November through March) in the nearshore areas of the WAP between 64 degrees and 65 degrees S. The results of this work contribute to the understanding of the phytoplankton community in relation to small scale physical features during the Antarctic austral summer.</t>
  </si>
  <si>
    <t>[Mascioni, Martina; Almandoz, Gaston O.] Univ Nacl La Plata, Fac Ciencias Nat &amp; Museo, Div Ficol, La Plata, Argentina; [Mascioni, Martina; Almandoz, Gaston O.] Consejo Nacl Invest Cient &amp; Tecn CONICET, Buenos Aires, Argentina; [Cusick, Allison; Vernet, Maria] Univ Calif San Diego, Scripps Inst Oceanog, Integrat Oceanog Div, La Jolla, CA USA; [Pan, B. Jack] CALTECH, Jet Prop Lab, Pasadena, CA USA</t>
  </si>
  <si>
    <t>National University of La Plata; Museo La Plata; Consejo Nacional de Investigaciones Cientificas y Tecnicas (CONICET); University of California System; University of California San Diego; Scripps Institution of Oceanography; California Institute of Technology; National Aeronautics &amp; Space Administration (NASA); NASA Jet Propulsion Laboratory (JPL)</t>
  </si>
  <si>
    <t>Mascioni, M (corresponding author), Univ Nacl La Plata, Fac Ciencias Nat &amp; Museo, Div Ficol, La Plata, Argentina.;Mascioni, M (corresponding author), Consejo Nacl Invest Cient &amp; Tecn CONICET, Buenos Aires, Argentina.</t>
  </si>
  <si>
    <t>marmascioni@gmail.com</t>
  </si>
  <si>
    <t>Mascioni, Martina/0000-0002-4994-5289</t>
  </si>
  <si>
    <t>Consejo Nacional de Investigaciones Cientificas y Tecnicas (CONICET, Argentina) [PIP 1195]; CONICET; Public Participation in STEM Research (PPSR); NSF [PLR-1443705]; NASA's Citizen Science for Earth Systems Program (CSESP) [20-CSESP2020-0039]; Hurtigruten Foundation</t>
  </si>
  <si>
    <t>Consejo Nacional de Investigaciones Cientificas y Tecnicas (CONICET, Argentina)(Consejo Nacional de Investigaciones Cientificas y Tecnicas (CONICET)); CONICET(Consejo Nacional de Investigaciones Cientificas y Tecnicas (CONICET)); Public Participation in STEM Research (PPSR); NSF(National Science Foundation (NSF)); NASA's Citizen Science for Earth Systems Program (CSESP); Hurtigruten Foundation</t>
  </si>
  <si>
    <t>This research was carried out with support by Grant PIP 1195 from Consejo Nacional de Investigaciones Cientificas y Tecnicas (CONICET, Argentina) to GA, a doctoral fellowship from CONICET to MM, Public Participation in STEM Research (PPSR) awarded to MV. NSF PLR-1443705 Collaborative Research: Fjord Ecosystem Structure and Function on the West Antarctica Peninsula-Hotspots of Productivity and Biodiversity? (FjordEco)., NASA's Citizen Science for Earth Systems Program (CSESP) award # 20-CSESP2020-0039 (2021) to MV. Additional funding was received through the Hurtigruten Foundation, and generous donors.</t>
  </si>
  <si>
    <t>10.3389/fmars.2023.1139293</t>
  </si>
  <si>
    <t>G3CV0</t>
  </si>
  <si>
    <t>WOS:000987986200001</t>
  </si>
  <si>
    <t>Koenekoop, L; Åqvist, J</t>
  </si>
  <si>
    <t>Koenekoop, Lucien; aqvist, Johan</t>
  </si>
  <si>
    <t>Principles of Cold Adaptation of Fish Lactate Dehydrogenases Revealed by Computer Simulations of the Catalytic Reaction</t>
  </si>
  <si>
    <t>MOLECULAR BIOLOGY AND EVOLUTION</t>
  </si>
  <si>
    <t>enzyme cold adaptation; lactate dehydrogenase; computer simulation</t>
  </si>
  <si>
    <t>EMPIRICAL VALENCE-BOND; MOLECULAR-DYNAMICS; TEMPERATURE-DEPENDENCE; PROTEIN; ENERGY; FLEXIBILITY; PROGRAM</t>
  </si>
  <si>
    <t>Cold-adapted enzymes from psychrophilic and psychrotolerant species are characterized by a higher catalytic activity at low temperature than their mesophilic orthologs and are also usually found to be more thermolabile. Computer simulations of the catalytic reactions have been shown to be a very powerful tool for analyzing the structural and energetic origins of these effects. Here, we examine the cold adaptation of lactate dehydrogenases from two Antarctic and sub-Antarctic fish species using this approach and compare our results with those obtained for the orthologous dogfish enzyme. Direct calculations of thermodynamic activation parameters show that the cold-adapted fish enzymes are characterized by a lower activation enthalpy and a more negative entropy term. This appears to be a universal feature of psychrophilic enzymes, and it is found to originate from a higher flexibility of certain parts of the protein surface. We also carry out free energy simulations that address the differences in thermal stability and substrate binding affinity between the two cold-adapted enzymes, which only differ by a single mutation. These calculations capture the effects previously seen in in vitro studies and provide straightforward explanations of these experimental results.</t>
  </si>
  <si>
    <t>[Koenekoop, Lucien; aqvist, Johan] Uppsala Univ, Biomed Ctr, Dept Cell &amp; Mol Biol, Uppsala, Sweden</t>
  </si>
  <si>
    <t>Uppsala University</t>
  </si>
  <si>
    <t>Åqvist, J (corresponding author), Uppsala Univ, Biomed Ctr, Dept Cell &amp; Mol Biol, Uppsala, Sweden.</t>
  </si>
  <si>
    <t>Aqvist, Johan/0000-0003-2091-0610</t>
  </si>
  <si>
    <t>Swedish Research Council (VR) [2018-04170, 2022-03441]; Swedish Research Council [2018-04170, 2022-03441] Funding Source: Swedish Research Council</t>
  </si>
  <si>
    <t>Swedish Research Council (VR)(Swedish Research Council); Swedish Research Council(Swedish Research Council)</t>
  </si>
  <si>
    <t>Support from the Swedish Research Council (VR) is gratefully acknowledged (grant nos. 2018-04170 and 2022-03441). Computational resources were provided by the Swedish National Infrastructure for Computing (SNIC).</t>
  </si>
  <si>
    <t>0737-4038</t>
  </si>
  <si>
    <t>1537-1719</t>
  </si>
  <si>
    <t>MOL BIOL EVOL</t>
  </si>
  <si>
    <t>Mol. Biol. Evol.</t>
  </si>
  <si>
    <t>msad099</t>
  </si>
  <si>
    <t>10.1093/molbev/msad099</t>
  </si>
  <si>
    <t>G2TL8</t>
  </si>
  <si>
    <t>WOS:000987742700001</t>
  </si>
  <si>
    <t>Kooglu, ES; Gsterisli, TU; Tekin, Z; Borahan, T; z, E; Bakirdere, S</t>
  </si>
  <si>
    <t>Kocoglu, E. S.; Gosterisli, T. U.; Tekin, Zeynep; Borahan, T.; Oz, E.; Bakirdere, S.</t>
  </si>
  <si>
    <t>Distribution of elements in rock/soil and seaweed/moss samples from the West Antarctic region</t>
  </si>
  <si>
    <t>INTERNATIONAL JOURNAL OF ENVIRONMENTAL SCIENCE AND TECHNOLOGY</t>
  </si>
  <si>
    <t>Antarctica; Faure island; Heavy metals; Horseshoe island; Moss; Soil; Seaweed</t>
  </si>
  <si>
    <t>KING GEORGE ISLAND; MONITORING TRACE-ELEMENTS; HEAVY-METALS; ADMIRALTY BAY; BIOACCUMULATION; ORGANISMS; DIGESTION; POLLUTION</t>
  </si>
  <si>
    <t>Although Antarctica is thought to be the most isolated and pristine continent free from human disturbance, the detrimental impacts of human-induced activities are inevitable even on this continent. This study presents the status of metal distribution in rock/soil and seaweed/moss samples taken from the Horseshoe and Faure Islands during the 4th Turkish National Antarctic Expedition. The rock/soil and seaweed/moss samples collected were subjected to microwave-assisted acid digestion sample preparation procedure and analyzed by inductively coupled plasma optical emission spectrometry and inductively coupled plasma mass spectrometry to determine their metal contents. The analytical methods were validated using different standard reference materials (Apple Leaves, Tomato Leaves and Montana Soil II). A good agreement between the certified and determined values verified the suitability of the developed analytical methods for the determination of the selected elements in the samples. Validated analytical methods with adequate sensitivity, accuracy and precision were used for the quantification of 35 elements (Li, Al, V, Ti, Mn, Fe, Cr, Ni, Cu, Co, Zn, As, Sr, Mo, Zr, Se, Pd, Ru, Ag, Rh, Cd, Sn, Te, Sb, La, Ba, Ce, Pb, Tl, Bi, Na, Mg, Ca, K and B) in the collected samples. The concentration level of Mn was found to be the lowest, and contrarily Fe presented the highest concentration level for the rock/soil samples among the major elements. Heavy metals (As, Cd and Pb) which are considered to be the main source of inorganic pollution in the region were detected in most of the samples for both sample groups.</t>
  </si>
  <si>
    <t>[Kocoglu, E. S.; Tekin, Zeynep; Borahan, T.; Bakirdere, S.] Yildiz Tech Univ, Fac Art &amp; Sci, Chem Dept, TR-34210 Istanbul, Turkiye; [Gosterisli, T. U.] Yildiz Tech Univ, Dept Chem Engn, TR-34349 Istanbul, Turkiye; [Oz, E.] Yildiz Tech Univ, Dept Stat, TR-34349 Istanbul, Turkiye; [Bakirdere, S.] Turkish Acad Sci TUBA, Vedat Dalokay St 112, TR-06670 Ankara, Turkiye</t>
  </si>
  <si>
    <t>Yildiz Technical University; Yildiz Technical University; Yildiz Technical University; Turkish Academy of Sciences</t>
  </si>
  <si>
    <t>Bakirdere, S (corresponding author), Yildiz Tech Univ, Fac Art &amp; Sci, Chem Dept, TR-34210 Istanbul, Turkiye.;Bakirdere, S (corresponding author), Turkish Acad Sci TUBA, Vedat Dalokay St 112, TR-06670 Ankara, Turkiye.</t>
  </si>
  <si>
    <t>BAKIRDERE, Sezgin/ABU-6359-2022; UNUTKAN GÖSTERİŞLİ, Tuğçe/JCD-7740-2023; Borahan Kustanto, Tülay/AAZ-1551-2020</t>
  </si>
  <si>
    <t>BAKIRDERE, Sezgin/0000-0001-9746-3682; UNUTKAN GÖSTERİŞLİ, Tuğçe/0000-0002-1143-4192; Borahan Kustanto, Tülay/0000-0003-1930-5034; Kocoglu, Elif Seda/0000-0001-6175-2335</t>
  </si>
  <si>
    <t>Scientific and Technological Research Council of Tuerkiye (TUBITAK) [119Z846]</t>
  </si>
  <si>
    <t>Scientific and Technological Research Council of Tuerkiye (TUBITAK)(Turkiye Bilimsel ve Teknolojik Arastirma Kurumu (TUBITAK))</t>
  </si>
  <si>
    <t>This work with a grant number of 119Z846 was supported by The Scientific and Technological Research Council of Tuerkiye (TUBITAK).</t>
  </si>
  <si>
    <t>1735-1472</t>
  </si>
  <si>
    <t>1735-2630</t>
  </si>
  <si>
    <t>INT J ENVIRON SCI TE</t>
  </si>
  <si>
    <t>Int. J. Environ. Sci. Technol.</t>
  </si>
  <si>
    <t>10.1007/s13762-023-04930-9</t>
  </si>
  <si>
    <t>I6LU8</t>
  </si>
  <si>
    <t>WOS:000981556800001</t>
  </si>
  <si>
    <t>Simpkins, G</t>
  </si>
  <si>
    <t>Simpkins, Graham</t>
  </si>
  <si>
    <t>Record low Antarctic sea ice extent</t>
  </si>
  <si>
    <t>An article in Environmental Research Letters investigates the influence of the Amundsen Sea Low in driving record low Antarctic sea ice extent in February 2022.</t>
  </si>
  <si>
    <t>graham.simpkins@nature.com</t>
  </si>
  <si>
    <t>10.1038/s43017-023-00433-w</t>
  </si>
  <si>
    <t>AP3O9</t>
  </si>
  <si>
    <t>WOS:000980388000003</t>
  </si>
  <si>
    <t>Collins, M; Clark, MS; Truebano, M</t>
  </si>
  <si>
    <t>Collins, Michael; Clark, Melody S.; Truebano, Manuela</t>
  </si>
  <si>
    <t>The environmental cellular stress response: the intertidal as a multistressor model</t>
  </si>
  <si>
    <t>Multistressor; Cellular stress response; Heat shock proteins; Cross-tolerance; Ecophysiology; Integrative</t>
  </si>
  <si>
    <t>HEAT-SHOCK RESPONSE; SNAILS GENUS TEGULA; PHYSIOLOGICAL-RESPONSES; HEAT-SHOCK-PROTEIN-70 HSP70; MYTILUS-GALLOPROVINCIALIS; TRANSCRIPTOMIC RESPONSES; INTERSPECIFIC VARIATION; TIDEPOOL SCULPIN; CROSS-TOLERANCE; EXPRESSION</t>
  </si>
  <si>
    <t>The wild poses a multifaceted challenge to the maintenance of cellular function. Therefore, a multistressor approach is essential to predict the cellular mechanisms which promote homeostasis and underpin whole-organism tolerance. The intertidal zone is particularly dynamic, and thus, its inhabitants provide excellent models to assess mechanisms underpinning multistressor tolerance. Here, we critically review our current understanding of the regulation of the cellular stress response (CSR) under multiple abiotic stressors in intertidal organisms and consider to what extent a multistressor approach brings us closer to understanding responses in the wild. The function of the CSR has been well documented in laboratory and field exposures with a view to understanding single-stressor thermal effects. Multistressor studies still remain relatively limited in comparison but have applied three main approaches: (i) laboratory application of multiple stressors in isolation, (ii) multiple stressors applied in combination, and (iii) field-based correlation of multiple stressors against the CSR. The application of multiple stressors in isolation has allowed the identification of putative, shared stress pathways but overlooks non-additive stressor interactions on the CSR. Combined stressor studies are relatively limited in number but already highlight variable effects on the CSR dependent upon stressor type, timing, and magnitude. Field studies have allowed the identification of responsive components of the CSR to various stressors in situ but are correlative, not causative. A combined approach involving laboratory multistressor studies linking the CSR to whole-organism tolerance as well as field studies is required if we are to understand the role of the CSR in the natural environment.</t>
  </si>
  <si>
    <t>[Collins, Michael; Truebano, Manuela] Univ Plymouth, Marine Biol &amp; Ecol Res Ctr, Sch Biol &amp; Marine Sci, Plymouth PL4 8AA, England; [Clark, Melody S.] NERC, British Antarctic Survey, Madingley Rd, Cambridge CB3 OET, England</t>
  </si>
  <si>
    <t>University of Plymouth; UK Research &amp; Innovation (UKRI); Natural Environment Research Council (NERC); NERC British Antarctic Survey</t>
  </si>
  <si>
    <t>Collins, M (corresponding author), Univ Plymouth, Marine Biol &amp; Ecol Res Ctr, Sch Biol &amp; Marine Sci, Plymouth PL4 8AA, England.</t>
  </si>
  <si>
    <t>michael.collins@plymouth.ac.uk</t>
  </si>
  <si>
    <t>; Clark, Melody/D-7371-2014</t>
  </si>
  <si>
    <t>Collins, Michael/0000-0003-2112-5294; Clark, Melody/0000-0002-3442-3824</t>
  </si>
  <si>
    <t>School of Biological and Marine Sciences, University of Plymouth; NERC core funding</t>
  </si>
  <si>
    <t>MC and MT are funded by the School of Biological and Marine Sciences, University of Plymouth. MSC is funded by NERC core funding to British Antarctic Survey</t>
  </si>
  <si>
    <t>10.1007/s12192-023-01348-7</t>
  </si>
  <si>
    <t>WOS:000980365300001</t>
  </si>
  <si>
    <t>Leonard, D</t>
  </si>
  <si>
    <t>Leonard, Daniel</t>
  </si>
  <si>
    <t>Antarctic Shield Phytoplankton in the Southern Ocean help to whiten Earth's clouds</t>
  </si>
  <si>
    <t>KM2Q4</t>
  </si>
  <si>
    <t>WOS:001180321800032</t>
  </si>
  <si>
    <t>Muruganandham, S; Robel, AA; Hoffman, MJ; Price, S</t>
  </si>
  <si>
    <t>Muruganandham, Shivaprakash; Robel, Alexander A.; Hoffman, Matthew J.; Price, Stephen</t>
  </si>
  <si>
    <t>Statistical Generation of Ocean Forcing With Spatiotemporal Variability for Ice Sheet Models</t>
  </si>
  <si>
    <t>COMPUTING IN SCIENCE &amp; ENGINEERING</t>
  </si>
  <si>
    <t>Meteorology; Computational modeling; Oceans; Uncertainty; Climate change; Numerical models; Spatiotemporal phenomena; Ice thickness; Melt processing; Antarctica</t>
  </si>
  <si>
    <t>Melting of ice at the base of floating ice shelves that fringe the Antarctic ice sheet has been identified as a significant source of uncertainty in sea level rise projections. Part of this uncertainty derives from chaotic internal variability of the coupled ocean-atmosphere system. For numerical ice sheet model projections, this uncertainty has not previously been quantified because of the prohibitive computational expense of running large climate model ensembles. Here, we develop and demonstrate a technique that generates independent realizations of internal climate variability from a single climate model simulation. Building on previous developments in model emulation, this technique uses empirical orthogonal function decomposition and Fourier-phase randomization to generate statistically consistent realizations of spatiotemporal variability fields for the target climate variable. The method facilitates efficient sampling of a wide range of climate trajectories, which can also be incorporated within ice sheet or other physical models to represent feedback processes.</t>
  </si>
  <si>
    <t>[Muruganandham, Shivaprakash; Robel, Alexander A.] Georgia Inst Technol, Atlanta, GA 30332 USA; [Hoffman, Matthew J.; Price, Stephen] Los Alamos Natl Lab, Fluid Dynam &amp; Solid Mech Grp, Los Alamos, NM 87545 USA</t>
  </si>
  <si>
    <t>University System of Georgia; Georgia Institute of Technology; United States Department of Energy (DOE); Los Alamos National Laboratory</t>
  </si>
  <si>
    <t>Muruganandham, S (corresponding author), Georgia Inst Technol, Atlanta, GA 30332 USA.</t>
  </si>
  <si>
    <t>mshiv@gatech.edu; robel@eas.gatech.edu; mhoffman@lanl.gov; sprice@lanl.gov</t>
  </si>
  <si>
    <t>Robel, Alexander/0000-0003-4520-0105; Muruganandham, Shivaprakash/0000-0002-8294-2514; Price, Stephen/0000-0001-6878-2553</t>
  </si>
  <si>
    <t>U.S. National Science Foundation [1947882]; Earth and Environmental System Modeling program - U.S. Department of Energy's Office of Science, Biological and Environmental Research program</t>
  </si>
  <si>
    <t>U.S. National Science Foundation(National Science Foundation (NSF)); Earth and Environmental System Modeling program - U.S. Department of Energy's Office of Science, Biological and Environmental Research program(United States Department of Energy (DOE))</t>
  </si>
  <si>
    <t>This work was supported by the U.S. National Science Foundation under Award 1947882 as a part of the Ant-arctic Ice Sheet Large Ensemble project. It was also supported by the Earth and Environmental System Modeling program, funded by the U.S. Department of Energy's Office of Science, Biological and Environmental Research program. The data and analysis code for the results presented in this article are available as an archived Zenodo object at https://doi.org/10.5281/zenodo.7633997. Full source, documentation, and future updates may be found in the GitHub repository at https://github.com/mshiv/aislens\_emulation.</t>
  </si>
  <si>
    <t>IEEE COMPUTER SOC</t>
  </si>
  <si>
    <t>LOS ALAMITOS</t>
  </si>
  <si>
    <t>10662 LOS VAQUEROS CIRCLE, PO BOX 3014, LOS ALAMITOS, CA 90720-1314 USA</t>
  </si>
  <si>
    <t>1521-9615</t>
  </si>
  <si>
    <t>1558-366X</t>
  </si>
  <si>
    <t>COMPUT SCI ENG</t>
  </si>
  <si>
    <t>Comput. Sci. Eng.</t>
  </si>
  <si>
    <t>MAY-JUN</t>
  </si>
  <si>
    <t>10.1109/MCSE.2023.3300908</t>
  </si>
  <si>
    <t>Computer Science, Interdisciplinary Applications</t>
  </si>
  <si>
    <t>Computer Science</t>
  </si>
  <si>
    <t>X2UR6</t>
  </si>
  <si>
    <t>WOS:001097062700004</t>
  </si>
  <si>
    <t>Dowd, W; Kueltz, D</t>
  </si>
  <si>
    <t>Dowd, Wes; Kueltz, Dietmar</t>
  </si>
  <si>
    <t>Muted molecular responses to thermal stress in the Antarctic emerald rockcod (Trematomus bernacchii): Proteomic evidence and possible evolutionary mechanisms</t>
  </si>
  <si>
    <t>PHYSIOLOGY</t>
  </si>
  <si>
    <t>proteomics; thermal biology</t>
  </si>
  <si>
    <t>NSF [IOS-165582]; APS John F. Perkins, Jr., Research Career Enhancement Award</t>
  </si>
  <si>
    <t>NSF(National Science Foundation (NSF)); APS John F. Perkins, Jr., Research Career Enhancement Award</t>
  </si>
  <si>
    <t>NSF IOS-165582 to WD and an APS John F. Perkins, Jr., Research Career Enhancement Award</t>
  </si>
  <si>
    <t>AMER PHYSIOLOGICAL SOC</t>
  </si>
  <si>
    <t>Rockville</t>
  </si>
  <si>
    <t>6120 Executive Blvd, Suite 600, Rockville, MD, UNITED STATES</t>
  </si>
  <si>
    <t>1548-9213</t>
  </si>
  <si>
    <t>1548-9221</t>
  </si>
  <si>
    <t>10.1152/physiol.2023.38.S1.5731667</t>
  </si>
  <si>
    <t>R1MG6</t>
  </si>
  <si>
    <t>WOS:001062046400509</t>
  </si>
  <si>
    <t>Halupka, L; Arlt, D; Tolvanen, J; Millon, A; Bize, P; Adamik, P; Albert, P; Arendt, WJ; Artemyev, A; Baglione, V; Banbura, J; Banbura, M; Barba, E; Barrett, RT; Becker, PH; Belskii, E; Bolton, M; Bowers, EK; Bried, J; Brouwer, L; Bukacinska, M; Bukacinski, D; Bulluck, L; Carstens, KF; Catry, I; Charter, M; Chernomorets, A; Covas, R; Czuchra, M; Dearborn, DC; de Lope, F; Di Giacomo, ASD; Dombrovski, VC; Drummond, H; Dunn, MJ; Eeva, T; Emmerson, LM; Espmark, Y; Fargallo, JA; Gashkov, SI; Golubova, EY; Griesser, M; Harris, MP; Hoover, JP; Jagielio, Z; Korell, P; Kloskowski, J; Koenig, WD; Kolunen, H; Korczak-Abshire, M; Korpimaeki, E; Krams, I; Krist, M; Krüger, SC; Kuranov, BD; Lambin, X; Lombardo, MP; Lyakhov, A; Marzal, A; Moller, AP; Neves, VC; Nielsen, JT; Numerov, A; Orlowska, B; Oro, D; Oest, M; Phillips, RA; Pietiäinen, H; Polo, V; Porkert, J; Potti, J; Pöysä, H; Printemps, T; Prop, J; Quillfeldt, P; Ramos, JA; Ravussin, PA; Rosenfield, RN; Roulin, A; Rubenstein, DR; Samusenko, IE; Saunders, DA; Schaub, M; Senar, JC; Sergio, F; Solonen, T; Solovyeva, DV; Stepniewski, J; Thompson, PM; Tobolka, M; Török, J; van de Pol, M; Vernooij, L; Visser, ME; Westneat, DF; Wheelwright, NT; Wiacek, J; Wiebe, KL; Wood, AG; Wuczynski, A; Wysocki, D; Zarybnicka, M; Margalida, A; Halupka, K</t>
  </si>
  <si>
    <t>Halupka, Lucyna; Arlt, Debora; Tolvanen, Jere; Millon, Alexandre; Bize, Pierre; Adamik, Peter; Albert, Pascal; Arendt, Wayne J.; Artemyev, Alexander, V; Baglione, Vittorio; Banbura, Jerzy; Banbura, Miroslawa; Barba, Emilio; Barrett, Robert T.; Becker, Peter H.; Belskii, Eugen; Bolton, Mark; Bowers, E. Keith; Bried, Joel; Brouwer, Lyanne; Bukacinska, Monika; Bukacinski, Dariusz; Bulluck, Lesley; Carstens, Kate F.; Catry, Ines; Charter, Motti; Chernomorets, Anna; Covas, Rita; Czuchra, Monika; Dearborn, Donald C.; de Lope, Florentino; Di Giacomo, Adrian S.; Dombrovski, Valery C.; Drummond, Hugh; Dunn, Michael J.; Eeva, Tapio; Emmerson, Louise M.; Espmark, Yngve; Fargallo, Juan A.; Gashkov, Sergey I.; Golubova, Elena Yu.; Griesser, Michael; Harris, Michael P.; Hoover, Jeffrey P.; Jagielio, Zuzanna; Korell, Patrik; Kloskowski, Janusz; Koenig, Walter D.; Kolunen, Heikki; Korczak-Abshire, Magorzata; Korpimaeki, Erkki; Krams, Indrikis; Krist, Milos; Kruger, Sonja C.; Kuranov, Boris D.; Lambin, Xavier; Lombardo, Michael P.; Lyakhov, Andrey; Marzal, Alfonso; Moller, Anders P.; Neves, Veronica C.; Nielsen, Jan Tottrup; Numerov, Alexander; Orlowska, Beata; Oro, Daniel; oest, Markus; Phillips, Richard A.; Pietiaeinen, Hannu; Polo, Vicente; Porkert, Jiri; Potti, Jaime; Poysa, Hannu; Printemps, Thierry; Prop, Jouke; Quillfeldt, Petra; Ramos, Jaime A.; Ravussin, Pierre-Alain; Rosenfield, Robert N.; Roulin, Alexandre; Rubenstein, Dustin R.; Samusenko, Irina E.; Saunders, Denis A.; Schaub, Michael; Senar, Juan C.; Sergio, Fabrizio; Solonen, Tapio; V. Solovyeva, Diana; Stepniewski, Janusz; Thompson, Paul M.; Tobolka, Marcin; Toeroek, Janos; van de Pol, Martijn; Vernooij, Louis; Visser, Marcel E.; Westneat, David F.; Wheelwright, Nathaniel T.; Wiacek, Jaroslaw; Wiebe, Karen L.; Wood, Andrew G.; Wuczynski, Andrzej; Wysocki, Dariusz; Zarybnicka, Marketa; Margalida, Antoni; Halupka, Konrad</t>
  </si>
  <si>
    <t>The effect of climate change on avian offspring production: A global meta-analysis</t>
  </si>
  <si>
    <t>climate change; birds; offspring production; meta-analysis</t>
  </si>
  <si>
    <t>NEST-SITE SELECTION; EXTINCTION RISK; GREAT TITS; BIRDS; PHENOLOGY; RESPONSES; DECLINE; EVOLUTIONARY; RECRUITMENT; DISTURBANCE</t>
  </si>
  <si>
    <t>Climate change affects timing of reproduction in many bird species, but few stud-ies have investigated its influence on annual reproductive output. Here, we assess changes in the annual production of young by female breeders in 201 populations of 104 bird species (N = 745,962 clutches) covering all continents between 1970 and 2019. Overall, average offspring production has declined in recent decades, but considerable differences were found among species and populations. A total of 56.7% of populations showed a declining trend in offspring production (significant in 17.4%), whereas 43.3% exhibited an increase (significant in 10.4%). The results show that climatic changes affect offspring production through compounded effects on ecological and life history traits of species. Migratory and larger-bodied species experienced reduced offspring production with increasing temperatures during the chick-rearing period, whereas smaller-bodied, sedentary species tended to produce more offspring. Likewise, multi-brooded species showed increased breeding success with increasing temperatures, whereas rising temperatures were unrelated to repro-ductive success in single-brooded species. Our study suggests that rapid declines in size of bird populations reported by many studies from different parts of the world are driven only to a small degree by changes in the production of young.</t>
  </si>
  <si>
    <t>[Halupka, Lucyna; Orlowska, Beata] Univ Wroclaw, Fac Biol Sci, Ornithol Stn, PL-50335 Wroclaw, Poland; [Arlt, Debora] Swedish Univ Agr Sci, Dept Ecol, SE-75007 Uppsala, Sweden; [Arlt, Debora] Swedish Univ Agr Sci, SLU Swedish Species Informat Ctr, SE-75007 Uppsala, Sweden; [Tolvanen, Jere] Univ Oulu, Dept Ecol &amp; Genet, Oulu 90014, Finland; [Millon, Alexandre] Univ Avignon, Aix Marseille Univ, CNRS, Inst Rech Dev IRD,Inst Mediterraneen Biodivers &amp;, F-13545 Aix En Provence, France; [Printemps, Thierry] Grp Etud &amp; Protect Busards GepB, F-52110 Beurville, France; [Bize, Pierre] Swiss Ornithol Inst, CH-6204 Sempach, Switzerland; [Adamik, Peter; Krist, Milos] Palacky Univ, Fac Sci, Dept Zool, Olomouc 77146, Czech Republic; [Adamik, Peter; Krist, Milos] Museum Nat Hist, Olomouc 77173, Czech Republic; [Arendt, Wayne J.] US Forest Serv, USDA, Int Inst Trop Forestry, Sabana Field Res Stn, Luquillo, PR 00773 USA; [Artemyev, Alexander, V] Russian Acad Sci, Karelian Res Ctr, Inst Biol, Dept Zool, Petrozavodsk 185910, Russia; [Baglione, Vittorio] Univ Leon, Dept Biodiversidad &amp; Gest Ambiental, E-24071 Leon, Spain; [Banbura, Jerzy; Banbura, Miroslawa] Univ Lodz, Fac Biol, Dept Expt Zool &amp; Evolutionary Biol, PL-90237 Lodz, Poland; [Barba, Emilio] Univ Valencia, Cavanilles Inst Biodivers &amp; Evolutionary Biol, E-46080 Valencia, Spain; [Barrett, Robert T.] Tromso Univ Museum, Dept Nat Sci, NO-9037 Tromso, Norway; [Becker, Peter H.] Inst Avian Res Vogelwarte Helgoland, Head Off Wilhelmshaven, D-26386 Wilhelmshaven, Germany; [Belskii, Eugen; Lyakhov, Andrey] Russian Acad Sci, Inst Plant &amp; Anim Ecol, Ural Branch, Ekaterinburg 620144, Russia; [Bolton, Mark] Royal Soc Protect Birds, Ctr Conservat Sci, Aberdeen AB10 1YP, Scotland; [Bowers, E. Keith] Univ Memphis, Dept Biol Sci, Edward J Meeman Biol Stn, Memphis, TN 38152 USA; [Bowers, E. Keith] Univ Memphis, Ctr Biodivers Res, Memphis, TN 38152 USA; [Bried, Joel] Univ Azores, Inst Marine Sci OKEANOS, P-9901862 Horta, Portugal; [Brouwer, Lyanne] James Cook Univ, Coll Sci &amp; Engn, Dept Zool &amp; Ecol, Townsville, Qld 4811, Australia; [Brouwer, Lyanne] Australian Natl Univ, Sch Biol, Div Ecol &amp; Evolut Res, Canberra, ACT 2601, Australia; [Bukacinska, Monika; Bukacinski, Dariusz] Cardinal Stefan Wyszynski Univ Warsaw, Inst Biol Sci, Dept Environm Conservat, PL-01938 Warsaw, Poland; [Bulluck, Lesley] Virginia Commonwealth Univ, Dept Biol, Richmond, VA 23284 USA; [Bulluck, Lesley] Virginia Commonwealth Univ, Ctr Environm Studies, Richmond, VA 23284 USA; [Carstens, Kate F.; Covas, Rita] Univ Cape Town, FitzPatrick Inst African Ornithol, ZA-7701 Rondebosch, South Africa; [Catry, Ines; Covas, Rita] Univ Porto, Res Network Biodivers &amp; Evolutionary Biol InBIO, Res Ctr Biodivers &amp; Genet Resources CIBIO, Lab Associado, P-4485601 Vairao, Portugal; [Catry, Ines] Univ Lisbon, Res Ctr Biodivers &amp; Genet Resources CIBIO, Res Network Biodivers &amp; Evolutionary Biol InBIO, Lab Associado,Inst Super Agron, P-1349017 Lisbon, Portugal; [Catry, Ines; Covas, Rita] Res Ctr Biodivers &amp; Genet Resources CIBIO, BIOPOLIS Program Genom Biodivers &amp; Land Planning, P-4485661 Vairao, Portugal; [Charter, Motti] Univ Haifa, Shamir Res Inst, IL-3498838 Haifa, Israel; [Charter, Motti] Univ Haifa, Dept Geog &amp; Environm Studies, IL-3498838 Haifa, Israel; [Chernomorets, Anna; Samusenko, Irina E.] Natl Acad Sci Belarus, Sci &amp; Pract Ctr Biol Resources, Lab Ornithol, Minsk 220072, BELARUS; [Czuchra, Monika; Halupka, Konrad] Univ Wroclaw, Fac Biol Sci, Dept Behav Ecol, PL-50335 Wroclaw, Poland; [Dearborn, Donald C.] Bates Coll, Biol Dept, Lewiston, ME 04240 USA; [Dearborn, Donald C.] Cardiff Univ, Sch Biosci, Div Organisms &amp; Environm, Cardiff CF10 3AX, Wales; [de Lope, Florentino; Marzal, Alfonso] Univ Extremadura, Dept Anat Cellular Biol &amp; Zool, E-506071 Badajoz, Spain; [Di Giacomo, Adrian S.] Consejo Nacl Invest Cient &amp; Tecn, Ctr Ecol Aplicada Litoral, Lab Biol Conservac, RA-3400 Corrientes, Argentina; [Dombrovski, Valery C.] Natl Acad Sci, Lab Mol Zool, Minsk 220072, BELARUS; [Drummond, Hugh] Univ Nacl Autonoma Mexico, Inst Ecol, Dept Ecol Evolut, Mexico City 04510, DF, Mexico; [Dunn, Michael J.; Phillips, Richard A.; Wood, Andrew G.] British Antarctic Survey, Nat Environm Res Council, Cambridge CB3 0ET, England; [Eeva, Tapio; Korpimaeki, Erkki] Univ Turku, Dept Biol, Turku 20014, Finland; [Emmerson, Louise M.] Dept Agr Water &amp; Environm, Australian Antarctic Div, Kingston, Tas 7050, Australia; [Espmark, Yngve] Norwegian Univ Sci &amp; Technol, Dept Biol, N-7491 Trondheim, Norway; [Fargallo, Juan A.] CSIC, Museo Nacl Ciencias Nat, Dept Evolutionary Ecol, E-28006 Madrid, Spain; [Gashkov, Sergey I.] Tomsk State Univ, Zool Museum, Dept Museum Technol, Tomsk 634050, Russia; [Golubova, Elena Yu.; V. Solovyeva, Diana] Russian Acad Sci, Far Eastern Branch, Inst Biol Problems North, Magadan 685000, Russia; [Griesser, Michael] Univ Konstanz, Dept Biol, D-78457 Constance, Germany; [Griesser, Michael] Univ Konstanz, Ctr Adv Study Collect Behav, D-78457 Constance, Germany; [Griesser, Michael] Max Planck Inst Anim Behav, Dept Collect Behav, D-78457 Constance, Germany; [Harris, Michael P.] UK Ctr Ecol &amp; Hydrol, Penicuik EH26 0QB, Midlothian, Scotland; [Hoover, Jeffrey P.] Univ Illinois, Prairie Res Inst, Illinois Nat Hist Survey, Urbana, IL 61820 USA; [Jagielio, Zuzanna; Kloskowski, Janusz; Tobolka, Marcin] Poznan Univ Life Sci, Inst Zool, PL-60625 Poznan, Poland; [Korell, Patrik] Novia Univ Appl Sci, Bioecon Res Team, FI-10600 Raseborg, Finland; [Korell, Patrik] Lund Univ, Dept Biol, Evolutionary Ecol Unit, SE-22362 Lund, Sweden; [Koenig, Walter D.] Univ Calif Berkeley, Hastings Reservat, Carmel Valley, CA 93924 USA; [Koenig, Walter D.] Cornell Univ, Cornell Lab Ornithol, Ithaca, NY 14850 USA; [Korczak-Abshire, Magorzata] Polish Acad Sci, Inst Biochem &amp; Biophys, PL-02106 Warsaw, Poland; [Krams, Indrikis] Univ Latvia, Fac Biol, Dept Zool &amp; Anim Ecol, LV-1004 Riga, Latvia; [Krams, Indrikis] Daugavpils Univ, Dept Biotechnol, LV-5401 Daugavpils, Latvia; [Krams, Indrikis] Univ Tartu, Inst Ecol &amp; Earth Sci, Dept Zool, EE-51010 Tartu, Estonia; [Kruger, Sonja C.] Ezemvelo KwaZulu Natal Wildlife, Conservat Serv Div, ZA-3202 Cascades, South Africa; [Kruger, Sonja C.] Univ KwaZulu Natal, Ctr Funct Biodivers, Sch Life Sci, ZA-3201 Pietermaritzburg, South Africa; [Kuranov, Boris D.] Tomsk State Univ, Dept Vertebrate Zool &amp; Ecol, Tomsk 634050, Russia; [Lambin, Xavier; Schaub, Michael] Univ Aberdeen, Sch Biol Sci, Aberdeen AB24 2TZ, Scotland; [Lombardo, Michael P.] Grand Valley State Univ, Biol Dept, Allendale, MI 49401 USA; [Moller, Anders P.] Univ Paris Saclay, CNRS, Ecol Systemat Evolut, F-91190 Gif Sur Yvette, France; [Numerov, Alexander] Voronezh State Univ, Dept Zool &amp; Parasitol, Voronezh 394006, Russia; [Oro, Daniel] CSIC, Ctr Estudis Acancats Blanes CEAB, Theoret &amp; Computat Ecol Lab, Blanes 17300, Spain; [oest, Markus] Abo Akad Univ, Environm &amp; Marine Biol, Turku 20500, Finland; [oest, Markus] Novia Univ Appl Sci, FI-10600 Raseborg, Finland; [Pietiaeinen, Hannu] Univ Helsinki, Dept Biosci, FI-00014 Helsinki, Finland; [Polo, Vicente] Univ Rey Juan Carlos, Dept Biol &amp; Geol, Mostoles 28933, Spain; [Potti, Jaime; Sergio, Fabrizio] CSIC, Estn Biol Donana, Seville 41092, Spain; [Poysa, Hannu] Univ Eastern Finland, Dept Environm &amp; Biol Sci, FI-80101 Joensuu, Finland; [Prop, Jouke] Univ Groningen, Arctic Ctr, NL-9718 CW Groningen, Netherlands; [Quillfeldt, Petra] Justus Liebig Univ, Dept Anim Ecol &amp; Systemat, D-35392 Giessen, Germany; [Ramos, Jaime A.] Univ Coimbra, Marine &amp; Environm Sci Ctr MARE, Dept Life Sci, P-3000456 Coimbra, Portugal; [Rosenfield, Robert N.] Univ Wisconsin Stevens Point, Dept Biol, Stevens Point, WI 54481 USA; [Roulin, Alexandre] Univ Lausanne, Dept Ecol &amp; Evolut, CH-1015 Lausanne, Switzerland; [Rubenstein, Dustin R.] Columbia Univ, Dept Ecol Evolut &amp; Environm Biol, New York, NY 10027 USA; [Schaub, Michael] Univ Bern, Inst Ecol &amp; Evolut, Div Conservat Biol, CH-3012 Bern, Switzerland; [Senar, Juan C.] Museu Ciencies Nat Barcelona, Dept Vertebrats, Barcelona 08003, Spain; [Solonen, Tapio] Luontotutkimus Solonen Oy, FI-00960 Helsinki, Finland; [Stepniewski, Janusz] Panurus Monitoringi Inwentaryzacje Opinie Przyrod, PL-64113 Osieczna, Poland; [Thompson, Paul M.] Univ Aberdeen, Lighthouse Field Stn, Sch Biol Sci, Cromarty IV11 8YL, Scotland; [Tobolka, Marcin] Univ Vet Med, Konrad Lorenz Inst Ethol, A-1160 Vienna, Austria; [Toeroek, Janos] Eotvos Lorand Univ, Behav Ecol Grp, Dept Systemat Zool &amp; Ecol, H-1117 Budapest, Hungary; [Toeroek, Janos] Eotvos Lorand Univ, Hungarian Nat Hist Museum, Eotvos Lorand Res Network, Integrat Ecol Res Grp, H-1117 Budapest, Hungary; [van de Pol, Martijn; Vernooij, Louis; Visser, Marcel E.] Netherlands Inst Ecol, Dept Anim Ecol, NL-6708 PB Wageningen, Netherlands; [van de Pol, Martijn] James Cook Univ, Coll Sci &amp; Engn, Dept Phys Sci, Townsville, Qld 4811, Australia; [Westneat, David F.] Univ Kentucky, Dept Biol, Lexington, KY 40506 USA; [Wheelwright, Nathaniel T.] Bowdoin Coll, Dept Biol, Brunswick, ME 04011 USA; [Wiacek, Jaroslaw] Marie Curie Sklodowska Univ, Inst Biol Sci, Dept Zool &amp; Nat Protect, PL-20033 Lublin, Poland; [Wiebe, Karen L.] Univ Saskatchewan, Dept Biol, Saskatoon, SK S7N 5E2, Canada; [Wuczynski, Andrzej] Polish Acad Sci, Inst Nat Conservat, PL-31120 Krakow, Poland; [Wysocki, Dariusz] Szczecin Univ, Dept Vertebrate Zool &amp; Anthropol, PL-71415 Szczecin, Poland; [Zarybnicka, Marketa] Czech Univ Life Sci Prague, Fac Environm Sci, Dept Ecol, Prague 16521, Czech Republic; [Margalida, Antoni] UCLM, JCCM, CSIC, Inst Game &amp; Wildlife Res,IREC, E-13005 Ciudad Real, Spain; [Margalida, Antoni] CSIC, Pyrenean Inst Ecol, Jaca 22700, Spain</t>
  </si>
  <si>
    <t>University of Wroclaw; Swedish University of Agricultural Sciences; Swedish University of Agricultural Sciences; University of Oulu; Avignon Universite; Centre National de la Recherche Scientifique (CNRS); Institut de Recherche pour le Developpement (IRD); Aix-Marseille Universite; Swiss Ornithological Institute; Palacky University Olomouc; National Museum; United States Department of Agriculture (USDA); United States Forest Service; Russian Academy of Sciences; Karelian Research Centre of the Russian Academy of Sciences; Institute of Biology of Karelian Research Centre RAS; Universidad de Leon; University of Lodz; University of Valencia; UiT The Arctic University of Tromso; Russian Academy of Sciences; Institute of Plant &amp; Animal Ecology of the Russian Academy of Sciences; Royal Society for Protection of Birds; University of Memphis; University of Memphis; Universidade dos Acores; James Cook University; Australian National University; Cardinal Stefan Wyszynski University in Warsaw; Virginia Commonwealth University; Virginia Commonwealth University; University of Cape Town; Universidade do Porto; Universidade de Lisboa; Universidade do Porto; University of Haifa; University of Haifa; National Academy of Sciences of Belarus (NASB); Scientific &amp; Practical Center for Bioresources of the National Academy of Sciences of Belarus; University of Wroclaw; Cardiff University; Universidad de Extremadura; Consejo Nacional de Investigaciones Cientificas y Tecnicas (CONICET); National Academy of Sciences of Belarus (NASB); Universidad Nacional Autonoma de Mexico; UK Research &amp; Innovation (UKRI); Natural Environment Research Council (NERC); NERC British Antarctic Survey; University of Turku; Australian Antarctic Division; Norwegian University of Science &amp; Technology (NTNU); Consejo Superior de Investigaciones Cientificas (CSIC); CSIC - Museo Nacional de Ciencias Naturales (MNCN); Tomsk State University; Institute of Biological Problems of the North; Russian Academy of Sciences; University of Konstanz; University of Konstanz; Max Planck Society; UK Centre for Ecology &amp; Hydrology (UKCEH); University of Illinois System; University of Illinois Urbana-Champaign; Illinois Natural History Survey; Poznan University of Life Sciences; Novia University of Applied Sciences; Lund University; University of California System; University of California Berkeley; Cornell University; Polish Academy of Sciences; Institute of Biochemistry &amp; Biophysics - Polish Academy of Sciences; University of Latvia; University of Daugavpils; University of Tartu; Tartu University Institute of Ecology &amp; Earth Sciences; University of Kwazulu Natal; Tomsk State University; University of Aberdeen; Grand Valley State University; Centre National de la Recherche Scientifique (CNRS); Universite Paris Cite; Universite Paris Saclay; Voronezh State University; Consejo Superior de Investigaciones Cientificas (CSIC); CSIC - Centre d'Estudis Avancats de Blanes (CEAB); Abo Akademi University; Novia University of Applied Sciences; University of Helsinki; Universidad Rey Juan Carlos; Consejo Superior de Investigaciones Cientificas (CSIC); CSIC - Estacion Biologica de Donana (EBD); University of Eastern Finland; University of Groningen; Justus Liebig University Giessen; Universidade de Coimbra; University of Wisconsin System; University of Wisconsin Stevens Point; University of Lausanne; Columbia University; University of Bern; Museu de Ciencies Naturals de Barcelona; University of Aberdeen; University of Veterinary Medicine Vienna; Eotvos Lorand University; Hungarian Research Network; Eotvos Lorand University; Royal Netherlands Academy of Arts &amp; Sciences; Netherlands Institute of Ecology (NIOO-KNAW); James Cook University; University of Kentucky; Bowdoin College; Maria Curie-Sklodowska University; University of Saskatchewan; Polish Academy of Sciences; University of Szczecin; Czech University of Life Sciences Prague; Consejo Superior de Investigaciones Cientificas (CSIC); CSIC - Instituto de Investigacion en Recursos Cinegeticos (IREC); Universidad de Castilla-La Mancha; Consejo Superior de Investigaciones Cientificas (CSIC); CSIC - Instituto Pirenaico de Ecologia (IPE)</t>
  </si>
  <si>
    <t>Halupka, L (corresponding author), Univ Wroclaw, Fac Biol Sci, Ornithol Stn, PL-50335 Wroclaw, Poland.</t>
  </si>
  <si>
    <t>lucyna.halupka@uwr.edu.pl</t>
  </si>
  <si>
    <t>Torok, Janos/C-6144-2008; Korpimäki, Erkki/JED-5831-2023; Wysocki, Dariusz/IZE-0149-2023; Tobolka, Marcin/ABG-2392-2021; Pöysä, Hannu/JBS-4832-2023; Solovyeva, Diana/J-7302-2012; Millon, Alexandre/AAF-8624-2020; Potti, Jaime/H-3113-2019; Thompson, Paul/C-4194-2018; Millon, Alexandre/R-6464-2017; Ramos, Jaime A./B-6616-2018; Golubova, Elena/JWA-3087-2024; Adamik, Peter/I-2057-2013; Visser, Marcel E./A-9151-2009; Wuczyński, Andrzej/G-4372-2014; Adamik, Peter/AFK-0073-2022; Griesser, Michael/J-4542-2012; Marzal, Alfonso/J-6677-2012; Öst, Markus/C-7376-2008; Artemyev, Alexandr V/R-3756-2018; Eeva, Tapio/V-8922-2018; Neves, Veronica/A-4642-2009; Covas, Rita/G-2242-2018; Lambin, Xavier/E-8284-2011; Rubenstein, Dustin/A-3451-2015</t>
  </si>
  <si>
    <t>Wysocki, Dariusz/0000-0002-1064-1579; Tobolka, Marcin/0000-0002-4989-1524; Potti, Jaime/0000-0002-2284-0022; Thompson, Paul/0000-0002-4720-8867; Millon, Alexandre/0000-0002-9475-4123; Ramos, Jaime A./0000-0002-9533-987X; Golubova, Elena/0009-0002-8909-253X; Adamik, Peter/0000-0003-1566-1234; Visser, Marcel E./0000-0002-1456-1939; Wuczyński, Andrzej/0000-0001-9577-3855; Griesser, Michael/0000-0002-2220-2637; Marzal, Alfonso/0000-0001-5872-1060; Eeva, Tapio/0000-0002-0395-1536; Jagiello, Zuzanna/0000-0003-1606-2612; Zarybnicka, Marketa/0000-0001-5883-0988; Torok, Janos/0000-0002-4799-5522; Bukacinski, Dariusz/0000-0003-0163-2950; Brouwer, Lyanne/0000-0001-6728-4851; Korpimaki, Erkki/0000-0001-7596-1955; Kloskowski, Janusz/0000-0002-0525-2421; Bukacinska, Monika/0000-0002-4526-3141; Chernomorets, Anna/0000-0002-3073-5820; Neves, Veronica/0000-0002-6826-4542; Halupka, Lucyna/0000-0002-8043-8111; Covas, Rita/0000-0001-7130-144X; Lambin, Xavier/0000-0003-4643-2653; Tolvanen, Jere/0000-0002-0250-3176; Rubenstein, Dustin/0000-0002-4999-3723; Karell, Patrik/0000-0003-0297-125X; Baglione, Vittorio/0000-0001-8464-7861; Korczak-Abshire, Malgorzata/0000-0001-7695-0588; Bize, Pierre/0000-0002-6759-4371</t>
  </si>
  <si>
    <t>Polish National Science Centre (Narodowe Centrum Nauki) [2017/27/B/NZ8/00465]</t>
  </si>
  <si>
    <t>Polish National Science Centre (Narodowe Centrum Nauki)</t>
  </si>
  <si>
    <t>ACKNOWLEDGMENTS. We are grateful to our collaborators who worked with us and collected field data. The list of principal collaborators and institutions is published in SI Appendix, Table S6. We thank Heather Renner for the informa-tion about the data collected by Alaska Maritime National Wildlife Refuge. We sincerely appreciate valuable comments and suggestions made by two reviewers, which helped us in improving the manuscript. This meta-analysis was financed by the grant of the Polish National Science Centre (Narodowe Centrum Nauki) (no. 2017/27/B/NZ8/00465) awarded to Lucyna Halupka.</t>
  </si>
  <si>
    <t>MAY 1</t>
  </si>
  <si>
    <t>e2208389120</t>
  </si>
  <si>
    <t>10.1073/pnas.2208389120</t>
  </si>
  <si>
    <t>N6JY6</t>
  </si>
  <si>
    <t>WOS:001038063500008</t>
  </si>
  <si>
    <t>Kitsios, V; Frederiksen, JS; O'Kane, TJ</t>
  </si>
  <si>
    <t>Kitsios, V.; Frederiksen, J. S.; O'Kane, T. J.</t>
  </si>
  <si>
    <t>Subgrid Parameterization of Eddy, Meanfield and Topographic Interactions in Simulations of an Idealized Antarctic Circumpolar Current</t>
  </si>
  <si>
    <t>subgrid parameterization; stochastic; general circulation model; climate; topography; eddies</t>
  </si>
  <si>
    <t>STOCHASTIC BACKSCATTER; SCALE PARAMETERIZATIONS; GENERAL-CIRCULATION; OCEAN MODEL; VISCOSITY; TURBULENCE; TRANSPORT; GHENT; EQUILIBRIUM; TENDENCY</t>
  </si>
  <si>
    <t>The ocean circulation dynamics can be represented as a high-dimensional multi-scale nonlinear system with inhomogenous meanfields and topography. Numerical simulations of the ocean dynamics resolve the large scales of motion on a computational grid, with the unresolved subgrid interactions parameterized. These simulations are highly dependent upon the grid resolution, unless the subgrid terms are appropriately parameterized. There are five fundamental classes of subgrid interactions: eddy-eddy; eddy-topographic; eddy-meanfield; meanfield-meanfield; and meanfield-topographic. Scale dependent parameterizations representing each of these interaction classes are presented here in oceanic flows for the first time. Subgrid parameterizations are calculated and validated in baroclinic quasi-geostrophic simulations of idealized Antarctic Circumpolar Current flows with representative mean currents and ocean floor topography. The parameterization coefficients are derived from the coarse grained statistics of high resolution reference simulations in spectral space. Stochastic and deterministic parameterizations are developed for the eddy-eddy interactions, and deterministic forms for the remaining classes. The kinetic energy spectra and meanfield resulting from large eddy simulations (LES) adopting these coefficients accurately replicate those of the reference simulation. The eddy-eddy interactions are dominant, but all classes need to be parameterized for best results. For LES where baroclinic instability is explicitly resolved the stochastic variants out-perform the deterministic ones across all scales. When baroclinic instability is not explicitly resolved, the stochastic variants out-perform the deterministic cases at the large scales, but introduce some distortions at the smallest resolved scales. This study provides an assessment of the relevant strengths of the subgrid interaction classes in an idealized yet representative ocean.</t>
  </si>
  <si>
    <t>[Kitsios, V.; Frederiksen, J. S.] CSIRO Environm, Aspendale, VIC, Australia; [Kitsios, V.] Monash Univ, Dept Mech &amp; Aerosp Engn, Lab Turbulence Res Aerosp &amp; Combust, Clayton, VIC, Australia; [O'Kane, T. J.] CSIRO Environm, Hobart, TAS, Australia</t>
  </si>
  <si>
    <t>Monash University</t>
  </si>
  <si>
    <t>Kitsios, V (corresponding author), CSIRO Environm, Aspendale, VIC, Australia.;Kitsios, V (corresponding author), Monash Univ, Dept Mech &amp; Aerosp Engn, Lab Turbulence Res Aerosp &amp; Combust, Clayton, VIC, Australia.</t>
  </si>
  <si>
    <t>vassili.kitsios@csiro.au</t>
  </si>
  <si>
    <t>O'Kane, Terence J/B-1655-2009; Kitsios, Vassili/A-3141-2012</t>
  </si>
  <si>
    <t>O'Kane, Terence J/0000-0002-2137-5915; Kitsios, Vassili/0000-0002-2543-0264</t>
  </si>
  <si>
    <t>CSIRO Artificial Intelligence for Missions program</t>
  </si>
  <si>
    <t>V. Kitsios and T.J. O'Kane would like to acknowledge funding from the CSIRO Artificial Intelligence for Missions program. The authors would also like to thank the editor and reviewers for their thorough and insightful comments</t>
  </si>
  <si>
    <t>e2022MS003412</t>
  </si>
  <si>
    <t>10.1029/2022MS003412</t>
  </si>
  <si>
    <t>I1AO6</t>
  </si>
  <si>
    <t>WOS:001000172300001</t>
  </si>
  <si>
    <t>Marciau, C; Costantini, D; Bestley, S; Hicks, O; Hindell, MA; Kato, A; Raclot, T; Ribout, C; Ropert-Coudert, Y; Angelier, F</t>
  </si>
  <si>
    <t>Marciau, Coline; Costantini, David; Bestley, Sophie; Hicks, Olivia; Hindell, Mark A.; Kato, Akiko; Raclot, Thierry; Ribout, Cecile; Ropert-Coudert, Yan; Angelier, Frederic</t>
  </si>
  <si>
    <t>Environmental Drivers of Growth and Oxidative Status during Early Life in a Long-Lived Antarctic Seabird, the Adelie Penguin</t>
  </si>
  <si>
    <t>PHYSIOLOGICAL AND BIOCHEMICAL ZOOLOGY</t>
  </si>
  <si>
    <t>oxidative stress; Adelie penguin; brood competition; early life; hatching order; brood size; reactive oxygen metabolites; protein carbonyls</t>
  </si>
  <si>
    <t>HATCHING ASYNCHRONY; SIBLING COMPETITION; INCREASED SUSCEPTIBILITY; PHENOTYPIC DEVELOPMENT; POSTFLEDGING SURVIVAL; FALCO-TINNUNCULUS; STRESS; SEX; DAMAGE; TERM</t>
  </si>
  <si>
    <t>In vertebrates, developmental conditions can have long-term effects on individual performance. It is increasingly recognized that oxidative stress could be one physiological mechanism connecting early-life experience to adult phenotype. Accordingly, markers of oxidative status could be useful for assessing the developmental constraints encountered by offspring. Although some studies have demonstrated that developmental constraints are associated with high levels of oxidative stress in offspring, it remains unclear how growth, parental behavior, and brood competition may altogether affect oxidative stress in long-lived species in the wild. Here, we investigated this question in a long-lived Antarctic bird species by testing the impact of brood competition (e.g., brood size and hatching order) on body mass and on two markers of oxidative damage in Adelie penguin chicks. We also examined the influence of parental effort (i.e., foraging trip duration) and parental body condition on chick body mass and oxidative damage. First, we found that brood competition and parental traits had significant impacts on chick body mass. Second, we found that chick age and, to a lesser extent, chick body mass were two strong determinants of the levels of oxidative damage in Adelie penguin chicks. Finally, and importantly, we also found that brood competition significantly increased the levels of one marker of oxidative damage and was associated with a lower survival probability. However, parental effort and parental condition were not significantly linked to chick levels of oxidative damage. Overall, our study demonstrates that sibling competition can generate an oxidative cost even for this long-lived Antarctic species with a limited brood size (maximum of two chicks).</t>
  </si>
  <si>
    <t>[Marciau, Coline; Bestley, Sophie; Hindell, Mark A.] Univ Tasmania, Inst Marine &amp; Antarctic Studies, Hobart, Tas, Australia; [Marciau, Coline; Hicks, Olivia; Kato, Akiko; Ribout, Cecile; Ropert-Coudert, Yan; Angelier, Frederic] La Rochelle Univ, Ctr Etud Biol Chize, CNRS, UMR 7372, Villiers En Bois, France; [Costantini, David] Museum Natl Hist Nat, CNRS, UMR 7221, Unite Physiol Mol &amp; Adaptat, Paris, France; [Costantini, David] Tuscia Univ, Dept Ecol &amp; Biol Sci, I-01100 Viterbo, Italy; [Raclot, Thierry] Univ Strasbourg, Inst Pluridisciplinaire Hubert Curien, CNRS, UMR 7178, Strasbourg, France</t>
  </si>
  <si>
    <t>University of Tasmania; Centre National de la Recherche Scientifique (CNRS); CNRS - Institute of Ecology &amp; Environment (INEE); Centre National de la Recherche Scientifique (CNRS); CNRS - National Institute for Biology (INSB); Museum National d'Histoire Naturelle (MNHN); Tuscia University; Universites de Strasbourg Etablissements Associes; Universite de Strasbourg; Centre National de la Recherche Scientifique (CNRS); CNRS - National Institute of Nuclear and Particle Physics (IN2P3)</t>
  </si>
  <si>
    <t>Marciau, C (corresponding author), Univ Tasmania, Inst Marine &amp; Antarctic Studies, Hobart, Tas, Australia.;Marciau, C (corresponding author), La Rochelle Univ, Ctr Etud Biol Chize, CNRS, UMR 7372, Villiers En Bois, France.</t>
  </si>
  <si>
    <t>French Polar Institute Paul-Emile Victor (IPEV); World Wide Fund for Nature-UK; Centre National de la Recherche Scientifique (CNRS); University of Tasmania</t>
  </si>
  <si>
    <t>French Polar Institute Paul-Emile Victor (IPEV); World Wide Fund for Nature-UK; Centre National de la Recherche Scientifique (CNRS)(Centre National de la Recherche Scientifique (CNRS)); University of Tasmania</t>
  </si>
  <si>
    <t>We thank Alexandre Baduel and Danuta M. Wisniewska for their help in the field. We thank the Service d'Analyses Biologiques of the Centre d'Etudes Biologiques de Chize (CEBC) for its expertise and technical help in conducting laboratory analyses. The project is part of the research program 1091-l'AMMER that is supported by the French Polar Institute Paul-Emile Victor (IPEV) and the World Wide Fund for Nature-UK. This project was funded by the Centre National de la Recherche Scientifique (CNRS) and by a research grant allocated by the University of Tasmania to C.M. All experiments were approved by a French regional ethical committee in animal experimentation (84 degrees N) under the issued permit APAFIS#2111-2015092414273394 v4. Access to a restricted area in the context of the Antarctic Treaty (Antarctic Specially Protected Areas) was approved by IPEV. C.M. and F.A. designed the study. C.M., F.A., and O.H. conducted the fieldwork; C.R. and D.C. conducted the laboratory work. C.M. and F.A. analyzed the data. C.M. and F.A. wrote the manuscript with input from D.C., S.B., O.H., M.H., A.K., T.R., and Y.R.-C. We declare no competing interests.</t>
  </si>
  <si>
    <t>1522-2152</t>
  </si>
  <si>
    <t>1537-5293</t>
  </si>
  <si>
    <t>PHYSIOL BIOCHEM ZOOL</t>
  </si>
  <si>
    <t>Physiol. Biochem. Zool.</t>
  </si>
  <si>
    <t>10.1086/724686</t>
  </si>
  <si>
    <t>Physiology; Zoology</t>
  </si>
  <si>
    <t>N2FV2</t>
  </si>
  <si>
    <t>WOS:001035241500002</t>
  </si>
  <si>
    <t>Potenza, MAC</t>
  </si>
  <si>
    <t>Potenza, M. A. C.</t>
  </si>
  <si>
    <t>Year-round study of the optical properties of airborne dust in Antarctica</t>
  </si>
  <si>
    <t>NUOVO CIMENTO C-COLLOQUIA AND COMMUNICATIONS IN PHYSICS</t>
  </si>
  <si>
    <t>Article; Proceedings Paper</t>
  </si>
  <si>
    <t>72nd Congress of the Italian Society of Physiology (SIF)</t>
  </si>
  <si>
    <t>SEP 14-16, 2022</t>
  </si>
  <si>
    <t>Bari, ITALY</t>
  </si>
  <si>
    <t>ICE CORE; SHAPE; SIZE</t>
  </si>
  <si>
    <t>I report experimental results obtained from OPTAIR, a multidis-ciplinary project to study the optical properties of airborne particles at Concordia Station, on the East Antarctic plateau, with the aim to assess the relationship among the optical properties of dust suspended in air and deposited on ground by the snow. A permanent instrument based on the Single-Particle Extinction and Scattering (SPES) method specifically designed and realized has been installed in November 2018 and continuously produces time-resolved data, providing several op-tical properties for each particle. The aim is to feed the models describing radiation transfer through the Earth's atmosphere, an open issue for what concerns the effects of dust. Data show evidence of important changes of the optical properties of dust across the year, with a relevant fraction of particles accumulated during short bursts lasting a few hours. This shows the need of time resolved information about the optical properties of dust to infer the effective impact of dust on radiative transfer.</t>
  </si>
  <si>
    <t>[Potenza, M. A. C.] Univ Milan, Dipartimento Fis, Milan, Italy; [Potenza, M. A. C.] Univ Milan, CIMAINA, Milan, Italy</t>
  </si>
  <si>
    <t>University of Milan; University of Milan</t>
  </si>
  <si>
    <t>Potenza, MAC (corresponding author), Univ Milan, Dipartimento Fis, Milan, Italy.;Potenza, MAC (corresponding author), Univ Milan, CIMAINA, Milan, Italy.</t>
  </si>
  <si>
    <t>marco.potenza@unimi.it</t>
  </si>
  <si>
    <t>Italian National Antarctic Program (PNRA) [PNRA00231]</t>
  </si>
  <si>
    <t>Italian National Antarctic Program (PNRA)</t>
  </si>
  <si>
    <t>The author acknowledges the collaboration that brought to realize the project OP-TAIR: Barbara Delmonte, Massimo Delguasta and Llorenc Cremonesi; Alberto Pullia and Andrea Passerini who designed and realized the whole electronics. The author is also indebted with Giuditta Celli and Ivan Bruni for technical maintenance at the in- strument during the winterover 2019 in Concordia. This work has been supported by the Italian National Antarctic Program (PNRA) through the project PNRA00231 OP- TAIR.</t>
  </si>
  <si>
    <t>SOC ITALIANA FISICA</t>
  </si>
  <si>
    <t>BOLOGNA</t>
  </si>
  <si>
    <t>VIA SARAGOZZA, 12, I-40123 BOLOGNA, ITALY</t>
  </si>
  <si>
    <t>2037-4909</t>
  </si>
  <si>
    <t>1826-9885</t>
  </si>
  <si>
    <t>NUOVO CIM C-COLLOQ C</t>
  </si>
  <si>
    <t>Nuovo Cim. C-Colloq. Commun. Phys.</t>
  </si>
  <si>
    <t>23069x</t>
  </si>
  <si>
    <t>10.1393/ncc/i2023-23069-x</t>
  </si>
  <si>
    <t>M8JC1</t>
  </si>
  <si>
    <t>WOS:001032613000021</t>
  </si>
  <si>
    <t>Nash, SB; Bohlin-Nizzetto, P; Galban-Malagon, C; Corsolini, S; Cincinelli, A; Lohmann, R</t>
  </si>
  <si>
    <t>Nash, Susan Bengtson; Bohlin-Nizzetto, Pernilla; Galban-Malagon, Cristobal; Corsolini, Simonetta; Cincinelli, Alessandra; Lohmann, Rainer</t>
  </si>
  <si>
    <t>Monitoring persistent organic chemicals in Antarctica in support of global chemical policy: a horizon scan of priority actions and challenges</t>
  </si>
  <si>
    <t>LANCET PLANETARY HEALTH</t>
  </si>
  <si>
    <t>CONTAMINANTS; POLLUTANTS; AIR; NETWORK; SCIENCE</t>
  </si>
  <si>
    <t>Global production and emission of chemicals exceeds societal capacities for assessment and monitoring. This situation calls for improved chemical regulatory policy frameworks and increased support for expedited decision making within existing frameworks. The polar regions of the Earth represent unique sentinel areas for the study of global chemical behaviour, and data arising from these areas can strengthen existing policy frameworks. However, chemical pollution research and monitoring in the Antarctic is underdeveloped, with geopolitical complexities and the absence of legal recognition of international chemical policy serving to neutralise progress made in other global regions. This Personal View represents a horizon scan by the action group Input Pathways of Persistent Organic Pollutants to Antarctica, of the Scientific Committee for Antarctic Research. Four priority research and research facilitation gaps are outlined, with recommendations for Antarctica Treaty parties for strategic action against these priorities.</t>
  </si>
  <si>
    <t>[Nash, Susan Bengtson] Griffith Univ, Ctr Planetary Hlth &amp; Food Secur, Nathan, Qld 4111, Australia; [Bohlin-Nizzetto, Pernilla] Norwegian Inst Air Res, Environm Chem Dept, Kjeller, Norway; [Galban-Malagon, Cristobal] Univ Mayor, Ctr Genom Ecol &amp; Environm, Huechuraba, Chile; [Galban-Malagon, Cristobal; Corsolini, Simonetta] Florida Int Univ, Inst Environm, Miami, FL USA; [Cincinelli, Alessandra] Univ Siena, Dept Phys Earth &amp; Environm Sci, Siena, Italy; [Lohmann, Rainer] Univ Florence, Dept Chem, Florence, Italy; [Lohmann, Rainer] Univ Rhode Isl, Grad Sch Oceanog, Narragansett, RI USA</t>
  </si>
  <si>
    <t>Griffith University; NILU; Universidad Mayor; State University System of Florida; Florida International University; University of Siena; University of Florence; University of Rhode Island</t>
  </si>
  <si>
    <t>Nash, SB (corresponding author), Griffith Univ, Ctr Planetary Hlth &amp; Food Secur, Nathan, Qld 4111, Australia.</t>
  </si>
  <si>
    <t>Galbán-Malagón, Cristobal/B-2170-2017; Galban Malagon, Cristobal/J-2384-2015</t>
  </si>
  <si>
    <t>Galban Malagon, Cristobal/0000-0001-8397-5804</t>
  </si>
  <si>
    <t>2542-5196</t>
  </si>
  <si>
    <t>LANCET PLANET HEALTH</t>
  </si>
  <si>
    <t>Lancet Planet. Health</t>
  </si>
  <si>
    <t>E435</t>
  </si>
  <si>
    <t>E440</t>
  </si>
  <si>
    <t>10.1016/S2542-5196(23)00076-1</t>
  </si>
  <si>
    <t>O5YB3</t>
  </si>
  <si>
    <t>WOS:001044550900001</t>
  </si>
  <si>
    <t>Jiang, CF; Lin, MS; Cao, RX; Wei, H; Shi, LJ; Cheng, B; Jia, YJ; Wang, QM</t>
  </si>
  <si>
    <t>Jiang, Chengfei; Lin, Mingsen; Cao, Ruixue; Wei, Hao; Shi, Lijian; Cheng, Bin; Jia, Yongjun; Wang, Qimao</t>
  </si>
  <si>
    <t>Classification of ice and water in the Arctic using radar altimeter and microwave radiometer data from HY-2B satellite</t>
  </si>
  <si>
    <t>Arctic; active microwave data; passive microwave data; sea ice; seawater</t>
  </si>
  <si>
    <t>1ST-YEAR SEA-ICE; VALIDATION; COVER</t>
  </si>
  <si>
    <t>Several Chinese marine satellites have been launched in recent years. Monitoring sea ice and the ocean in the Arctic is of great importance for climate research. Sea ice in the Arctic has changed rapidly during the past few decades with respect to the extent and thickness. In this study, we applied combined passive and active microwave data from the Chinese HaiYang-2B (HY-2B) satellite to classify ice and sea water in the Arctic. We use data from a radar altimeter (RA) and a calibration microwave radiometer (CMR) to discriminate between ice and water by applying several approaches (1) the single parameter threshold criteria, (2) the multi-parameters linear segmentations and (3) the K-means clustering. The results yielded by these methods were in good agreement (classification accuracy &gt;95%) with the Satellite Application Facility on Ocean and Sea Ice products between November and April. For other months (May-October), however, the agreement was less good (lowest classification accuracy approximate 85% in summer). A hybrid approach combined with graphical ice edges detection and microwave radar waveform analysis is therefore developed. A visual comparison with SAR images suggested the hybrid approach results greatly improved the ice and water discrimination in summer. This study demonstrated that multi-sensors (RA and CMR) configurations from HY satellites can offer comparable polar earth observation to the European Space Agency and NOAA satellite products.</t>
  </si>
  <si>
    <t>[Jiang, Chengfei; Wei, Hao] Tianjin Univ, Sch Marine Sci &amp; Technol, Tianjin 300072, Peoples R China; [Jiang, Chengfei; Lin, Mingsen; Shi, Lijian; Jia, Yongjun; Wang, Qimao] Minist Nat Resources, Natl Satellite Ocean Applicat Serv, Beijing 100081, Peoples R China; [Jiang, Chengfei; Lin, Mingsen; Shi, Lijian; Jia, Yongjun; Wang, Qimao] Southern Marine Sci &amp; Engn Guangdong Lab Guangzhou, Guangzhou 511458, Peoples R China; [Jiang, Chengfei; Lin, Mingsen; Shi, Lijian; Jia, Yongjun; Wang, Qimao] State Ocean Adm, Key Lab Space Ocean Remote Sensing &amp; Applicat, Beijing 100081, Peoples R China; [Cao, Ruixue] Guangdong Ocean Univ, Coll Ocean &amp; Meteorol, Zhanjiang 524088, Peoples R China; [Cheng, Bin] Finnish Meteorol Inst, FI-00560 Helsinki, Finland</t>
  </si>
  <si>
    <t>Tianjin University; National Satellite Ocean Application Service; Ministry of Natural Resources of the People's Republic of China; Southern Marine Science &amp; Engineering Guangdong Laboratory; Southern Marine Science &amp; Engineering Guangdong Laboratory (Guangzhou); Guangdong Ocean University; Finnish Meteorological Institute</t>
  </si>
  <si>
    <t>Lin, MS (corresponding author), Minist Nat Resources, Natl Satellite Ocean Applicat Serv, Beijing 100081, Peoples R China.;Lin, MS (corresponding author), Southern Marine Sci &amp; Engn Guangdong Lab Guangzhou, Guangzhou 511458, Peoples R China.;Lin, MS (corresponding author), State Ocean Adm, Key Lab Space Ocean Remote Sensing &amp; Applicat, Beijing 100081, Peoples R China.</t>
  </si>
  <si>
    <t>mslin@mail.nsoas.org.cn</t>
  </si>
  <si>
    <t>National Key Research and Development Program of China [2021YFC2803300, 2018YFC1407200, 2016YFC1401000, 2018YFC1407203]; Impact and Response of Antarctic Seas to Climate Change [IRASCC2020-2022, 01-01-03]; National Natural Science Foundation of China [41876204, 41941008, 41941013, 41630969]; Key Special Project for Introduced Talents Team of Southern Marine Science and Engineering Guangdong Laboratory (Guangzhou) [GML2019ZD0302]</t>
  </si>
  <si>
    <t>National Key Research and Development Program of China; Impact and Response of Antarctic Seas to Climate Change; National Natural Science Foundation of China(National Natural Science Foundation of China (NSFC)); Key Special Project for Introduced Talents Team of Southern Marine Science and Engineering Guangdong Laboratory (Guangzhou)</t>
  </si>
  <si>
    <t>The National Key Research and Development Program of China under contract Nos 2021YFC2803300, 2018YFC1407200, 2016YFC1401000 and 2018YFC1407203; the Impact and Response of Antarctic Seas to Climate Change, IRASCC2020-2022 under contract No. 01-01-03; the National Natural Science Foundation of China under contract Nos 41876204, 41941008, 41941013 and 41630969; the Key Special Project for Introduced Talents Team of Southern Marine Science and Engineering Guangdong Laboratory (Guangzhou) under contract No. GML2019ZD0302.</t>
  </si>
  <si>
    <t>10.1007/s13131-022-2067-4</t>
  </si>
  <si>
    <t>M6LT9</t>
  </si>
  <si>
    <t>WOS:001031318600015</t>
  </si>
  <si>
    <t>Cifre, A; Mi, Q; Ahamed, N; Bower, J; Connaboy, C; Simpson, R; Alfano, C</t>
  </si>
  <si>
    <t>Cifre, Anthony; Mi, Qi; Ahamed, Nizam; Bower, Joanne; Connaboy, Christopher; Simpson, Richard; Alfano, Candice</t>
  </si>
  <si>
    <t>SLEEP REGULARITY AND MENTAL HEALTH DURING EXTENDED ANTARCTIC RESIDENCE</t>
  </si>
  <si>
    <t>SLEEP</t>
  </si>
  <si>
    <t>37th Annual Meeting of the Associated Professional Sleep Societies</t>
  </si>
  <si>
    <t>JUN 03-07, 2023</t>
  </si>
  <si>
    <t>Indianapolis, IN</t>
  </si>
  <si>
    <t>[Cifre, Anthony; Alfano, Candice] Univ Houston, Houston, TX USA; [Mi, Qi; Ahamed, Nizam] Univ Pittsburgh, Pittsburgh, PA USA; [Ahamed, Nizam] Univ East Anglia, Norwich, England; [Connaboy, Christopher] Rosalind Franklin Univ Sci &amp; Med, N Chicago, IL USA; [Simpson, Richard] Univ Arizona, Tucson, AZ USA</t>
  </si>
  <si>
    <t>University of Houston System; University of Houston; Pennsylvania Commonwealth System of Higher Education (PCSHE); University of Pittsburgh; University of East Anglia; Rosalind Franklin University of Medicine &amp; Science; University of Arizona</t>
  </si>
  <si>
    <t>Connaboy, Christopher/HTM-0980-2023</t>
  </si>
  <si>
    <t>NASA [NNX15AC13G S014]</t>
  </si>
  <si>
    <t>NASA(National Aeronautics &amp; Space Administration (NASA))</t>
  </si>
  <si>
    <t>NASA award #NNX15AC13G S014 to the last author.</t>
  </si>
  <si>
    <t>0161-8105</t>
  </si>
  <si>
    <t>1550-9109</t>
  </si>
  <si>
    <t>Sleep</t>
  </si>
  <si>
    <t>Clinical Neurology; Neurosciences</t>
  </si>
  <si>
    <t>Neurosciences &amp; Neurology</t>
  </si>
  <si>
    <t>J2VG9</t>
  </si>
  <si>
    <t>WOS:001008232900243</t>
  </si>
  <si>
    <t>Medical activity at the Princess Elisabeth Antarctic station</t>
  </si>
  <si>
    <t>FLUGMEDIZIN TROPENMEDIZIN REISEMEDIZIN</t>
  </si>
  <si>
    <t>[Weith, Barbara] Int Polar Fdn, Rue vet 42B-1, BE-1070 Brussels, Belgium</t>
  </si>
  <si>
    <t>Weith, B (corresponding author), Int Polar Fdn, Rue vet 42B-1, BE-1070 Brussels, Belgium.</t>
  </si>
  <si>
    <t>1864-4538</t>
  </si>
  <si>
    <t>1864-175X</t>
  </si>
  <si>
    <t>FLUGMEDIZIN TROPENME</t>
  </si>
  <si>
    <t>Flugmedizin Tropenmedizin Reisemedizin</t>
  </si>
  <si>
    <t>10.1055/a-2070-2103</t>
  </si>
  <si>
    <t>Tropical Medicine</t>
  </si>
  <si>
    <t>J1SW4</t>
  </si>
  <si>
    <t>WOS:001007489300014</t>
  </si>
  <si>
    <t>Hazzard, JAN; Richards, FD; Goes, SDB; Roberts, GG</t>
  </si>
  <si>
    <t>Hazzard, James A. N.; Richards, Fred D.; Goes, Saskia D. B.; Roberts, Gareth G.</t>
  </si>
  <si>
    <t>Probabilistic Assessment of Antarctic Thermomechanical Structure: Impacts on Ice Sheet Stability</t>
  </si>
  <si>
    <t>Bayesian; anelasticity; viscosity; lithosphere-asthenosphere boundary; geothermal; heat flow</t>
  </si>
  <si>
    <t>LITHOSPHERE-ASTHENOSPHERE BOUNDARY; GLACIAL ISOSTATIC-ADJUSTMENT; UPPER-MANTLE STRUCTURE; RAPID BEDROCK UPLIFT; OCEANIC LITHOSPHERE; THERMAL STRUCTURE; SEA-LEVEL; BAYESIAN INVERSION; EARTH STRUCTURE; HEAT-FLOW</t>
  </si>
  <si>
    <t>Uncertainty in present-day glacial isostatic adjustment (GIA) rates represents at least 44% of the total gravity-based ice mass balance signal over Antarctica. Meanwhile, physical couplings between solid Earth, sea level and ice dynamics enhance the dependency of the spatiotemporally varying GIA signal on three-dimensional variations in mantle rheology. Improved knowledge of thermomechanical mantle structure is therefore required to refine estimates of current and projected ice mass balance. Here, we present a Bayesian inverse method for self-consistently mapping shear-wave velocities from high-resolution adjoint tomography into thermomechanical structure using calibrated parameterisations of anelasticity at seismic frequency. We constrain the model using regional geophysical data sets containing information on upper mantle temperature, attenuation and viscosity structure. Our treatment allows formal quantification of parameter covariances, and naturally permits propagation of material parameter uncertainties into thermomechanical structure estimates. We find that uncertainty in steady-state viscosity structure at 150 km depth can be reduced by 4-5 orders of magnitude compared with a forward-modeling approach neglecting covariance between viscoelastic parameters. By accounting for the dependence of apparent viscosity on loading timescale, we find good agreement between our estimates of mantle viscosity beneath West Antarctica, and those derived from satellite GPS. Direct access to temperature structure allows us to estimate lateral variations in lithosphere-asthenosphere boundary (LAB) depth, geothermal heat flow (GHF), and associated uncertainties. We find evidence for shallow LAB depths (63 +/- 13 km), and high GHF (76 +/- 7 mW m-2) beneath West Antarctica that, combined with low asthenospheric viscosities, indicate a highly dynamic response to ice mass loss. The viscosity (i.e., runniness) and temperature of Earth's interior exert a major influence on ice sheet stability and sea level change. Viscosity controls how the shape of Earth's surface and gravity field distorts when ice melts. Temperature controls the flow of heat to the base of ice sheets, determining how rapidly they slide and deform. Both parameters are expected to vary significantly with position inside Earth's mantle, but are poorly constrained. Improved information about mantle structure can be derived from recent models telling us about spatial variations in the speed at which earthquake-generated waves travel through Earth. In this study, we present a statistical method allowing us to convert from such models into estimates of viscosity and temperature. This method enables us to reduce uncertainty on such estimates, by feeding in regional geophysical data to help refine the range of plausible structures. Our estimates of viscosity beneath West Antarctica are in close agreement with observations from satellite GPS. In addition, our models of temperature structure allow us to estimate variations in Antarctic tectonic plate thickness, geothermal heat flow, and their associated uncertainties. We find evidence for significant disparity in each of these structures between West and East Antarctica.</t>
  </si>
  <si>
    <t>[Hazzard, James A. N.; Richards, Fred D.; Goes, Saskia D. B.; Roberts, Gareth G.] Imperial Coll London, Royal Sch Mines, Dept Earth Sci &amp; Engn, London, England</t>
  </si>
  <si>
    <t>Imperial College London</t>
  </si>
  <si>
    <t>Hazzard, JAN (corresponding author), Imperial Coll London, Royal Sch Mines, Dept Earth Sci &amp; Engn, London, England.</t>
  </si>
  <si>
    <t>j.hazzard20@imperial.ac.uk</t>
  </si>
  <si>
    <t>Roberts, Gareth/H-5516-2015</t>
  </si>
  <si>
    <t>Roberts, Gareth/0000-0002-6487-8117; Goes, Saskia/0000-0002-2231-2553; Hazzard, James/0000-0001-6019-9064; Richards, Fred/0000-0002-6610-4289</t>
  </si>
  <si>
    <t>Natural Environment Research Council [NE/T012501/1]; Imperial College Research Fellowship Scheme</t>
  </si>
  <si>
    <t>Natural Environment Research Council(UK Research &amp; Innovation (UKRI)Natural Environment Research Council (NERC)); Imperial College Research Fellowship Scheme</t>
  </si>
  <si>
    <t>Acknowledgments JANH acknowledges support from the Natural Environment Research Council (Grant NE/S007415/1). FDR acknowledges support from the Imperial College Research Fellowship Scheme. GGR acknowledges support from the Natural Environment Research Council (Grant NE/T012501/1). The authors thank Douglas A. Wiens and an anonymous reviewer for their helpful and instructive comments.</t>
  </si>
  <si>
    <t>e2023JB026653</t>
  </si>
  <si>
    <t>10.1029/2023JB026653</t>
  </si>
  <si>
    <t>G4NE4</t>
  </si>
  <si>
    <t>WOS:000988933600001</t>
  </si>
  <si>
    <t>Zhou, JJ; Fu, L; Xu, YZ; Zhang, W</t>
  </si>
  <si>
    <t>Zhou, Jinju; Fu, Lei; Xu, Yongzhong; Zhang, Wei</t>
  </si>
  <si>
    <t>New Insight Into Antarctic Ice Sheet Properties Using an Improved Teleseismic P-Wave Coda Autocorrelation Method</t>
  </si>
  <si>
    <t>THICKNESS; SURFACE</t>
  </si>
  <si>
    <t>In the past decades, several gridded datasets of the Antarctic ice sheet have been proposed, which provide important information for detailed modeling of the Antarctic ice sheet. In addition to the radio-echo sounding method, passive seismological methods have become increasingly popular in recent years to reveal ice sheet properties. But the impact of complex subglacial topography on these methods has not been discussed. In this study, the influence of subglacial topography on teleseismic P-wave coda autocorrelation was first analyzed. As the dip angle of the ice-rock interface increased, the time difference caused by the dipping interface became significant. We then demonstrated an approach to estimate the dip parameters of ice bed and ice properties. A test at a pilot station (BYRD) in west Antarctica indicated that the dip parameters estimated by the method are reliable. Finally, it was applied to 65 over-ice stations in three experiments (TAMSEIS, GAMSEIS, and POLENET). Dip parameters of the ice-rock interface were well estimated. The azimuths concurred with those extracted from Bedmap2 and BedMachine, while several dip angles were larger at quite a few stations. The valleys revealed in this study are deeper and the mountains are higher. Our in situ results prove the improvements of BedMachine, but the ice bed slope might have been underestimated in some regions. The single-station passive seismic approach can contribute to new models of the Antarctic ice sheet. The dip parameters and ice sheet properties obtained in this study may assist in other studies, such as ice sheet modeling.</t>
  </si>
  <si>
    <t>[Zhou, Jinju; Xu, Yongzhong] China Univ Min &amp; Technol, Sch Resources &amp; Geosci, Xuzhou, Peoples R China; [Fu, Lei] China Univ Geosci Wuhan, Sch Geophys &amp; Geomat, Hubei Subsurface Multiscale Imaging Key Lab, Wuhan, Peoples R China; [Zhang, Wei] Southern Univ Sci &amp; Technol, Guangdong Prov Key Lab Geophys High Resolut Imagin, Shenzhen, Peoples R China; [Zhang, Wei] Southern Univ Sci &amp; Technol, Dept Earth &amp; Space Sci, Shenzhen, Peoples R China</t>
  </si>
  <si>
    <t>China University of Mining &amp; Technology; China University of Geosciences; Southern University of Science &amp; Technology; Southern University of Science &amp; Technology</t>
  </si>
  <si>
    <t>Zhang, W (corresponding author), Southern Univ Sci &amp; Technol, Guangdong Prov Key Lab Geophys High Resolut Imagin, Shenzhen, Peoples R China.;Zhang, W (corresponding author), Southern Univ Sci &amp; Technol, Dept Earth &amp; Space Sci, Shenzhen, Peoples R China.</t>
  </si>
  <si>
    <t>zhangwei@sustech.edu.cn</t>
  </si>
  <si>
    <t>Fu, Lei/JVE-2289-2024</t>
  </si>
  <si>
    <t>Fu, Lei/0000-0001-9709-520X</t>
  </si>
  <si>
    <t>National Natural Science Foundation of China [41904105, 42074056, 41974044]; Guangdong Provincial Key Laboratory of Geophysical High-resolution Imaging Technology [2022B1212010002]; Shenzhen Science and Technology Program [KQTD20170810111725321]; Guangdong Provincial Pearl River Talents Program [2019QN01G801]</t>
  </si>
  <si>
    <t>National Natural Science Foundation of China(National Natural Science Foundation of China (NSFC)); Guangdong Provincial Key Laboratory of Geophysical High-resolution Imaging Technology; Shenzhen Science and Technology Program; Guangdong Provincial Pearl River Talents Program</t>
  </si>
  <si>
    <t>We are grateful to the associate editor and the two reviewers for their valuable comments. At the same time, we also want to thank the RES data collection and management team, Bedmap consortium, and GMT mapping tools team. This work was supported by the National Natural Science Foundation of China (Grants 41904105, 42074056, 41974044), Guangdong Provincial Key Laboratory of Geophysical High-resolution Imaging Technology (2022B1212010002). We also acknowledge the support of Shenzhen Science and Technology Program (Grant KQTD20170810111725321) and Guangdong Provincial Pearl River Talents Program (2019QN01G801).</t>
  </si>
  <si>
    <t>e2022JB024864</t>
  </si>
  <si>
    <t>10.1029/2022JB024864</t>
  </si>
  <si>
    <t>I1FT0</t>
  </si>
  <si>
    <t>WOS:001000308200001</t>
  </si>
  <si>
    <t>Yue, LZ; Chao, NF; Chen, G; Chen, LH; Zhang, BJ; Sun, RZ; Zhang, YZ; Wang, S; Wang, ZT; Li, FP; Yu, N; Ouyang, GC</t>
  </si>
  <si>
    <t>Yue, Lianzhe; Chao, Nengfang; Chen, Gang; Chen, Lihao; Zhang, Baojun; Sun, Runzhi; Zhang, Yanze; Wang, Shuai; Wang, Zhengtao; Li, Fupeng; Yu, Nan; Ouyang, Guichong</t>
  </si>
  <si>
    <t>Reconstructing Continuous Ice Sheet Elevation Changes in the Amundsen Sea Sector During 2003-2021 by Merging Envisat, ICESat, CryoSat-2, and ICESat-2 Multi-Altimeter Observations</t>
  </si>
  <si>
    <t>improved least-squares plane fit method; Envisat; ICESat; CryoSat-2; ICESat-2; surface elevation change; Amundsen Sea sector; ice sheet; altimetry</t>
  </si>
  <si>
    <t>SATELLITE RADAR; VOLUME-CHANGE; MASS-LOSS; GREENLAND; ANTARCTICA; SURFACE; MODEL; GRACE; GLACIERS; LAND</t>
  </si>
  <si>
    <t>The Amundsen Sea (AS) sector in West Antarctica accounts for a significant proportion of Earth's ice losses and is the largest contributor of Antarctica's mass loss. To evaluate its contribution to global sea-level rise, we reconstruct the long-term continuous surface elevation changes (CSEC) record of the AS sector by an improved least-squares plane fitting method (ILSPFM), which merged the relative surface elevation change (SEC) series instead of height from Envisat, ICESat, CryoSat-2, and ICESat-2 missions during 2003-2021. The accuracy of CSEC is improved by 25.9% using ILSPFM. The average rate of CSEC in the AS sector was -24.25 +/- 0.48 cm yr(-1) during 2003-2021. The largest signals of SEC are found over Pine Island, Thwaites, and Pope Glaciers, with the largest decline of SEC over Pope Glacier with a total SEC of -82.44 +/- 7.21 m and an annual change rate of -4.34 +/- 0.38 m yr(-1). The ridge between Pine Island and Thwaites Glaciers is found in the AS sector, indicating that the change of ice sheet is dynamic thinning and closely related to the topography and the distance from the grounding line. Compared with meteorological data sets, we find that the codirectional fluctuation in CSEC is delayed by 3 months with surface temperature, and the precipitation leading SEC series as the phase arrow points straight down from the cross wavelet transform. Our new record shows that the AS sector thinned rapidly from 2003 to 2021 but decelerated from 2019 to 2021, and it was clearly correlated to the surface temperature, precipitation, and local terrain. Plain Language Summary With the intensification of global climate change, the melting of glaciers and ice shelves around the Amundsen Sea (AS) sector in Antarctica has caused a large amount of glacial meltwater to flow into the ocean, directly leading to the rapid rise of global sea levels. Therefore, it is of great scientific and practical significance to determine the high-precision, high-resolution, and long-term continuous ice sheet surface elevation change (SEC) to predict future global sea-level changes. Considering the different characteristics and abilities of different altimeter missions, we developed an improved least-squares plane fitting method (ILSPFM) to merge radar and laser multi-mission satellite altimetry. The ILSPFM is applied to reconstruct the 2003-2021 ice sheet continuous SEC (CSEC) record in the AS sector using Envisat, ICESat, ICESat-2, and CryoSat-2 observations, and it is compared to IceBridge and GRACE Mascon products. The root mean square errors of CSEC is improved by 25.9% compared with the simple combination of individual SEC series from Envisat/ICESat/CryoSat-2/ICESat-2. This study highlights the potential of the CSEC multi-mission series determined by the ILSPFM as a reliable data set to support our understanding of the response mechanism of glaciers to climate change and for predicting global sea-level changes.</t>
  </si>
  <si>
    <t>[Yue, Lianzhe; Chao, Nengfang; Chen, Gang; Sun, Runzhi; Zhang, Yanze; Wang, Shuai; Li, Fupeng; Yu, Nan; Ouyang, Guichong] China Univ Geosci, Coll Marine Sci &amp; Technol, Key Lab Geol Survey &amp; Evaluat, Minist Educ, Wuhan, Peoples R China; [Yue, Lianzhe; Wang, Zhengtao] Wuhan Univ, Sch Geodesy &amp; Geomatics, Key Lab Geospace Environm &amp; Geodesy, Wuhan, Peoples R China; [Chao, Nengfang] Univ Leeds, Ctr Polar Observat &amp; Modelling, Sch Earth &amp; Environm, Leeds, W Yorkshire, England; [Chen, Lihao] China Univ Geosci, Sch Land Sci &amp; Technol, Beijing, Peoples R China; [Zhang, Baojun] Wuhan Univ, Chinese Antarctic Ctr Surveying &amp; Mapping, Wuhan, Peoples R China; [Li, Fupeng] Univ Bonn, Inst Geodesy &amp; Geoinformat, Bonn, Germany</t>
  </si>
  <si>
    <t>China University of Geosciences; Wuhan University; University of Leeds; China University of Geosciences; Wuhan University; University of Bonn</t>
  </si>
  <si>
    <t>Chao, NF; Chen, G (corresponding author), China Univ Geosci, Coll Marine Sci &amp; Technol, Key Lab Geol Survey &amp; Evaluat, Minist Educ, Wuhan, Peoples R China.;Chao, NF (corresponding author), Univ Leeds, Ctr Polar Observat &amp; Modelling, Sch Earth &amp; Environm, Leeds, W Yorkshire, England.</t>
  </si>
  <si>
    <t>chaonf@cug.edu.cn; ddwhcg@cug.edu.cn</t>
  </si>
  <si>
    <t>Zhang, Yanze/0000-0001-7409-4431; Chao, Nengfang/0000-0002-6211-4308; Li, Fupeng/0000-0002-3329-1989; yue, lianzhe/0000-0002-0107-7443</t>
  </si>
  <si>
    <t>National Natural Science Foundation of China [41974019, 42274012, 42274115]; China Scholarship Council [202106415011]; Opening Fund of Key Laboratory of Geological Survey and Evaluation of Ministry of Education [CUG2022ZR04]; Basic Research Fund of Key Laboratory of Geospace Environment and Geodesy [2021-01-10]</t>
  </si>
  <si>
    <t>National Natural Science Foundation of China(National Natural Science Foundation of China (NSFC)); China Scholarship Council(China Scholarship Council); Opening Fund of Key Laboratory of Geological Survey and Evaluation of Ministry of Education; Basic Research Fund of Key Laboratory of Geospace Environment and Geodesy</t>
  </si>
  <si>
    <t>The authors thank the following data providers for making the data available: NSIDC, ESA, CSR, ECMWF, and NCEI. All geographical figures were produced using Generic Mapping Tools (Wessel et al., 2019). We also specifically thank Dr. Ines Otosaka (Centre for Polar Observation and Modelling, School of Earth and Environment, University of Leeds), the Editor Olga Sergienko and five anonymous reviewers for their helpful comments and suggestions. This study is supported by the National Natural Science Foundation of China under Grants 41974019, 42274012, and 42274115, the China Scholarship Council (202106415011), the Opening Fund of Key Laboratory of Geological Survey and Evaluation of Ministry of Education (Grant CUG2022ZR04) and the Basic Research Fund of Key Laboratory of Geospace Environment and Geodesy (Grant 2021-01-10).</t>
  </si>
  <si>
    <t>e2022JF007020</t>
  </si>
  <si>
    <t>10.1029/2022JF007020</t>
  </si>
  <si>
    <t>I1DA9</t>
  </si>
  <si>
    <t>WOS:001000236600001</t>
  </si>
  <si>
    <t>Arumí-Planas, C; Pérez-Hernández, MD; Pelegri, JL; Vélez-Belchí, P; Emelianov, M; Caínzos, V; Cana, L; Firing, YL; García-Weil, L; Santana-Toscano, D; Hernández-Guerra, A</t>
  </si>
  <si>
    <t>Arumi-Planas, Cristina; Perez-Hernandez, Maria Dolores; Pelegri, Josep L.; Velez-Belchi, Pedro; Emelianov, Mikhail; Cainzos, Veronica; Cana, Luis; Firing, Yvonne L.; Garcia-Weil, Luis; Santana-Toscano, Daniel; Hernandez-Guerra, Alonso</t>
  </si>
  <si>
    <t>The South Atlantic Circulation Between 34.5°S, 24°S and Above the Mid-Atlantic Ridge From an Inverse Box Model</t>
  </si>
  <si>
    <t>physical oceanography; climate change; ocean circulation; South Atlantic Ocean; Mid-Atlantic Ridge; inverse model</t>
  </si>
  <si>
    <t>MERIDIONAL OVERTURNING CIRCULATION; ANTARCTIC BOTTOM WATER; WESTERN BOUNDARY CURRENT; INTERMEDIATE WATER; HEAT-TRANSPORT; DEEP-WATER; TEMPORAL VARIABILITY; GENERAL-CIRCULATION; EQUATORIAL CURRENT; OCEAN CIRCULATION</t>
  </si>
  <si>
    <t>The South Atlantic Ocean plays a key role in the heat exchange of the climate system, as it hosts the returning flow of the Atlantic Meridional Overturning Circulation (AMOC). To gain insights on this role, using data from three hydrographic cruises conducted in the South Atlantic Subtropical gyre at 34.5 degrees S, 24 degrees S, and 10 degrees W, we identify water masses and compute absolute geostrophic circulation using inverse modeling. In the upper layers, the currents describe the South Atlantic anticyclonic gyre with the northwest flowing Benguela Current (26.3 +/- 2.0 Sv at 34.5 degrees S, and 21.2 +/- 1.8 Sv at 24 degrees S) flowing above the Mid-Atlantic Ridge (MAR) between 22.4 degrees S and 28.4 degrees S (-19.2 +/- 1.4 Sv), and the southward flowing Brazil Current (-16.5 +/- 1.3 Sv at 34.5 degrees S, and -7.3 +/- 0.9 Sv at 24 degrees S); the deep layers feature the southward transports of Deep Western Boundary Current (-13.9 +/- 3.0 Sv at 34.5 degrees S, and -8.7 +/- 3.8 Sv at 24 degrees S) and Deep Eastern Boundary Current (-15.1 +/- 3.5 Sv at 34.5 degrees S, and -16.3 +/- 4.7 Sv at 24 degrees S), with the interbasin west-to-east flow close to 24 degrees S (7.5 +/- 4.4 Sv); the abyssal waters present northward mass transports through the Argentina Basin (5.6 +/- 1.1 Sv at 34.5 degrees S, and 5.8 +/- 1.5 Sv at 24 degrees S) and Cape Basin (8.6 +/- 3.5 Sv at 34.5 degrees S-3.0 +/- 0.8 Sv at 24 degrees S) before returning southward (-2.2 +/- 0.7 Sv at 24 degrees S to -7.9 +/- 3.6 Sv at 34.5 degrees S), without any interbasin exchange across the MAR. In addition, we compute the upper AMOC strength (14.8 +/- 1.0 and 17.5 +/- 0.9 Sv), the equatorward heat transport (0.30 +/- 0.05 and 0.80 +/- 0.05 PW), and the freshwater flux (0.18 +/- 0.02 and -0.07 +/- 0.02 Sv) at 34.5 degrees S and 24 degrees S, respectively. Plain Language Summary The location of the South Atlantic subtropical gyre plays a critical role in the Atlantic Meridional Overturning Circulation, which controls the Earth's climate system. We have examined the South Atlantic subtropical gyre's circulation between 34.5 degrees S and 24 degrees S and above the Mid-Atlantic Ridge using data from three hydrographic cruises (34.5 degrees S, 24 degrees S, and 10 degrees W). From these cruises, we have identified the water masses present on this region and computed their transport. Thus, we describe the path of the anticyclonic gyre and the northeast route of the Benguela Current in the upper water masses (&lt;1,440 m depth); the southward flowing western and eastern boundary currents and an eastward interbasin flow close to 24 degrees S above the Mid-Atlantic Ridge in the deep water masses (those on the depth range from 1,440 to 3,800 m depth); and the northward flow of the abyssal water masses (&gt;3,800 m depth). We have also reported the characteristic heat transport flowing northward across the subtropical South Atlantic Ocean, where evaporation dominates over precipitation.</t>
  </si>
  <si>
    <t>[Arumi-Planas, Cristina; Perez-Hernandez, Maria Dolores; Cainzos, Veronica; Cana, Luis; Santana-Toscano, Daniel; Hernandez-Guerra, Alonso] Univ Las Palmas Gran Canaria, Unidad Oceano &amp; Clima, Unidad Asociada ULPGC CSIC, Inst Oceanog &amp; Cambio Global,IOCAG,ULPGC, Las Palmas Gran Canaria, Spain; [Pelegri, Josep L.; Emelianov, Mikhail] CSIC, Inst Ciencies Mar, Dept Oceanog Fis &amp; Tecnol, Unidad Asociada ULPGC CSIC, Barcelona, Spain; [Velez-Belchi, Pedro] CSIC, Inst Espanol Oceanog, Ctr Oceanog Canarias, Santa Cruz De Tenerife, Spain; [Firing, Yvonne L.] Natl Oceanog Ctr, European Way, Southampton, England; [Garcia-Weil, Luis] Univ Las Palmas Gran Canaria, Inst Univ Estudios Ambientales &amp; Recursos Nat I UN, ULPGC, Las Palmas Gran Canaria, Spain</t>
  </si>
  <si>
    <t>Universidad de Las Palmas de Gran Canaria; Consejo Superior de Investigaciones Cientificas (CSIC); CSIC - Centro Mediterraneo de Investigaciones Marinas y Ambientales (CMIMA); CSIC - Instituto de Ciencias del Mar (ICM); Spanish Institute of Oceanography; Consejo Superior de Investigaciones Cientificas (CSIC); NERC National Oceanography Centre; University of Southampton; Universidad de Las Palmas de Gran Canaria</t>
  </si>
  <si>
    <t>Arumí-Planas, C (corresponding author), Univ Las Palmas Gran Canaria, Unidad Oceano &amp; Clima, Unidad Asociada ULPGC CSIC, Inst Oceanog &amp; Cambio Global,IOCAG,ULPGC, Las Palmas Gran Canaria, Spain.</t>
  </si>
  <si>
    <t>cristina.arumi@ulpgc.es</t>
  </si>
  <si>
    <t>Pelegrí, Josep L/L-5815-2014; Cana-Cascallar, Luis C/A-7663-2008; Hernandez-Guerra, Alonso/A-4747-2008; Pérez-Hernández, Maria Dolores/J-5330-2014</t>
  </si>
  <si>
    <t>Pelegrí, Josep L/0000-0003-0661-2190; Cana-Cascallar, Luis C/0000-0001-6006-5488; Hernandez-Guerra, Alonso/0000-0002-4883-8123; Pérez-Hernández, Maria Dolores/0000-0001-7293-9584; Arumi-Planas, Cristina/0000-0001-5700-3550; Santana Toscano, Daniel/0000-0002-6699-8809</t>
  </si>
  <si>
    <t>SAGA project - Ministerio de Ciencia, Innovacion y Universidades of the Spanish Government [RTI2018-100844-B-C31, RTI2018-100844-B-C32, RTI2018-100844-B-C33]; Feder; Agencia Canaria de Investigacion, Innovacion y Sociedad de la Informacion (ACIISI) grant program of Apoyo al personal investigador en formacion [TESIS2021010028]</t>
  </si>
  <si>
    <t>SAGA project - Ministerio de Ciencia, Innovacion y Universidades of the Spanish Government; Feder(European Union (EU)Spanish Government); Agencia Canaria de Investigacion, Innovacion y Sociedad de la Informacion (ACIISI) grant program of Apoyo al personal investigador en formacion</t>
  </si>
  <si>
    <t>This study was supported by the SAGA project (RTI2018-100844-B-C31, RTI2018-100844-B-C32, and RTI2018-100844-B-C33) funded by the Ministerio de Ciencia, Innovacion y Universidades of the Spanish Government, and Feder. This article is a publication of the Unidad Oceano y Clima from Universidad de Las Palmas de Gran Canaria, an R &amp; D &amp; I CSIC associate unit. This work has been completed as part of C. Arumi-Planas's work at IOCAG, in the doctoral program in Oceanography and Global Change. C. Arumi-Planas acknowledges the Agencia Canaria de Investigacion, Innovacion y Sociedad de la Informacion (ACIISI) grant program of Apoyo al personal investigador en formacion TESIS2021010028. The authors gratefully acknowledge the major efforts of the chief scientists who collected the hydrographic transects data: B. King, M. Emelianov, and J. Karstensen. Finally, the authors are grateful to M. Cubas-Armas for her help with the data analysis and representation.</t>
  </si>
  <si>
    <t>e2022JC019614</t>
  </si>
  <si>
    <t>10.1029/2022JC019614</t>
  </si>
  <si>
    <t>I1DZ0</t>
  </si>
  <si>
    <t>hybrid, Green Accepted, Green Published</t>
  </si>
  <si>
    <t>WOS:001000261300001</t>
  </si>
  <si>
    <t>Haigh, M; Holland, PR; Jenkins, A</t>
  </si>
  <si>
    <t>Haigh, Michael; Holland, Paul R.; Jenkins, Adrian</t>
  </si>
  <si>
    <t>The Influence of Bathymetry Over Heat Transport Onto the Amundsen Sea Continental Shelf</t>
  </si>
  <si>
    <t>ANTARCTIC SLOPE CURRENT; CIRCUMPOLAR DEEP-WATER; PINE ISLAND; WEST ANTARCTICA; OCEANOGRAPHIC CONTROLS; ICE SHELVES; CIRCULATION; OCEAN; EXCHANGE; VARIABILITY</t>
  </si>
  <si>
    <t>Ice streams such as Pine Island and Thwaites Glaciers which terminate at their ice shelves in the eastern Amundsen Sea, West Antarctica, are losing mass faster than most others about the continent. The mass loss is due to basal melting, which is influenced by a deep current that transports warm Circumpolar Deep Water (CDW) from the continental shelf break toward the ice shelves. This current and associated heat transport are controlled by factors such as bottom bathymetry, near-surface winds and meltwater. Using a realistic regional model as a reference, in this study we use idealized models to examine the role of bathymetric features in determining the shelf-wide circulation and in enabling heat transport from the deep ocean onto the continental shelf. We find that a ridge that blocks deep westward inflow from the Bellingshausen Sea enables a deep cyclonic circulation on the shelf with an eastward undercurrent immediately south of the shelf break. Inclusion of the ridge enhances heat transport onto the continental shelf; without the ridge the flow features an along-shelf break westward current that suppresses cross-shelf break fluxes. We also consider the effects of shifting the prescribed wind forcing profile to the south-a simplified representation of future potential changes to the winds-and we find that the continental shelf is warmer in this scenario. These fundamental investigations will help refine the aims of future fieldwork and modeling. Plain Language Summary The ice streams that drain into the Amundsen Sea, West Antarctica, are losing mass faster than most others about the continent. Relatively warm ocean waters have access to the undersides of these ice shelves, and are thought to be the cause of the great mass loss. Deep currents transport warm waters from the deep ocean in the north toward the Antarctic coast in the south, but the details of such currents are not certain. Complex regional models which simulate the physics in the Amundsen Sea region have been useful examining the involved physical processes. In this study we use a sequence of simpler models to develop a more fundamental understanding of these processes. In particular, these simple models allow us to thoroughly investigate the role that ocean floor bathymetry plays in determining the flows in the region. We find that a ridge that blocks deep inflow from the east enables a clockwise circulation on the continental shelf, without which transport of heat onto the continental shelf would be greatly reduced. This result improves our understanding of the present flow and heat transport in the Amundsen Sea, and will aid predictions of the future of the region.</t>
  </si>
  <si>
    <t>[Haigh, Michael; Holland, Paul R.] British Antarctic Survey, Cambridge, England; [Jenkins, Adrian] Northumbria Univ, Dept Geog &amp; Environm Sci, Newcastle Upon Tyne, England</t>
  </si>
  <si>
    <t>UK Research &amp; Innovation (UKRI); Natural Environment Research Council (NERC); NERC British Antarctic Survey; Northumbria University</t>
  </si>
  <si>
    <t>Haigh, M (corresponding author), British Antarctic Survey, Cambridge, England.</t>
  </si>
  <si>
    <t>michai@bas.ac.uk</t>
  </si>
  <si>
    <t>Jenkins, Adrian/IUN-2406-2023</t>
  </si>
  <si>
    <t>Haigh, Michael/0000-0001-9062-7613; Jenkins, Adrian/0000-0002-9117-0616</t>
  </si>
  <si>
    <t>NERC [NE/T012803/1]</t>
  </si>
  <si>
    <t>This research was funded by the NERC project Drivers of Oceanic Change in the Amundsen Sea, NE/T012803/1. The authors are extremely grateful to two anonymous reviewers whose comments have helped to greatly improve this manuscript.</t>
  </si>
  <si>
    <t>e2022JC019460</t>
  </si>
  <si>
    <t>10.1029/2022JC019460</t>
  </si>
  <si>
    <t>I1DN7</t>
  </si>
  <si>
    <t>WOS:001000249500001</t>
  </si>
  <si>
    <t>Deng, QY; Xiao, ZY; Zhong, Z; Ye, M; Li, F; Yan, JG; Barriot, JP</t>
  </si>
  <si>
    <t>Deng, Qingyun; Xiao, Zhiyong; Zhong, Zhen; Ye, Mao; Li, Fei; Yan, Jianguo; Barriot, Jean-Pierre</t>
  </si>
  <si>
    <t>Lithospheric Elastic Thickness Beneath the Caloris Basin: Implications for the Thermal Structure of Mercury</t>
  </si>
  <si>
    <t>Mercury; elastic thickness; lithosphere; thermal model; heat producing elements; surface heat flow</t>
  </si>
  <si>
    <t>LUNAR MASCON BASINS; GRAVITATIONAL SIGNATURE; EVOLUTION; IMPACT; TECTONICS; CRUST; STRATIGRAPHY; TOPOGRAPHY; VOLCANISM; RHEOLOGY</t>
  </si>
  <si>
    <t>The elastic thickness of a planet's lithosphere is essential to the investigation of its thermal evolution. Our work focuses on the largest visible impact basin on Mercury, Caloris, which has undergone complex magma-tectonic deformation after its formation. Using a flexural lithosphere model with the initial mantle plug loading, we estimated the elastic thickness in the Caloris region to be 18.0 +/- 4.4 km. The successful application of the mantle loading model and the small load ratio indicates that major load in the Caloris region is the mantle plug rather than the lateral density anomaly. The 18 km effective elastic thickness indicates the lithospheric temperature at the time of loading. The current heat production rate in Mercury mantle is estimated as 2.2-4.2 x 10(-12) W/kg. Comparison between the effective elastic thickness predicted from the thermal model and loading model suggests that the megaregolith in the Caloris basin region has a certain thickness (&gt;3 km) to ensure the formation of a lithosphere with 18 km elastic thickness. The temperature model results also indicate that the mantle heat production rate at 3.6 Ga is closer to that calculated based on a model with heat-producing elements abundance close to CI chondrite-like primitive silicate portion of Mercury. The surface heat flow in the Caloris region is consistent with other megaregolith-covered regions. Plain Language Summary The lithosphere is defined as the outermost rigid part of a planet. Under the applied pressure (loads), the lithosphere will deform. The deformation of the lithosphere depends on whether it is rigid or not. Since the rigidity of matter is influenced by temperature, the rigidity of the lithosphere indicated by the deformation will reflect the thermal evolution of the planet. The deformation of the lithosphere caused by the impact basin and mantle uplift structure beneath it can be measured by gravity and topography data. Therefore, the analysis of the topography and gravity data provides information about the deformation and rigidity of the lithosphere, as well as the temperature state at the time of the formation of the impact basin. Conducting such an investigation in the Caloris basin, Mercury, we find that the outmost insulation layer (megaregolith) is the key to link the observed data (gravity and topography) and the thermal modeling results. Model results also suggest that mantle heat production rate at 3.6 Ga (3.6 billion year ago) is closer to that calculated based on a model with CI chondrite -like primitive silicate portion of Mercury, rather than another model based on the Earth's primitive mantle. Surface heat flow of the Caloris region is similar to other regions that are covered by megaregolith.</t>
  </si>
  <si>
    <t>[Deng, Qingyun; Ye, Mao; Li, Fei; Yan, Jianguo; Barriot, Jean-Pierre] Wuhan Univ, State Key Lab Informat Engn Surveying Mapping &amp; Re, Wuhan, Peoples R China; [Xiao, Zhiyong] Sun Yat Sen Univ, Sch Atmospher Sci, Planetary Environm &amp; Astrobiol Res Lab, Zhuhai, Peoples R China; [Zhong, Zhen] Guizhou Normal Univ, Sch Phys &amp; Elect Sci, Guiyang, Peoples R China; [Li, Fei] Wuhan Univ, Chinese Antarctic Ctr Surveying &amp; Mapping, Wuhan, Peoples R China; [Barriot, Jean-Pierre] Geodesy Observ Tahiti, Tahiti, French Polynesi, France</t>
  </si>
  <si>
    <t>Wuhan University; Sun Yat Sen University; Guizhou Normal University; Wuhan University</t>
  </si>
  <si>
    <t>Deng, QY (corresponding author), Wuhan Univ, State Key Lab Informat Engn Surveying Mapping &amp; Re, Wuhan, Peoples R China.</t>
  </si>
  <si>
    <t>dengqy@whu.edu.cn</t>
  </si>
  <si>
    <t>ZHANG, JING/KHY-1073-2024; li, chunlin/KFS-0761-2024; Xiao, Zhiyong/P-2376-2016; Cheng, Lin/KFQ-3111-2024; chen, xiao/KFQ-6812-2024; zhang, zheng/KHY-8870-2024; Wang, Yitong/KBA-1959-2024; Wang, Junzhe/KCK-4991-2024</t>
  </si>
  <si>
    <t>Xiao, Zhiyong/0000-0002-5026-6937; Deng, Qingyun/0000-0003-3346-2933; Yan, Jianguo/0000-0003-2612-4776; Barriot, Jean-Pierre/0000-0002-2112-9685; Ye, Mao/0000-0002-7273-5984</t>
  </si>
  <si>
    <t>Fundamental Research Funds for the Central Universities [2042019kf0191, 2042022kf1004]; National Natural Science Foundation of China [41804025, 42030110, 41874010, U1831132]; Innovation Group of Natural Fund of Hubei Province [2018CFA087]; DAR Grant in planetology from the French Space Agency (CNES)</t>
  </si>
  <si>
    <t>Fundamental Research Funds for the Central Universities(Fundamental Research Funds for the Central Universities); National Natural Science Foundation of China(National Natural Science Foundation of China (NSFC)); Innovation Group of Natural Fund of Hubei Province; DAR Grant in planetology from the French Space Agency (CNES)</t>
  </si>
  <si>
    <t>We thank all the anonymous reviewers for their comments. We thank Prof. Hu Sen for the discussion of the primitive material of the silicate portion of Mercury. We are grateful to M. Wieczorek for providing the open-source software SHTools (Wieczorek et al., 2018). Q. Y. Deng is supported by the Fundamental Research Funds for the Central Universities (2042022kf1004). F. Li is supported by the National Natural Science Foundation of China (42030110 and 41874010). J. G. Yan is supported by the National Natural Science Foundation of China (U1831132), the Fundamental Research Funds for the Central Universities (2042019kf0191) and Innovation Group of Natural Fund of Hubei Province (2018CFA087). J.-P. Barriot is funded by a DAR Grant in planetology from the French Space Agency (CNES). M. Ye is supported by the National Natural Science Foundation of China (41804025). Several figures were created with the Generic Mapping Tools (GMT) software (Wessel &amp; Smith, 1991). Q. Y. Deng thanks Z. Y. Luo for her passionate love.</t>
  </si>
  <si>
    <t>e2023JE007796</t>
  </si>
  <si>
    <t>10.1029/2023JE007796</t>
  </si>
  <si>
    <t>I1EB0</t>
  </si>
  <si>
    <t>WOS:001000263400001</t>
  </si>
  <si>
    <t>Jung, J; Oh, S; Yi, Y; Sohn, J</t>
  </si>
  <si>
    <t>Jung, Jongil; Oh, Suyeon; Yi, Yu; Sohn, Jongdae</t>
  </si>
  <si>
    <t>Asymmetric Cosmic Ray Modulation of Forbush Decreases Associated with the Propagation Direction of Interplanetary Coronal Mass Ejection</t>
  </si>
  <si>
    <t>JOURNAL OF THE KOREAN ASTRONOMICAL SOCIETY</t>
  </si>
  <si>
    <t>instrumentation:detectors; Sun:coronal mass ejections (CMEs); Sun:solar-terrestrial relations; cosmic rays</t>
  </si>
  <si>
    <t>SOLAR</t>
  </si>
  <si>
    <t>A Forbush decrease (FD) is a depression of cosmic ray (CR) intensity observed by ground-based neutron monitors (NMs). The CR intensity is thought to be modulated by the heliospheric magnetic structures including the interplanetary coronal mass ejection (ICME) surrounding the Earth. The different magnitude of the decreasing in intensity at each NM was explained only by the geomagnetic cutoff rigidity of the NM station. However, sometimes NMs of almost the same cutoff rigidity in northern and southern hemispheres observe the asymmetric intensity depression magnitudes of FD events. Thus, in this study we intend to see the effects on CR intensity modulation of FD event recorded at different NMs due to different ICME propagation directions as an additional parameter in the model explaining the CR modulation. Fortunately, since 2006 the coronagraphs of twin spacecraft of the STEREO mission allow us to infer the propagation direction of ICME associated with the FD event in 3-dimension with respect to the Earth. We suggest the hypothesis that the asymmetric CR modulations of FD events are determined by the propagation directions of the associated ICMEs.</t>
  </si>
  <si>
    <t>[Jung, Jongil; Yi, Yu] Chungnam Natl Univ, Astron Space Sci &amp; Geol, Daejeon 34134, South Korea; [Oh, Suyeon] Chonnam Natl Univ, Dept Earth Sci Educ, Gwangju 61186, South Korea; [Sohn, Jongdae] Korean Astron &amp; Space Sci Inst, Daejeon 34055, South Korea</t>
  </si>
  <si>
    <t>Chungnam National University; Chonnam National University; Korea Astronomy &amp; Space Science Institute (KASI)</t>
  </si>
  <si>
    <t>Oh, S (corresponding author), Chonnam Natl Univ, Dept Earth Sci Educ, Gwangju 61186, South Korea.</t>
  </si>
  <si>
    <t>suyeonoh@jnu.ac.kr</t>
  </si>
  <si>
    <t>Yi, Yu/JVM-9682-2024; Oh, Suyeon/JRX-4417-2023</t>
  </si>
  <si>
    <t>Oh, Suyeon/0000-0002-6786-620X</t>
  </si>
  <si>
    <t>Basic Science Research Program through the National Research Foundation of Korea (NRF) - Ministry of Education [2018R1D1A1B07046522]; National Research Foundation of Korea (NRF) - Korea government (MSIT) [2023R1A2C1004304]</t>
  </si>
  <si>
    <t>Basic Science Research Program through the National Research Foundation of Korea (NRF) - Ministry of Education(National Research Foundation of KoreaMinistry of Education (MOE), Republic of KoreaNational Research Council for Economics, Humanities &amp; Social Sciences, Republic of Korea); National Research Foundation of Korea (NRF) - Korea government (MSIT)(National Research Foundation of KoreaMinistry of Science, ICT &amp; Future Planning, Republic of KoreaMinistry of Science &amp; ICT (MSIT), Republic of Korea)</t>
  </si>
  <si>
    <t>This research was supported by the Basic Science Research Program through the National Research Foundation of Korea (NRF) funded by the Ministry of Education (2018R1D1A1B07046522) . This work was also supported by the National Research Foundation of Korea (NRF) grant funded by the Korea government (MSIT) (2023R1A2C1004304) . The authors are grateful to the STEREO/SECCHI team (Goddard Space Flight Center, Naval Research Laboratory) . The authors also thank the directors of the Thule, Forth Smith, Peawanuck, Nain, Inuvik, McMurdo (Bartol Research Institute; http:// www.bartol.udel.edu/gp/neutronm/) , Mawson (University of Tasmania and the Australian Antarctic Division) , Kerguelen and Terre Adelie (Observatoire de Paris and the French polar institute (IPEV) ) , and Sanae (Centre for Space Science, North-West University of South Africa) neutron monitors.</t>
  </si>
  <si>
    <t>KOREAN ASTRONOMICAL SOCIETY</t>
  </si>
  <si>
    <t>TAEJON</t>
  </si>
  <si>
    <t>61-1 HWA-AM DONG, YUSUNG KU, TAEJON, 305-348, SOUTH KOREA</t>
  </si>
  <si>
    <t>1225-4614</t>
  </si>
  <si>
    <t>J KOREAN ASTRON SOC</t>
  </si>
  <si>
    <t>J. Korean Astron. Soc.</t>
  </si>
  <si>
    <t>10.5303/JKAS.2023.56.1.117</t>
  </si>
  <si>
    <t>I1ME1</t>
  </si>
  <si>
    <t>WOS:001000483500001</t>
  </si>
  <si>
    <t>Orúe-Echevarría, D; Polzin, KL; Garabato, ANC; Forryan, A; Pelegrí, JL</t>
  </si>
  <si>
    <t>Orue-Echevarria, Dorleta; Polzin, Kurt L.; Garabato, Alberto Naveira C.; Forryan, Alexander; Pelegri, Josep L.</t>
  </si>
  <si>
    <t>Mixing and Overturning Across the Brazil-Malvinas Confluence</t>
  </si>
  <si>
    <t>mixing; microstructure; Brazil-Malvinas Confluence; eddy-induced flow; isopycnal stirring; diapycnal mixing</t>
  </si>
  <si>
    <t>ANTARCTIC CIRCUMPOLAR CURRENT; SUBTROPICAL MODE WATERS; GENERAL-CIRCULATION; POTENTIAL VORTICITY; GLOBAL PATTERNS; SOUTHERN-OCEAN; ARGO FLOAT; EDDIES; DIFFUSIVITY; TRANSPORT</t>
  </si>
  <si>
    <t>The rates of isopycnal stirring and water mass transport by mesoscale eddies, and of diapycnal mixing by small-scale turbulence, across the Brazil-Malvinas Confluence (BMC) are assessed from a set of microstructure and hydrographic measurements in the Argentine Basin. This assessment is founded on a theoretical framework that applies a triple decomposition to the temperature variance equation and assumes eddies to transfer potential vorticity downgradient. The BMC is found to host widespread intense isopycnal stirring at rates of O(10(3)-10(4) m(2) s(-1)), and generally weak diapycnal mixing at rates of O(10(-6)-10(-5) m(2) s(-1)). Despite such disparity, both diapycnal mixing and isopycnal stirring play roles of comparable importance in determining regional water mass properties within surface and mode waters. In deeper layers, isopycnal stirring prevails. Eddies are further diagnosed to effect an important cross-BMC transport, at rates of O(1 m(2) s(-1)). When scaled by the along-stream extent of the BMC, these rates integrate to volume transports that may be as large as O(10 Sverdrups). This suggests that cross-BMC transfers of waters are substantially effected by eddy-induced flows.</t>
  </si>
  <si>
    <t>[Orue-Echevarria, Dorleta; Pelegri, Josep L.] Inst Ciencies Mar, Consejo Super Invest Cient, Dept Oceanog Fis &amp; Tecnol, Unidad Asociada ULPGC, Barcelona, Spain; [Polzin, Kurt L.] Woods Hole Oceanog Inst, Dept Phys Oceanog, Woods Hole, MA USA; [Garabato, Alberto Naveira C.; Forryan, Alexander] Univ Southampton, Natl Oceanog Ctr, Ocean &amp; Earth Sci, Southampton, England</t>
  </si>
  <si>
    <t>Consejo Superior de Investigaciones Cientificas (CSIC); CSIC - Centro Mediterraneo de Investigaciones Marinas y Ambientales (CMIMA); CSIC - Instituto de Ciencias del Mar (ICM); Woods Hole Oceanographic Institution; NERC National Oceanography Centre; University of Southampton</t>
  </si>
  <si>
    <t>Orúe-Echevarría, D (corresponding author), Inst Ciencies Mar, Consejo Super Invest Cient, Dept Oceanog Fis &amp; Tecnol, Unidad Asociada ULPGC, Barcelona, Spain.;Garabato, ANC (corresponding author), Univ Southampton, Natl Oceanog Ctr, Ocean &amp; Earth Sci, Southampton, England.</t>
  </si>
  <si>
    <t>dorleta.orue@gmail.com; acng@noc.soton.ac.uk</t>
  </si>
  <si>
    <t>Pelegrí, Josep L/L-5815-2014</t>
  </si>
  <si>
    <t>Pelegrí, Josep L/0000-0003-0661-2190</t>
  </si>
  <si>
    <t>NSF [OCE-1208454]; Spanish Government [CTM2014-56987-P (VA-DE-RETRO), RTI2018-100844-B-C33, FPU2013-02884]; Spanish Government through the Severo Ochoa Centre of Excellence accreditation [CEX2019-000928-S]</t>
  </si>
  <si>
    <t>NSF(National Science Foundation (NSF)); Spanish Government(Spanish Government); Spanish Government through the Severo Ochoa Centre of Excellence accreditation</t>
  </si>
  <si>
    <t>We acknowledge support from NSF Grant #OCE-1208454 for collection and analysis of the data and the Spanish Government through grants CTM2014-56987-P (VA-DE-RETRO Project) and RTI2018-100844-B-C33 (SAGA project) and through the funding of PhD scholarship for D.O.E. (FPU2013-02884). We also recognize the institutional support of the Spanish Government through the Severo Ochoa Centre of Excellence accreditation (CEX2019-000928-S).</t>
  </si>
  <si>
    <t>e2022JC018730</t>
  </si>
  <si>
    <t>10.1029/2022JC018730</t>
  </si>
  <si>
    <t>I1DJ3</t>
  </si>
  <si>
    <t>WOS:001000245000001</t>
  </si>
  <si>
    <t>Azaneu, M; Webber, B; Heywood, KJ; Assmann, KM; Dotto, TS; Abrahamsen, EP</t>
  </si>
  <si>
    <t>Azaneu, Marina; Webber, Benjamin; Heywood, Karen J.; Assmann, Karen M.; Dotto, Tiago S.; Abrahamsen, E. Povl</t>
  </si>
  <si>
    <t>Influence of Shelf Break Processes on the Transport of Warm Waters Onto the Eastern Amundsen Sea Continental Shelf</t>
  </si>
  <si>
    <t>Antarctic oceanography; heat transport; interannual variability</t>
  </si>
  <si>
    <t>CIRCUMPOLAR DEEP-WATER; PINE ISLAND GLACIER; ICE-SHELF; OCEAN CIRCULATION; WEST ANTARCTICA; VARIABILITY; EMBAYMENT; FREQUENCY; MELTWATER; INCREASE</t>
  </si>
  <si>
    <t>The heat transported onto the continental shelf by Circumpolar Deep Water (CDW) is the main driver of ice shelf basal melting in the Amundsen Sea. Here, we investigate the slope current system and the variability of the heat transported through the Pine Island-Thwaites central and eastern troughs using data from five moorings deployed in the region between 5 March 2012 and 7 February 2016. Substantial variability on intermonthly time scales (3-4 months) is observed in the onshore heat flux, driven primarily by zonal wind stress north of the shelf break. Heat content, onshore flow, and heat flux are highly correlated between central and eastern troughs, which are most likely dynamically linked by the zonal wind stress forcing. This is the first time this dynamic link between troughs is observed. In the eastern the Amundsen Sea, during the El Nino of 2015/2016, strong eastward winds led to lower temperatures over the continental shelf while the onshore heat flux is intensified. We hypothesize that this anti-correlation between heat content and heat flux results from a strengthened eastward undercurrent leading to upwelling of a colder and deeper CDW variety. These results highlight the complex and heterogeneous response of this region to environmental and the importance of velocity data for understanding the dynamics in this region. It also suggests that the hypothesized link between large-scale atmospheric forcing (e.g., El Nino-Southern Oscillation) and ice-shelf melt is not produced via changes in heat content, but instead via changes in onshore heat flux.</t>
  </si>
  <si>
    <t>[Azaneu, Marina; Webber, Benjamin; Heywood, Karen J.; Dotto, Tiago S.] Univ East Anglia, Ctr Ocean &amp; Atmospher Sci, Sch Environm Sci, Norwich, Norfolk, England; [Heywood, Karen J.] Inst Marine Res, Tromso, Norway; [Heywood, Karen J.] Univ Gothenburg, Dept Marine Sci, Gothenburg, Sweden; [Dotto, Tiago S.] Natl Oceanog Ctr, Southampton, England; [Abrahamsen, E. Povl] NERC, British Antarctic Survey, Cambridge, England</t>
  </si>
  <si>
    <t>University of East Anglia; Institute of Marine Research - Norway; University of Gothenburg; NERC National Oceanography Centre; UK Research &amp; Innovation (UKRI); Natural Environment Research Council (NERC); NERC British Antarctic Survey</t>
  </si>
  <si>
    <t>Azaneu, M (corresponding author), Univ East Anglia, Ctr Ocean &amp; Atmospher Sci, Sch Environm Sci, Norwich, Norfolk, England.</t>
  </si>
  <si>
    <t>m.azaneu@uea.ac.uk</t>
  </si>
  <si>
    <t>Abrahamsen, Povl/B-2140-2008; Heywood, Karen/L-1757-2016</t>
  </si>
  <si>
    <t>Abrahamsen, Povl/0000-0001-5924-5350; do Valle Chagas Azaneu, Marina/0000-0002-7538-3056; Webber, Ben/0000-0002-8812-5929; Assmann, Karen/0000-0002-2884-0365; Segabinazzi Dotto, Tiago/0000-0003-0565-6941; Heywood, Karen/0000-0001-9859-0026</t>
  </si>
  <si>
    <t>CAPES-Brazil [0876-14-3]; U.K. Natural Environment Research Council [NE/J005703/1]</t>
  </si>
  <si>
    <t>CAPES-Brazil(Coordenacao de Aperfeicoamento de Pessoal de Nivel Superior (CAPES)); U.K. Natural Environment Research Council(UK Research &amp; Innovation (UKRI)Natural Environment Research Council (NERC))</t>
  </si>
  <si>
    <t>M.V.C.A. was supported by a CAPES-Brazil Ph.D. scholarship (0876-14-3). B.G.M.W. and K.J.H. were supported by funding from the U.K. Natural Environment Research Council's iSTAR Programme through NERC Grant NE/J005703/1. The author thank all involved with RRS James Clark Ross cruise JR294/295 for making these observations possible. The oceanographic data collected as part of the iSTAR program are available from the British Oceanographic Data Centre (https://www. bodc.ac.uk/data/bodc_database/nodb/data_collection/6552/).</t>
  </si>
  <si>
    <t>e2022JC019535</t>
  </si>
  <si>
    <t>10.1029/2022JC019535</t>
  </si>
  <si>
    <t>I1DK0</t>
  </si>
  <si>
    <t>WOS:001000245700001</t>
  </si>
  <si>
    <t>Wang, CP; Wang, XY; Lin, Y; Wing, S; Hairston, M</t>
  </si>
  <si>
    <t>Wang, Chih-Ping; Wang, Xueyi; Lin, Yu; Wing, Simon; Hairston, Marc</t>
  </si>
  <si>
    <t>Energy-Dispersive Field-Aligned Warm Ion Enhancement in the Plasma Sheet During a Substorm Growth Phase: A THEMIS Event</t>
  </si>
  <si>
    <t>ion outflow; energy dispersion; plasma sheet; enhanced convection; field-aligned currents; field-aligned potential</t>
  </si>
  <si>
    <t>PITCH-ANGLE DISTRIBUTIONS; INNER MAGNETOSPHERE; OUTFLOW; O+</t>
  </si>
  <si>
    <t>We present an event of field-aligned warm (10-1,000 eV) ion enhancement with an energy-dispersion signature with increasing energy that has never been reported before and propose that such dispersion was a result of outflow ions being gradually accelerated by intensifying upward field-aligned potential. The energy-dispersive enhancement with increasing energy from similar to 20 eV up to several hundreds of eV in similar to 10 min was observed in the plasma sheet around 01 hr magnetic local time by two spacecraft at r similar to 7 and 9 R-E, respectively, with the spacecraft at larger r observing the dispersion similar to 20 min earlier than the other. This event occurred during the growth phase of a small non-storm time substorm. Observations in the ionosphere and ground in the vicinity of the spacecraft's footprint indicate that the magnetospheric convection and field-aligned currents (FACs) were enhanced and there was an indication of upward field-aligned potential associated with FACs. We propose that enhanced Poynting flux associated with enhanced convection first drove similar to 20 eV outflow ions to the plasma sheet to cause the initial enhancement, then the increasing intensities of FACs and the associated upward field-aligned potential gradually increased the energy of the outflow ions to above 100 eV, thus resulting in the observed energy-dispersive enhancement with increasing energy. In addition, the earthward penetration of FACs may explain why the enhancements were observed at larger r earlier.</t>
  </si>
  <si>
    <t>[Wang, Chih-Ping] Univ Calif Los Angeles, Dept Atmospher &amp; Ocean Sci, Los Angeles, CA 90095 USA; [Wang, Xueyi; Lin, Yu] Auburn Univ, Phys Dept, Auburn, AL USA; [Wing, Simon] Johns Hopkins Univ, Appl Phys Lab, Laurel, MD USA; [Hairston, Marc] Univ Texas Dallas, William B Hanson Ctr Space Sci, Richardson, TX USA</t>
  </si>
  <si>
    <t>University of California System; University of California Los Angeles; Auburn University System; Auburn University; Johns Hopkins University; Johns Hopkins University Applied Physics Laboratory; University of Texas System; University of Texas Dallas</t>
  </si>
  <si>
    <t>Wang, CP (corresponding author), Univ Calif Los Angeles, Dept Atmospher &amp; Ocean Sci, Los Angeles, CA 90095 USA.</t>
  </si>
  <si>
    <t>cat@atmos.ucla.edu</t>
  </si>
  <si>
    <t>Wing, Simon/H-2232-2016; li, Shang/KHU-3233-2024; zhang, jingxing/KCY-4726-2024; xie, jing/KDO-9486-2024</t>
  </si>
  <si>
    <t>Wing, Simon/0000-0001-9342-1813; Wang, Xueyi/0000-0001-5533-5981; WANG, CHIH-PING/0000-0003-2393-6808</t>
  </si>
  <si>
    <t>NASA [80NSSC22K1012]; NSF-GEM [2224108]; SANAP (South African National Antarctic Program)</t>
  </si>
  <si>
    <t>NASA(National Aeronautics &amp; Space Administration (NASA)); NSF-GEM(National Science Foundation (NSF)NSF - Directorate for Engineering (ENG)); SANAP (South African National Antarctic Program)</t>
  </si>
  <si>
    <t>C.-P. Wang is supported by NASA 80NSSC22K1012 and NSF-GEM 2224108. Xueyi Wang and Yu Lin are supported by NASA 80NSSC22K1012 and NSF-GEM 2224109. Simon Wing is supported by NASA Grants 80NSSC20K0704 and 80NSSC22K0515. We thank Vassilis Angelopoulos for THEMIS data. We thank K.H. Glassmeier, U. Auster, and W. Baumjohann for THEMIS/FGM data, C.W. Carlson and J. P. McFadden for the THEMIS/ESA data. We thank J. H. King, N. Papatashvilli at AdnetSystems, NASA Goddard Space Flight Center and CDAWeb for providing the OMNI data. We acknowledge Word Data Center for Geomagnetism, Kyoto for providing the AE and SYM-H indices. We thank DARTS for providing Geotail/MFM data. The authors acknowledge the use of SuperDARN data. SuperDARN is a collection of radars funded by national scientific funding agencies of Australia, Canada, China, France, Italy, Japan, Norway, South Africa, United Kingdom and the United States of America. We thank Prof M. J. Kosch of SANSA for permission to use SuperDARN South Africa data which was supported from a grant from SANAP (South African National Antarctic Program). The authors acknowledge the use of the on-line ray tracing tool hosted by the Virginia Tech SuperDARN group at their website. We thank SuperMAG for providing data from two British Antarctic Survey (BAS) magnetometers and BAS PI Mervyn Freeman for advice. We thank DMSP SSUSI team and Yongliang Zhang for SSUSI aurora image.</t>
  </si>
  <si>
    <t>e2022JA031252</t>
  </si>
  <si>
    <t>10.1029/2022JA031252</t>
  </si>
  <si>
    <t>I1GO3</t>
  </si>
  <si>
    <t>WOS:001000331400001</t>
  </si>
  <si>
    <t>Jenkins, WJ; Doney, SC; Seltzer, AM; German, CR; Lott, DE; Cahill, KL</t>
  </si>
  <si>
    <t>Jenkins, William J.; Doney, Scott C.; Seltzer, Alan M.; German, Christopher R.; Lott III, Dempsey E. E.; Cahill, Kevin L.</t>
  </si>
  <si>
    <t>A North Pacific Meridional Section (US GEOTRACES GP15) of Helium Isotopes and Noble Gases I: Deep Water Distributions</t>
  </si>
  <si>
    <t>helium isotopes; noble gases; deep Pacific; hydrothermal; sedimentary helium; circulation</t>
  </si>
  <si>
    <t>ANTARCTIC ICE-SHEET; OCEAN; CIRCULATION; SEA; TRITIUM; FLUIDS; HE-3; MASS; ABYSSAL; CLIMATE</t>
  </si>
  <si>
    <t>The noble gas signature of incoming Pacific Bottom Water (PBW), when compared to North Atlantic Deep Water, indicates the addition of 450 +/- 70 GT a(-1) glacial melt water to form AABW and subsequently PBW. The downstream evolution of this signature between the southern (20 degrees S to equator) and northern (25 degrees-45 degrees N) bottom waters indicates a decrease in sea level pressure around Antarctica over the past two millennia. Vertical profiles of noble gases in the deep Pacific show exponential relationships with depth with scale heights identical to temperature and salinity. Unlike the other noble gases, helium isotopes show evidence of mid-depth injection of non-atmospheric helium. Using observed deviations from exponential behavior, we quantify its magnitude and isotope ratio. There is a clear latitude trend in the isotope ratio of this added helium that decreases from a high exceeding 9 R-A (atmospheric He-3/He-4 ratio) in the south to around 8 R-A near the equator. North of 30-40 degrees N, it systematically decreases northward to a low of similar to 2 R-A north of 50 degrees N. This decline results from a combination of northward decline in seafloor spreading, release of radiogenic helium from increased sediment thickness, and the possible emission of radiogenic helium through cold seeps along the Alaskan and North American margins. Finally, we derive an improved method of computing the excess helium isotope concentrations and that the distributions of bottom water He-3(XS)/He-4(XS) are consistent with what is known about bottom water flow patterns and the input of low He-3/He-4 sedimentary helium.</t>
  </si>
  <si>
    <t>[Jenkins, William J.; Seltzer, Alan M.; Lott III, Dempsey E. E.; Cahill, Kevin L.] Woods Hole Oceanog Inst, Dept Marine Chem &amp; Geochem, Woods Hole, MA 02543 USA; [Doney, Scott C.] Univ Virginia, Dept Environm Change, Charlottesville, VA USA; [German, Christopher R.] Woods Hole Oceanog Inst, Dept Geol &amp; Geophys, Woods Hole, MA USA</t>
  </si>
  <si>
    <t>Woods Hole Oceanographic Institution; University of Virginia; Woods Hole Oceanographic Institution</t>
  </si>
  <si>
    <t>Jenkins, WJ (corresponding author), Woods Hole Oceanog Inst, Dept Marine Chem &amp; Geochem, Woods Hole, MA 02543 USA.</t>
  </si>
  <si>
    <t>wjenkins@whoi.edu</t>
  </si>
  <si>
    <t>Doney, Scott/F-9247-2010</t>
  </si>
  <si>
    <t>Doney, Scott/0000-0002-3683-2437; German, Christopher/0000-0002-3417-6413; Seltzer, Alan/0000-0003-2870-1215; Jenkins, William J/0000-0001-9146-2064</t>
  </si>
  <si>
    <t>U.S. National Science Foundation [OCE-1756138, OCE-1536384]</t>
  </si>
  <si>
    <t>U.S. National Science Foundation(National Science Foundation (NSF))</t>
  </si>
  <si>
    <t>This research was funded by U.S. National Science Foundation Grants OCE-1756138 (GEOTRACES 2018 section) and OCE-1536384 (GOSHIP 2015 section). We are grateful to Zoe Sandwith for shipboard sampling, and as always to the ODF water catchers, the ships' marine crews, and the cruise chief scientists. We thank Arnold Gordon, Bob Anderson, and Mark Kurz for their helpful suggestions and probing questions. We also thank the reviewers of this paper for constructive and helpful criticisms that significantly improved the final product.</t>
  </si>
  <si>
    <t>e2022GB007667</t>
  </si>
  <si>
    <t>10.1029/2022GB007667</t>
  </si>
  <si>
    <t>I0XS8</t>
  </si>
  <si>
    <t>WOS:001000098400001</t>
  </si>
  <si>
    <t>Janin, A; Chamot-Rooke, N; Delescluse, M; Fournier, M; Olive, JA; Rabaute, A; Huchon, P; Dyment, J; Vigny, C; Rodriguez, M</t>
  </si>
  <si>
    <t>Janin, Alexandre; Chamot-Rooke, Nicolas; Delescluse, Matthias; Fournier, Marc; Olive, Jean-Arthur; Rabaute, Alain; Huchon, Philippe; Dyment, Jerome; Vigny, Christophe; Rodriguez, Mathieu</t>
  </si>
  <si>
    <t>Tectonic Evolution of a Sedimented Oceanic Transform Fault: The Owen Transform Fault, Indian Ocean</t>
  </si>
  <si>
    <t>TECTONICS</t>
  </si>
  <si>
    <t>oceanic transform faults; active tectonics; ridge-transform intersections; kinematics; median ridge; Indus fan; Indian Ocean</t>
  </si>
  <si>
    <t>PACIFIC-ANTARCTIC RIDGE; MID-ATLANTIC RIDGE; FRACTURE-ZONE; SEA-FLOOR; PLATE BOUNDARIES; SEISMIC STRATIGRAPHY; THERMAL-STRESSES; WESTERN HIMALAYA; INDUS FAN; RED-SEA</t>
  </si>
  <si>
    <t>The Owen transform fault (OTF) connecting the Sheba and the Carlsberg spreading ridges in the Indian Ocean currently forms the active plate boundary between India and Somalia plates. This 330-km-long transform fault is by far the longest transform fault along the India-Somalia plate boundary and its valley is buried under the thick distal turbidites of the Indus Fan with total thickness ranging from 1,000 to &gt;5,000 m. A new set of seismic reflection and multibeam bathymetric data reveals remarkable transpressive structures along its entire length recorded as folds in the sedimentary cover, eruption of mud ridges at the seafloor, thrusts in the young oceanic lithosphere. Based on a new regional time-calibration of the seismic reflectors, we show that sediments in the transform valley (post 8.6 Ma) recorded a period of tectonic quiescence until the onset of a transpressive event around 1.5-2.4 Ma that we relate to a minor change in India-Somalia kinematics not captured by magnetic anomalies. This tectonic regime is still active based on compressive earthquakes and deformation of the most recent sediments. Transpression resulted in the formation of a proto-median ridge and the coeval propagation of the tip of the Carlsberg Ridge into the Somalian plate. These features are typically encountered at many other transform faults but rarely captured in their very early stage.</t>
  </si>
  <si>
    <t>[Janin, Alexandre; Chamot-Rooke, Nicolas; Delescluse, Matthias; Olive, Jean-Arthur; Vigny, Christophe; Rodriguez, Mathieu] PSL Univ, Ecole Normale Super, Lab Geol, CNRS UMR 8538, Paris, France; [Huchon, Philippe] Sorbonne Univ, Inst Sci Terre Paris, CNRS INSU, Paris, France; [Dyment, Jerome] Univ Paris Cite, Inst Phys Globe Paris, CNRS, Paris, France</t>
  </si>
  <si>
    <t>Centre National de la Recherche Scientifique (CNRS); CNRS - National Institute for Earth Sciences &amp; Astronomy (INSU); Universite PSL; Ecole Normale Superieure (ENS); Centre National de la Recherche Scientifique (CNRS); CNRS - National Institute for Earth Sciences &amp; Astronomy (INSU); Sorbonne Universite; Universite Paris Cite; Centre National de la Recherche Scientifique (CNRS)</t>
  </si>
  <si>
    <t>Janin, A (corresponding author), PSL Univ, Ecole Normale Super, Lab Geol, CNRS UMR 8538, Paris, France.</t>
  </si>
  <si>
    <t>alexandre.janin@protonmail.com</t>
  </si>
  <si>
    <t>Olive, Jean-Arthur/ABE-1290-2021; Chamot-Rooke, Nicolas/A-6939-2008; Delescluse, Matthias/F-4678-2010; Fournier, Marc/A-6928-2008</t>
  </si>
  <si>
    <t>Olive, Jean-Arthur/0000-0001-6899-592X; Chamot-Rooke, Nicolas/0000-0001-9924-749X; Delescluse, Matthias/0000-0002-8374-7358; RABAUTE, ALAIN/0000-0003-1369-0218; Janin, Alexandre/0000-0003-0276-0209; Rodriguez, Mathieu/0000-0002-9461-7188; Fournier, Marc/0000-0002-9256-0034</t>
  </si>
  <si>
    <t>0278-7407</t>
  </si>
  <si>
    <t>1944-9194</t>
  </si>
  <si>
    <t>Tectonics</t>
  </si>
  <si>
    <t>10.1029/2023TC007747</t>
  </si>
  <si>
    <t>I1EQ7</t>
  </si>
  <si>
    <t>WOS:001000279400001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</si>
</sst>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74</v>
      </c>
      <c r="W2" t="s">
        <v>81</v>
      </c>
      <c r="X2" t="s">
        <v>82</v>
      </c>
      <c r="Y2" t="s">
        <v>83</v>
      </c>
      <c r="Z2" t="s">
        <v>84</v>
      </c>
      <c r="AA2" t="s">
        <v>85</v>
      </c>
      <c r="AB2" t="s">
        <v>86</v>
      </c>
      <c r="AC2" t="s">
        <v>87</v>
      </c>
      <c r="AD2" t="s">
        <v>88</v>
      </c>
      <c r="AE2" t="s">
        <v>89</v>
      </c>
      <c r="AF2" t="s">
        <v>74</v>
      </c>
      <c r="AG2">
        <v>233</v>
      </c>
      <c r="AH2">
        <v>1</v>
      </c>
      <c r="AI2">
        <v>1</v>
      </c>
      <c r="AJ2">
        <v>3</v>
      </c>
      <c r="AK2">
        <v>3</v>
      </c>
      <c r="AL2" t="s">
        <v>90</v>
      </c>
      <c r="AM2" t="s">
        <v>91</v>
      </c>
      <c r="AN2" t="s">
        <v>92</v>
      </c>
      <c r="AO2" t="s">
        <v>93</v>
      </c>
      <c r="AP2" t="s">
        <v>94</v>
      </c>
      <c r="AQ2" t="s">
        <v>74</v>
      </c>
      <c r="AR2" t="s">
        <v>95</v>
      </c>
      <c r="AS2" t="s">
        <v>96</v>
      </c>
      <c r="AT2" t="s">
        <v>97</v>
      </c>
      <c r="AU2">
        <v>2023</v>
      </c>
      <c r="AV2">
        <v>104</v>
      </c>
      <c r="AW2">
        <v>9</v>
      </c>
      <c r="AX2" t="s">
        <v>74</v>
      </c>
      <c r="AY2" t="s">
        <v>98</v>
      </c>
      <c r="AZ2" t="s">
        <v>99</v>
      </c>
      <c r="BA2" t="s">
        <v>74</v>
      </c>
      <c r="BB2" t="s">
        <v>100</v>
      </c>
      <c r="BC2" t="s">
        <v>101</v>
      </c>
      <c r="BD2" t="s">
        <v>74</v>
      </c>
      <c r="BE2" t="s">
        <v>102</v>
      </c>
      <c r="BF2" t="str">
        <f>HYPERLINK("http://dx.doi.org/10.1175/BAMS-D-23-0076.2","http://dx.doi.org/10.1175/BAMS-D-23-0076.2")</f>
        <v>http://dx.doi.org/10.1175/BAMS-D-23-0076.2</v>
      </c>
      <c r="BG2" t="s">
        <v>74</v>
      </c>
      <c r="BH2" t="s">
        <v>74</v>
      </c>
      <c r="BI2">
        <v>61</v>
      </c>
      <c r="BJ2" t="s">
        <v>103</v>
      </c>
      <c r="BK2" t="s">
        <v>104</v>
      </c>
      <c r="BL2" t="s">
        <v>103</v>
      </c>
      <c r="BM2" t="s">
        <v>105</v>
      </c>
      <c r="BN2" t="s">
        <v>74</v>
      </c>
      <c r="BO2" t="s">
        <v>106</v>
      </c>
      <c r="BP2" t="s">
        <v>74</v>
      </c>
      <c r="BQ2" t="s">
        <v>74</v>
      </c>
      <c r="BR2" t="s">
        <v>107</v>
      </c>
      <c r="BS2" t="s">
        <v>108</v>
      </c>
      <c r="BT2" t="str">
        <f>HYPERLINK("https%3A%2F%2Fwww.webofscience.com%2Fwos%2Fwoscc%2Ffull-record%2FWOS:001150608200003","View Full Record in Web of Science")</f>
        <v>View Full Record in Web of Science</v>
      </c>
    </row>
    <row r="3" spans="1:72" x14ac:dyDescent="0.15">
      <c r="A3" t="s">
        <v>72</v>
      </c>
      <c r="B3" t="s">
        <v>109</v>
      </c>
      <c r="C3" t="s">
        <v>74</v>
      </c>
      <c r="D3" t="s">
        <v>74</v>
      </c>
      <c r="E3" t="s">
        <v>74</v>
      </c>
      <c r="F3" t="s">
        <v>110</v>
      </c>
      <c r="G3" t="s">
        <v>74</v>
      </c>
      <c r="H3" t="s">
        <v>74</v>
      </c>
      <c r="I3" t="s">
        <v>111</v>
      </c>
      <c r="J3" t="s">
        <v>112</v>
      </c>
      <c r="K3" t="s">
        <v>74</v>
      </c>
      <c r="L3" t="s">
        <v>74</v>
      </c>
      <c r="M3" t="s">
        <v>78</v>
      </c>
      <c r="N3" t="s">
        <v>79</v>
      </c>
      <c r="O3" t="s">
        <v>74</v>
      </c>
      <c r="P3" t="s">
        <v>74</v>
      </c>
      <c r="Q3" t="s">
        <v>74</v>
      </c>
      <c r="R3" t="s">
        <v>74</v>
      </c>
      <c r="S3" t="s">
        <v>74</v>
      </c>
      <c r="T3" t="s">
        <v>74</v>
      </c>
      <c r="U3" t="s">
        <v>113</v>
      </c>
      <c r="V3" t="s">
        <v>114</v>
      </c>
      <c r="W3" t="s">
        <v>115</v>
      </c>
      <c r="X3" t="s">
        <v>116</v>
      </c>
      <c r="Y3" t="s">
        <v>117</v>
      </c>
      <c r="Z3" t="s">
        <v>118</v>
      </c>
      <c r="AA3" t="s">
        <v>74</v>
      </c>
      <c r="AB3" t="s">
        <v>74</v>
      </c>
      <c r="AC3" t="s">
        <v>119</v>
      </c>
      <c r="AD3" t="s">
        <v>120</v>
      </c>
      <c r="AE3" t="s">
        <v>121</v>
      </c>
      <c r="AF3" t="s">
        <v>74</v>
      </c>
      <c r="AG3">
        <v>37</v>
      </c>
      <c r="AH3">
        <v>0</v>
      </c>
      <c r="AI3">
        <v>0</v>
      </c>
      <c r="AJ3">
        <v>1</v>
      </c>
      <c r="AK3">
        <v>1</v>
      </c>
      <c r="AL3" t="s">
        <v>122</v>
      </c>
      <c r="AM3" t="s">
        <v>123</v>
      </c>
      <c r="AN3" t="s">
        <v>124</v>
      </c>
      <c r="AO3" t="s">
        <v>125</v>
      </c>
      <c r="AP3" t="s">
        <v>126</v>
      </c>
      <c r="AQ3" t="s">
        <v>74</v>
      </c>
      <c r="AR3" t="s">
        <v>127</v>
      </c>
      <c r="AS3" t="s">
        <v>128</v>
      </c>
      <c r="AT3" t="s">
        <v>129</v>
      </c>
      <c r="AU3">
        <v>2023</v>
      </c>
      <c r="AV3">
        <v>44</v>
      </c>
      <c r="AW3">
        <v>5</v>
      </c>
      <c r="AX3" t="s">
        <v>74</v>
      </c>
      <c r="AY3" t="s">
        <v>74</v>
      </c>
      <c r="AZ3" t="s">
        <v>74</v>
      </c>
      <c r="BA3" t="s">
        <v>74</v>
      </c>
      <c r="BB3">
        <v>311</v>
      </c>
      <c r="BC3">
        <v>317</v>
      </c>
      <c r="BD3" t="s">
        <v>74</v>
      </c>
      <c r="BE3" t="s">
        <v>130</v>
      </c>
      <c r="BF3" t="str">
        <f>HYPERLINK("http://dx.doi.org/10.46770/AS.2023.270","http://dx.doi.org/10.46770/AS.2023.270")</f>
        <v>http://dx.doi.org/10.46770/AS.2023.270</v>
      </c>
      <c r="BG3" t="s">
        <v>74</v>
      </c>
      <c r="BH3" t="s">
        <v>74</v>
      </c>
      <c r="BI3">
        <v>7</v>
      </c>
      <c r="BJ3" t="s">
        <v>131</v>
      </c>
      <c r="BK3" t="s">
        <v>104</v>
      </c>
      <c r="BL3" t="s">
        <v>131</v>
      </c>
      <c r="BM3" t="s">
        <v>132</v>
      </c>
      <c r="BN3" t="s">
        <v>74</v>
      </c>
      <c r="BO3" t="s">
        <v>133</v>
      </c>
      <c r="BP3" t="s">
        <v>74</v>
      </c>
      <c r="BQ3" t="s">
        <v>74</v>
      </c>
      <c r="BR3" t="s">
        <v>107</v>
      </c>
      <c r="BS3" t="s">
        <v>134</v>
      </c>
      <c r="BT3" t="str">
        <f>HYPERLINK("https%3A%2F%2Fwww.webofscience.com%2Fwos%2Fwoscc%2Ffull-record%2FWOS:001171481000003","View Full Record in Web of Science")</f>
        <v>View Full Record in Web of Science</v>
      </c>
    </row>
    <row r="4" spans="1:72" x14ac:dyDescent="0.15">
      <c r="A4" t="s">
        <v>72</v>
      </c>
      <c r="B4" t="s">
        <v>135</v>
      </c>
      <c r="C4" t="s">
        <v>74</v>
      </c>
      <c r="D4" t="s">
        <v>74</v>
      </c>
      <c r="E4" t="s">
        <v>74</v>
      </c>
      <c r="F4" t="s">
        <v>136</v>
      </c>
      <c r="G4" t="s">
        <v>74</v>
      </c>
      <c r="H4" t="s">
        <v>74</v>
      </c>
      <c r="I4" t="s">
        <v>137</v>
      </c>
      <c r="J4" t="s">
        <v>138</v>
      </c>
      <c r="K4" t="s">
        <v>74</v>
      </c>
      <c r="L4" t="s">
        <v>74</v>
      </c>
      <c r="M4" t="s">
        <v>78</v>
      </c>
      <c r="N4" t="s">
        <v>79</v>
      </c>
      <c r="O4" t="s">
        <v>74</v>
      </c>
      <c r="P4" t="s">
        <v>74</v>
      </c>
      <c r="Q4" t="s">
        <v>74</v>
      </c>
      <c r="R4" t="s">
        <v>74</v>
      </c>
      <c r="S4" t="s">
        <v>74</v>
      </c>
      <c r="T4" t="s">
        <v>74</v>
      </c>
      <c r="U4" t="s">
        <v>139</v>
      </c>
      <c r="V4" t="s">
        <v>140</v>
      </c>
      <c r="W4" t="s">
        <v>141</v>
      </c>
      <c r="X4" t="s">
        <v>142</v>
      </c>
      <c r="Y4" t="s">
        <v>143</v>
      </c>
      <c r="Z4" t="s">
        <v>144</v>
      </c>
      <c r="AA4" t="s">
        <v>74</v>
      </c>
      <c r="AB4" t="s">
        <v>145</v>
      </c>
      <c r="AC4" t="s">
        <v>74</v>
      </c>
      <c r="AD4" t="s">
        <v>74</v>
      </c>
      <c r="AE4" t="s">
        <v>74</v>
      </c>
      <c r="AF4" t="s">
        <v>74</v>
      </c>
      <c r="AG4">
        <v>55</v>
      </c>
      <c r="AH4">
        <v>1</v>
      </c>
      <c r="AI4">
        <v>1</v>
      </c>
      <c r="AJ4">
        <v>2</v>
      </c>
      <c r="AK4">
        <v>2</v>
      </c>
      <c r="AL4" t="s">
        <v>146</v>
      </c>
      <c r="AM4" t="s">
        <v>147</v>
      </c>
      <c r="AN4" t="s">
        <v>148</v>
      </c>
      <c r="AO4" t="s">
        <v>149</v>
      </c>
      <c r="AP4" t="s">
        <v>150</v>
      </c>
      <c r="AQ4" t="s">
        <v>74</v>
      </c>
      <c r="AR4" t="s">
        <v>151</v>
      </c>
      <c r="AS4" t="s">
        <v>152</v>
      </c>
      <c r="AT4" t="s">
        <v>97</v>
      </c>
      <c r="AU4">
        <v>2023</v>
      </c>
      <c r="AV4">
        <v>16</v>
      </c>
      <c r="AW4">
        <v>9</v>
      </c>
      <c r="AX4" t="s">
        <v>74</v>
      </c>
      <c r="AY4" t="s">
        <v>74</v>
      </c>
      <c r="AZ4" t="s">
        <v>74</v>
      </c>
      <c r="BA4" t="s">
        <v>74</v>
      </c>
      <c r="BB4">
        <v>797</v>
      </c>
      <c r="BC4" t="s">
        <v>153</v>
      </c>
      <c r="BD4" t="s">
        <v>74</v>
      </c>
      <c r="BE4" t="s">
        <v>154</v>
      </c>
      <c r="BF4" t="str">
        <f>HYPERLINK("http://dx.doi.org/10.1038/s41561-023-01250-y","http://dx.doi.org/10.1038/s41561-023-01250-y")</f>
        <v>http://dx.doi.org/10.1038/s41561-023-01250-y</v>
      </c>
      <c r="BG4" t="s">
        <v>74</v>
      </c>
      <c r="BH4" t="s">
        <v>74</v>
      </c>
      <c r="BI4">
        <v>13</v>
      </c>
      <c r="BJ4" t="s">
        <v>155</v>
      </c>
      <c r="BK4" t="s">
        <v>104</v>
      </c>
      <c r="BL4" t="s">
        <v>156</v>
      </c>
      <c r="BM4" t="s">
        <v>157</v>
      </c>
      <c r="BN4" t="s">
        <v>74</v>
      </c>
      <c r="BO4" t="s">
        <v>74</v>
      </c>
      <c r="BP4" t="s">
        <v>74</v>
      </c>
      <c r="BQ4" t="s">
        <v>74</v>
      </c>
      <c r="BR4" t="s">
        <v>107</v>
      </c>
      <c r="BS4" t="s">
        <v>158</v>
      </c>
      <c r="BT4" t="str">
        <f>HYPERLINK("https%3A%2F%2Fwww.webofscience.com%2Fwos%2Fwoscc%2Ffull-record%2FWOS:001169380400005","View Full Record in Web of Science")</f>
        <v>View Full Record in Web of Science</v>
      </c>
    </row>
    <row r="5" spans="1:72" x14ac:dyDescent="0.15">
      <c r="A5" t="s">
        <v>72</v>
      </c>
      <c r="B5" t="s">
        <v>159</v>
      </c>
      <c r="C5" t="s">
        <v>74</v>
      </c>
      <c r="D5" t="s">
        <v>74</v>
      </c>
      <c r="E5" t="s">
        <v>74</v>
      </c>
      <c r="F5" t="s">
        <v>160</v>
      </c>
      <c r="G5" t="s">
        <v>74</v>
      </c>
      <c r="H5" t="s">
        <v>74</v>
      </c>
      <c r="I5" t="s">
        <v>161</v>
      </c>
      <c r="J5" t="s">
        <v>162</v>
      </c>
      <c r="K5" t="s">
        <v>74</v>
      </c>
      <c r="L5" t="s">
        <v>74</v>
      </c>
      <c r="M5" t="s">
        <v>78</v>
      </c>
      <c r="N5" t="s">
        <v>79</v>
      </c>
      <c r="O5" t="s">
        <v>74</v>
      </c>
      <c r="P5" t="s">
        <v>74</v>
      </c>
      <c r="Q5" t="s">
        <v>74</v>
      </c>
      <c r="R5" t="s">
        <v>74</v>
      </c>
      <c r="S5" t="s">
        <v>74</v>
      </c>
      <c r="T5" t="s">
        <v>74</v>
      </c>
      <c r="U5" t="s">
        <v>163</v>
      </c>
      <c r="V5" t="s">
        <v>164</v>
      </c>
      <c r="W5" t="s">
        <v>165</v>
      </c>
      <c r="X5" t="s">
        <v>166</v>
      </c>
      <c r="Y5" t="s">
        <v>167</v>
      </c>
      <c r="Z5" t="s">
        <v>168</v>
      </c>
      <c r="AA5" t="s">
        <v>74</v>
      </c>
      <c r="AB5" t="s">
        <v>74</v>
      </c>
      <c r="AC5" t="s">
        <v>169</v>
      </c>
      <c r="AD5" t="s">
        <v>170</v>
      </c>
      <c r="AE5" t="s">
        <v>171</v>
      </c>
      <c r="AF5" t="s">
        <v>74</v>
      </c>
      <c r="AG5">
        <v>55</v>
      </c>
      <c r="AH5">
        <v>1</v>
      </c>
      <c r="AI5">
        <v>1</v>
      </c>
      <c r="AJ5">
        <v>0</v>
      </c>
      <c r="AK5">
        <v>3</v>
      </c>
      <c r="AL5" t="s">
        <v>172</v>
      </c>
      <c r="AM5" t="s">
        <v>173</v>
      </c>
      <c r="AN5" t="s">
        <v>174</v>
      </c>
      <c r="AO5" t="s">
        <v>74</v>
      </c>
      <c r="AP5" t="s">
        <v>175</v>
      </c>
      <c r="AQ5" t="s">
        <v>74</v>
      </c>
      <c r="AR5" t="s">
        <v>176</v>
      </c>
      <c r="AS5" t="s">
        <v>177</v>
      </c>
      <c r="AT5" t="s">
        <v>97</v>
      </c>
      <c r="AU5">
        <v>2023</v>
      </c>
      <c r="AV5">
        <v>299</v>
      </c>
      <c r="AW5">
        <v>9</v>
      </c>
      <c r="AX5" t="s">
        <v>74</v>
      </c>
      <c r="AY5" t="s">
        <v>74</v>
      </c>
      <c r="AZ5" t="s">
        <v>74</v>
      </c>
      <c r="BA5" t="s">
        <v>74</v>
      </c>
      <c r="BB5" t="s">
        <v>74</v>
      </c>
      <c r="BC5" t="s">
        <v>74</v>
      </c>
      <c r="BD5">
        <v>105116</v>
      </c>
      <c r="BE5" t="s">
        <v>178</v>
      </c>
      <c r="BF5" t="str">
        <f>HYPERLINK("http://dx.doi.org/10.1016/j.jbc.2023.105116","http://dx.doi.org/10.1016/j.jbc.2023.105116")</f>
        <v>http://dx.doi.org/10.1016/j.jbc.2023.105116</v>
      </c>
      <c r="BG5" t="s">
        <v>74</v>
      </c>
      <c r="BH5" t="s">
        <v>74</v>
      </c>
      <c r="BI5">
        <v>13</v>
      </c>
      <c r="BJ5" t="s">
        <v>179</v>
      </c>
      <c r="BK5" t="s">
        <v>104</v>
      </c>
      <c r="BL5" t="s">
        <v>179</v>
      </c>
      <c r="BM5" t="s">
        <v>180</v>
      </c>
      <c r="BN5">
        <v>37524130</v>
      </c>
      <c r="BO5" t="s">
        <v>181</v>
      </c>
      <c r="BP5" t="s">
        <v>74</v>
      </c>
      <c r="BQ5" t="s">
        <v>74</v>
      </c>
      <c r="BR5" t="s">
        <v>107</v>
      </c>
      <c r="BS5" t="s">
        <v>182</v>
      </c>
      <c r="BT5" t="str">
        <f>HYPERLINK("https%3A%2F%2Fwww.webofscience.com%2Fwos%2Fwoscc%2Ffull-record%2FWOS:001162038200001","View Full Record in Web of Science")</f>
        <v>View Full Record in Web of Science</v>
      </c>
    </row>
    <row r="6" spans="1:72" x14ac:dyDescent="0.15">
      <c r="A6" t="s">
        <v>72</v>
      </c>
      <c r="B6" t="s">
        <v>183</v>
      </c>
      <c r="C6" t="s">
        <v>74</v>
      </c>
      <c r="D6" t="s">
        <v>74</v>
      </c>
      <c r="E6" t="s">
        <v>74</v>
      </c>
      <c r="F6" t="s">
        <v>184</v>
      </c>
      <c r="G6" t="s">
        <v>74</v>
      </c>
      <c r="H6" t="s">
        <v>74</v>
      </c>
      <c r="I6" t="s">
        <v>185</v>
      </c>
      <c r="J6" t="s">
        <v>186</v>
      </c>
      <c r="K6" t="s">
        <v>74</v>
      </c>
      <c r="L6" t="s">
        <v>74</v>
      </c>
      <c r="M6" t="s">
        <v>78</v>
      </c>
      <c r="N6" t="s">
        <v>79</v>
      </c>
      <c r="O6" t="s">
        <v>74</v>
      </c>
      <c r="P6" t="s">
        <v>74</v>
      </c>
      <c r="Q6" t="s">
        <v>74</v>
      </c>
      <c r="R6" t="s">
        <v>74</v>
      </c>
      <c r="S6" t="s">
        <v>74</v>
      </c>
      <c r="T6" t="s">
        <v>187</v>
      </c>
      <c r="U6" t="s">
        <v>188</v>
      </c>
      <c r="V6" t="s">
        <v>189</v>
      </c>
      <c r="W6" t="s">
        <v>190</v>
      </c>
      <c r="X6" t="s">
        <v>191</v>
      </c>
      <c r="Y6" t="s">
        <v>192</v>
      </c>
      <c r="Z6" t="s">
        <v>193</v>
      </c>
      <c r="AA6" t="s">
        <v>194</v>
      </c>
      <c r="AB6" t="s">
        <v>195</v>
      </c>
      <c r="AC6" t="s">
        <v>74</v>
      </c>
      <c r="AD6" t="s">
        <v>74</v>
      </c>
      <c r="AE6" t="s">
        <v>74</v>
      </c>
      <c r="AF6" t="s">
        <v>74</v>
      </c>
      <c r="AG6">
        <v>42</v>
      </c>
      <c r="AH6">
        <v>0</v>
      </c>
      <c r="AI6">
        <v>0</v>
      </c>
      <c r="AJ6">
        <v>3</v>
      </c>
      <c r="AK6">
        <v>3</v>
      </c>
      <c r="AL6" t="s">
        <v>196</v>
      </c>
      <c r="AM6" t="s">
        <v>197</v>
      </c>
      <c r="AN6" t="s">
        <v>198</v>
      </c>
      <c r="AO6" t="s">
        <v>199</v>
      </c>
      <c r="AP6" t="s">
        <v>200</v>
      </c>
      <c r="AQ6" t="s">
        <v>74</v>
      </c>
      <c r="AR6" t="s">
        <v>186</v>
      </c>
      <c r="AS6" t="s">
        <v>201</v>
      </c>
      <c r="AT6" t="s">
        <v>97</v>
      </c>
      <c r="AU6">
        <v>2023</v>
      </c>
      <c r="AV6">
        <v>76</v>
      </c>
      <c r="AW6">
        <v>3</v>
      </c>
      <c r="AX6" t="s">
        <v>74</v>
      </c>
      <c r="AY6" t="s">
        <v>74</v>
      </c>
      <c r="AZ6" t="s">
        <v>74</v>
      </c>
      <c r="BA6" t="s">
        <v>74</v>
      </c>
      <c r="BB6">
        <v>357</v>
      </c>
      <c r="BC6">
        <v>369</v>
      </c>
      <c r="BD6" t="s">
        <v>74</v>
      </c>
      <c r="BE6" t="s">
        <v>202</v>
      </c>
      <c r="BF6" t="str">
        <f>HYPERLINK("http://dx.doi.org/10.14430/arctic78405","http://dx.doi.org/10.14430/arctic78405")</f>
        <v>http://dx.doi.org/10.14430/arctic78405</v>
      </c>
      <c r="BG6" t="s">
        <v>74</v>
      </c>
      <c r="BH6" t="s">
        <v>74</v>
      </c>
      <c r="BI6">
        <v>13</v>
      </c>
      <c r="BJ6" t="s">
        <v>203</v>
      </c>
      <c r="BK6" t="s">
        <v>104</v>
      </c>
      <c r="BL6" t="s">
        <v>204</v>
      </c>
      <c r="BM6" t="s">
        <v>205</v>
      </c>
      <c r="BN6" t="s">
        <v>74</v>
      </c>
      <c r="BO6" t="s">
        <v>206</v>
      </c>
      <c r="BP6" t="s">
        <v>74</v>
      </c>
      <c r="BQ6" t="s">
        <v>74</v>
      </c>
      <c r="BR6" t="s">
        <v>107</v>
      </c>
      <c r="BS6" t="s">
        <v>207</v>
      </c>
      <c r="BT6" t="str">
        <f>HYPERLINK("https%3A%2F%2Fwww.webofscience.com%2Fwos%2Fwoscc%2Ffull-record%2FWOS:001158430400006","View Full Record in Web of Science")</f>
        <v>View Full Record in Web of Science</v>
      </c>
    </row>
    <row r="7" spans="1:72" x14ac:dyDescent="0.15">
      <c r="A7" t="s">
        <v>72</v>
      </c>
      <c r="B7" t="s">
        <v>208</v>
      </c>
      <c r="C7" t="s">
        <v>74</v>
      </c>
      <c r="D7" t="s">
        <v>74</v>
      </c>
      <c r="E7" t="s">
        <v>74</v>
      </c>
      <c r="F7" t="s">
        <v>209</v>
      </c>
      <c r="G7" t="s">
        <v>74</v>
      </c>
      <c r="H7" t="s">
        <v>74</v>
      </c>
      <c r="I7" t="s">
        <v>210</v>
      </c>
      <c r="J7" t="s">
        <v>211</v>
      </c>
      <c r="K7" t="s">
        <v>74</v>
      </c>
      <c r="L7" t="s">
        <v>74</v>
      </c>
      <c r="M7" t="s">
        <v>78</v>
      </c>
      <c r="N7" t="s">
        <v>79</v>
      </c>
      <c r="O7" t="s">
        <v>74</v>
      </c>
      <c r="P7" t="s">
        <v>74</v>
      </c>
      <c r="Q7" t="s">
        <v>74</v>
      </c>
      <c r="R7" t="s">
        <v>74</v>
      </c>
      <c r="S7" t="s">
        <v>74</v>
      </c>
      <c r="T7" t="s">
        <v>212</v>
      </c>
      <c r="U7" t="s">
        <v>213</v>
      </c>
      <c r="V7" t="s">
        <v>214</v>
      </c>
      <c r="W7" t="s">
        <v>215</v>
      </c>
      <c r="X7" t="s">
        <v>216</v>
      </c>
      <c r="Y7" t="s">
        <v>217</v>
      </c>
      <c r="Z7" t="s">
        <v>218</v>
      </c>
      <c r="AA7" t="s">
        <v>74</v>
      </c>
      <c r="AB7" t="s">
        <v>74</v>
      </c>
      <c r="AC7" t="s">
        <v>219</v>
      </c>
      <c r="AD7" t="s">
        <v>220</v>
      </c>
      <c r="AE7" t="s">
        <v>221</v>
      </c>
      <c r="AF7" t="s">
        <v>74</v>
      </c>
      <c r="AG7">
        <v>90</v>
      </c>
      <c r="AH7">
        <v>1</v>
      </c>
      <c r="AI7">
        <v>1</v>
      </c>
      <c r="AJ7">
        <v>3</v>
      </c>
      <c r="AK7">
        <v>3</v>
      </c>
      <c r="AL7" t="s">
        <v>90</v>
      </c>
      <c r="AM7" t="s">
        <v>91</v>
      </c>
      <c r="AN7" t="s">
        <v>92</v>
      </c>
      <c r="AO7" t="s">
        <v>222</v>
      </c>
      <c r="AP7" t="s">
        <v>223</v>
      </c>
      <c r="AQ7" t="s">
        <v>74</v>
      </c>
      <c r="AR7" t="s">
        <v>224</v>
      </c>
      <c r="AS7" t="s">
        <v>225</v>
      </c>
      <c r="AT7" t="s">
        <v>97</v>
      </c>
      <c r="AU7">
        <v>2023</v>
      </c>
      <c r="AV7">
        <v>36</v>
      </c>
      <c r="AW7">
        <v>17</v>
      </c>
      <c r="AX7" t="s">
        <v>74</v>
      </c>
      <c r="AY7" t="s">
        <v>74</v>
      </c>
      <c r="AZ7" t="s">
        <v>74</v>
      </c>
      <c r="BA7" t="s">
        <v>74</v>
      </c>
      <c r="BB7">
        <v>6091</v>
      </c>
      <c r="BC7">
        <v>6109</v>
      </c>
      <c r="BD7" t="s">
        <v>74</v>
      </c>
      <c r="BE7" t="s">
        <v>226</v>
      </c>
      <c r="BF7" t="str">
        <f>HYPERLINK("http://dx.doi.org/10.1175/JCLI-D-22-0602.1","http://dx.doi.org/10.1175/JCLI-D-22-0602.1")</f>
        <v>http://dx.doi.org/10.1175/JCLI-D-22-0602.1</v>
      </c>
      <c r="BG7" t="s">
        <v>74</v>
      </c>
      <c r="BH7" t="s">
        <v>74</v>
      </c>
      <c r="BI7">
        <v>19</v>
      </c>
      <c r="BJ7" t="s">
        <v>103</v>
      </c>
      <c r="BK7" t="s">
        <v>104</v>
      </c>
      <c r="BL7" t="s">
        <v>103</v>
      </c>
      <c r="BM7" t="s">
        <v>227</v>
      </c>
      <c r="BN7" t="s">
        <v>74</v>
      </c>
      <c r="BO7" t="s">
        <v>133</v>
      </c>
      <c r="BP7" t="s">
        <v>74</v>
      </c>
      <c r="BQ7" t="s">
        <v>74</v>
      </c>
      <c r="BR7" t="s">
        <v>107</v>
      </c>
      <c r="BS7" t="s">
        <v>228</v>
      </c>
      <c r="BT7" t="str">
        <f>HYPERLINK("https%3A%2F%2Fwww.webofscience.com%2Fwos%2Fwoscc%2Ffull-record%2FWOS:001150564400004","View Full Record in Web of Science")</f>
        <v>View Full Record in Web of Science</v>
      </c>
    </row>
    <row r="8" spans="1:72" x14ac:dyDescent="0.15">
      <c r="A8" t="s">
        <v>72</v>
      </c>
      <c r="B8" t="s">
        <v>229</v>
      </c>
      <c r="C8" t="s">
        <v>74</v>
      </c>
      <c r="D8" t="s">
        <v>74</v>
      </c>
      <c r="E8" t="s">
        <v>74</v>
      </c>
      <c r="F8" t="s">
        <v>230</v>
      </c>
      <c r="G8" t="s">
        <v>74</v>
      </c>
      <c r="H8" t="s">
        <v>74</v>
      </c>
      <c r="I8" t="s">
        <v>231</v>
      </c>
      <c r="J8" t="s">
        <v>232</v>
      </c>
      <c r="K8" t="s">
        <v>74</v>
      </c>
      <c r="L8" t="s">
        <v>74</v>
      </c>
      <c r="M8" t="s">
        <v>78</v>
      </c>
      <c r="N8" t="s">
        <v>79</v>
      </c>
      <c r="O8" t="s">
        <v>74</v>
      </c>
      <c r="P8" t="s">
        <v>74</v>
      </c>
      <c r="Q8" t="s">
        <v>74</v>
      </c>
      <c r="R8" t="s">
        <v>74</v>
      </c>
      <c r="S8" t="s">
        <v>74</v>
      </c>
      <c r="T8" t="s">
        <v>233</v>
      </c>
      <c r="U8" t="s">
        <v>234</v>
      </c>
      <c r="V8" t="s">
        <v>235</v>
      </c>
      <c r="W8" t="s">
        <v>236</v>
      </c>
      <c r="X8" t="s">
        <v>237</v>
      </c>
      <c r="Y8" t="s">
        <v>238</v>
      </c>
      <c r="Z8" t="s">
        <v>239</v>
      </c>
      <c r="AA8" t="s">
        <v>240</v>
      </c>
      <c r="AB8" t="s">
        <v>241</v>
      </c>
      <c r="AC8" t="s">
        <v>74</v>
      </c>
      <c r="AD8" t="s">
        <v>74</v>
      </c>
      <c r="AE8" t="s">
        <v>74</v>
      </c>
      <c r="AF8" t="s">
        <v>74</v>
      </c>
      <c r="AG8">
        <v>40</v>
      </c>
      <c r="AH8">
        <v>0</v>
      </c>
      <c r="AI8">
        <v>0</v>
      </c>
      <c r="AJ8">
        <v>0</v>
      </c>
      <c r="AK8">
        <v>0</v>
      </c>
      <c r="AL8" t="s">
        <v>172</v>
      </c>
      <c r="AM8" t="s">
        <v>173</v>
      </c>
      <c r="AN8" t="s">
        <v>174</v>
      </c>
      <c r="AO8" t="s">
        <v>242</v>
      </c>
      <c r="AP8" t="s">
        <v>243</v>
      </c>
      <c r="AQ8" t="s">
        <v>74</v>
      </c>
      <c r="AR8" t="s">
        <v>244</v>
      </c>
      <c r="AS8" t="s">
        <v>245</v>
      </c>
      <c r="AT8" t="s">
        <v>97</v>
      </c>
      <c r="AU8">
        <v>2023</v>
      </c>
      <c r="AV8">
        <v>37</v>
      </c>
      <c r="AW8" t="s">
        <v>74</v>
      </c>
      <c r="AX8" t="s">
        <v>74</v>
      </c>
      <c r="AY8" t="s">
        <v>74</v>
      </c>
      <c r="AZ8" t="s">
        <v>74</v>
      </c>
      <c r="BA8" t="s">
        <v>74</v>
      </c>
      <c r="BB8" t="s">
        <v>74</v>
      </c>
      <c r="BC8" t="s">
        <v>74</v>
      </c>
      <c r="BD8">
        <v>100967</v>
      </c>
      <c r="BE8" t="s">
        <v>246</v>
      </c>
      <c r="BF8" t="str">
        <f>HYPERLINK("http://dx.doi.org/10.1016/j.polar.2023.100967","http://dx.doi.org/10.1016/j.polar.2023.100967")</f>
        <v>http://dx.doi.org/10.1016/j.polar.2023.100967</v>
      </c>
      <c r="BG8" t="s">
        <v>74</v>
      </c>
      <c r="BH8" t="s">
        <v>74</v>
      </c>
      <c r="BI8">
        <v>8</v>
      </c>
      <c r="BJ8" t="s">
        <v>247</v>
      </c>
      <c r="BK8" t="s">
        <v>104</v>
      </c>
      <c r="BL8" t="s">
        <v>248</v>
      </c>
      <c r="BM8" t="s">
        <v>249</v>
      </c>
      <c r="BN8" t="s">
        <v>74</v>
      </c>
      <c r="BO8" t="s">
        <v>74</v>
      </c>
      <c r="BP8" t="s">
        <v>74</v>
      </c>
      <c r="BQ8" t="s">
        <v>74</v>
      </c>
      <c r="BR8" t="s">
        <v>107</v>
      </c>
      <c r="BS8" t="s">
        <v>250</v>
      </c>
      <c r="BT8" t="str">
        <f>HYPERLINK("https%3A%2F%2Fwww.webofscience.com%2Fwos%2Fwoscc%2Ffull-record%2FWOS:001150049000001","View Full Record in Web of Science")</f>
        <v>View Full Record in Web of Science</v>
      </c>
    </row>
    <row r="9" spans="1:72" x14ac:dyDescent="0.15">
      <c r="A9" t="s">
        <v>72</v>
      </c>
      <c r="B9" t="s">
        <v>251</v>
      </c>
      <c r="C9" t="s">
        <v>74</v>
      </c>
      <c r="D9" t="s">
        <v>74</v>
      </c>
      <c r="E9" t="s">
        <v>74</v>
      </c>
      <c r="F9" t="s">
        <v>252</v>
      </c>
      <c r="G9" t="s">
        <v>74</v>
      </c>
      <c r="H9" t="s">
        <v>74</v>
      </c>
      <c r="I9" t="s">
        <v>253</v>
      </c>
      <c r="J9" t="s">
        <v>232</v>
      </c>
      <c r="K9" t="s">
        <v>74</v>
      </c>
      <c r="L9" t="s">
        <v>74</v>
      </c>
      <c r="M9" t="s">
        <v>78</v>
      </c>
      <c r="N9" t="s">
        <v>79</v>
      </c>
      <c r="O9" t="s">
        <v>74</v>
      </c>
      <c r="P9" t="s">
        <v>74</v>
      </c>
      <c r="Q9" t="s">
        <v>74</v>
      </c>
      <c r="R9" t="s">
        <v>74</v>
      </c>
      <c r="S9" t="s">
        <v>74</v>
      </c>
      <c r="T9" t="s">
        <v>254</v>
      </c>
      <c r="U9" t="s">
        <v>255</v>
      </c>
      <c r="V9" t="s">
        <v>256</v>
      </c>
      <c r="W9" t="s">
        <v>257</v>
      </c>
      <c r="X9" t="s">
        <v>258</v>
      </c>
      <c r="Y9" t="s">
        <v>259</v>
      </c>
      <c r="Z9" t="s">
        <v>260</v>
      </c>
      <c r="AA9" t="s">
        <v>74</v>
      </c>
      <c r="AB9" t="s">
        <v>74</v>
      </c>
      <c r="AC9" t="s">
        <v>261</v>
      </c>
      <c r="AD9" t="s">
        <v>262</v>
      </c>
      <c r="AE9" t="s">
        <v>263</v>
      </c>
      <c r="AF9" t="s">
        <v>74</v>
      </c>
      <c r="AG9">
        <v>82</v>
      </c>
      <c r="AH9">
        <v>2</v>
      </c>
      <c r="AI9">
        <v>2</v>
      </c>
      <c r="AJ9">
        <v>0</v>
      </c>
      <c r="AK9">
        <v>0</v>
      </c>
      <c r="AL9" t="s">
        <v>172</v>
      </c>
      <c r="AM9" t="s">
        <v>173</v>
      </c>
      <c r="AN9" t="s">
        <v>174</v>
      </c>
      <c r="AO9" t="s">
        <v>242</v>
      </c>
      <c r="AP9" t="s">
        <v>243</v>
      </c>
      <c r="AQ9" t="s">
        <v>74</v>
      </c>
      <c r="AR9" t="s">
        <v>244</v>
      </c>
      <c r="AS9" t="s">
        <v>245</v>
      </c>
      <c r="AT9" t="s">
        <v>97</v>
      </c>
      <c r="AU9">
        <v>2023</v>
      </c>
      <c r="AV9">
        <v>37</v>
      </c>
      <c r="AW9" t="s">
        <v>74</v>
      </c>
      <c r="AX9" t="s">
        <v>74</v>
      </c>
      <c r="AY9" t="s">
        <v>74</v>
      </c>
      <c r="AZ9" t="s">
        <v>74</v>
      </c>
      <c r="BA9" t="s">
        <v>74</v>
      </c>
      <c r="BB9" t="s">
        <v>74</v>
      </c>
      <c r="BC9" t="s">
        <v>74</v>
      </c>
      <c r="BD9">
        <v>100966</v>
      </c>
      <c r="BE9" t="s">
        <v>264</v>
      </c>
      <c r="BF9" t="str">
        <f>HYPERLINK("http://dx.doi.org/10.1016/j.polar.2023.100966","http://dx.doi.org/10.1016/j.polar.2023.100966")</f>
        <v>http://dx.doi.org/10.1016/j.polar.2023.100966</v>
      </c>
      <c r="BG9" t="s">
        <v>74</v>
      </c>
      <c r="BH9" t="s">
        <v>74</v>
      </c>
      <c r="BI9">
        <v>15</v>
      </c>
      <c r="BJ9" t="s">
        <v>247</v>
      </c>
      <c r="BK9" t="s">
        <v>104</v>
      </c>
      <c r="BL9" t="s">
        <v>248</v>
      </c>
      <c r="BM9" t="s">
        <v>265</v>
      </c>
      <c r="BN9" t="s">
        <v>74</v>
      </c>
      <c r="BO9" t="s">
        <v>74</v>
      </c>
      <c r="BP9" t="s">
        <v>74</v>
      </c>
      <c r="BQ9" t="s">
        <v>74</v>
      </c>
      <c r="BR9" t="s">
        <v>107</v>
      </c>
      <c r="BS9" t="s">
        <v>266</v>
      </c>
      <c r="BT9" t="str">
        <f>HYPERLINK("https%3A%2F%2Fwww.webofscience.com%2Fwos%2Fwoscc%2Ffull-record%2FWOS:001150082500001","View Full Record in Web of Science")</f>
        <v>View Full Record in Web of Science</v>
      </c>
    </row>
    <row r="10" spans="1:72" x14ac:dyDescent="0.15">
      <c r="A10" t="s">
        <v>72</v>
      </c>
      <c r="B10" t="s">
        <v>267</v>
      </c>
      <c r="C10" t="s">
        <v>74</v>
      </c>
      <c r="D10" t="s">
        <v>74</v>
      </c>
      <c r="E10" t="s">
        <v>74</v>
      </c>
      <c r="F10" t="s">
        <v>268</v>
      </c>
      <c r="G10" t="s">
        <v>74</v>
      </c>
      <c r="H10" t="s">
        <v>74</v>
      </c>
      <c r="I10" t="s">
        <v>269</v>
      </c>
      <c r="J10" t="s">
        <v>232</v>
      </c>
      <c r="K10" t="s">
        <v>74</v>
      </c>
      <c r="L10" t="s">
        <v>74</v>
      </c>
      <c r="M10" t="s">
        <v>78</v>
      </c>
      <c r="N10" t="s">
        <v>79</v>
      </c>
      <c r="O10" t="s">
        <v>74</v>
      </c>
      <c r="P10" t="s">
        <v>74</v>
      </c>
      <c r="Q10" t="s">
        <v>74</v>
      </c>
      <c r="R10" t="s">
        <v>74</v>
      </c>
      <c r="S10" t="s">
        <v>74</v>
      </c>
      <c r="T10" t="s">
        <v>270</v>
      </c>
      <c r="U10" t="s">
        <v>271</v>
      </c>
      <c r="V10" t="s">
        <v>272</v>
      </c>
      <c r="W10" t="s">
        <v>273</v>
      </c>
      <c r="X10" t="s">
        <v>274</v>
      </c>
      <c r="Y10" t="s">
        <v>275</v>
      </c>
      <c r="Z10" t="s">
        <v>276</v>
      </c>
      <c r="AA10" t="s">
        <v>277</v>
      </c>
      <c r="AB10" t="s">
        <v>278</v>
      </c>
      <c r="AC10" t="s">
        <v>279</v>
      </c>
      <c r="AD10" t="s">
        <v>280</v>
      </c>
      <c r="AE10" t="s">
        <v>281</v>
      </c>
      <c r="AF10" t="s">
        <v>74</v>
      </c>
      <c r="AG10">
        <v>57</v>
      </c>
      <c r="AH10">
        <v>0</v>
      </c>
      <c r="AI10">
        <v>0</v>
      </c>
      <c r="AJ10">
        <v>1</v>
      </c>
      <c r="AK10">
        <v>1</v>
      </c>
      <c r="AL10" t="s">
        <v>172</v>
      </c>
      <c r="AM10" t="s">
        <v>173</v>
      </c>
      <c r="AN10" t="s">
        <v>174</v>
      </c>
      <c r="AO10" t="s">
        <v>242</v>
      </c>
      <c r="AP10" t="s">
        <v>243</v>
      </c>
      <c r="AQ10" t="s">
        <v>74</v>
      </c>
      <c r="AR10" t="s">
        <v>244</v>
      </c>
      <c r="AS10" t="s">
        <v>245</v>
      </c>
      <c r="AT10" t="s">
        <v>97</v>
      </c>
      <c r="AU10">
        <v>2023</v>
      </c>
      <c r="AV10">
        <v>37</v>
      </c>
      <c r="AW10" t="s">
        <v>74</v>
      </c>
      <c r="AX10" t="s">
        <v>74</v>
      </c>
      <c r="AY10" t="s">
        <v>74</v>
      </c>
      <c r="AZ10" t="s">
        <v>74</v>
      </c>
      <c r="BA10" t="s">
        <v>74</v>
      </c>
      <c r="BB10" t="s">
        <v>74</v>
      </c>
      <c r="BC10" t="s">
        <v>74</v>
      </c>
      <c r="BD10">
        <v>100948</v>
      </c>
      <c r="BE10" t="s">
        <v>282</v>
      </c>
      <c r="BF10" t="str">
        <f>HYPERLINK("http://dx.doi.org/10.1016/j.polar.2023.100948","http://dx.doi.org/10.1016/j.polar.2023.100948")</f>
        <v>http://dx.doi.org/10.1016/j.polar.2023.100948</v>
      </c>
      <c r="BG10" t="s">
        <v>74</v>
      </c>
      <c r="BH10" t="s">
        <v>74</v>
      </c>
      <c r="BI10">
        <v>8</v>
      </c>
      <c r="BJ10" t="s">
        <v>247</v>
      </c>
      <c r="BK10" t="s">
        <v>104</v>
      </c>
      <c r="BL10" t="s">
        <v>248</v>
      </c>
      <c r="BM10" t="s">
        <v>283</v>
      </c>
      <c r="BN10" t="s">
        <v>74</v>
      </c>
      <c r="BO10" t="s">
        <v>74</v>
      </c>
      <c r="BP10" t="s">
        <v>74</v>
      </c>
      <c r="BQ10" t="s">
        <v>74</v>
      </c>
      <c r="BR10" t="s">
        <v>107</v>
      </c>
      <c r="BS10" t="s">
        <v>284</v>
      </c>
      <c r="BT10" t="str">
        <f>HYPERLINK("https%3A%2F%2Fwww.webofscience.com%2Fwos%2Fwoscc%2Ffull-record%2FWOS:001150101000001","View Full Record in Web of Science")</f>
        <v>View Full Record in Web of Science</v>
      </c>
    </row>
    <row r="11" spans="1:72" x14ac:dyDescent="0.15">
      <c r="A11" t="s">
        <v>72</v>
      </c>
      <c r="B11" t="s">
        <v>285</v>
      </c>
      <c r="C11" t="s">
        <v>74</v>
      </c>
      <c r="D11" t="s">
        <v>74</v>
      </c>
      <c r="E11" t="s">
        <v>74</v>
      </c>
      <c r="F11" t="s">
        <v>286</v>
      </c>
      <c r="G11" t="s">
        <v>74</v>
      </c>
      <c r="H11" t="s">
        <v>74</v>
      </c>
      <c r="I11" t="s">
        <v>287</v>
      </c>
      <c r="J11" t="s">
        <v>288</v>
      </c>
      <c r="K11" t="s">
        <v>74</v>
      </c>
      <c r="L11" t="s">
        <v>74</v>
      </c>
      <c r="M11" t="s">
        <v>78</v>
      </c>
      <c r="N11" t="s">
        <v>79</v>
      </c>
      <c r="O11" t="s">
        <v>74</v>
      </c>
      <c r="P11" t="s">
        <v>74</v>
      </c>
      <c r="Q11" t="s">
        <v>74</v>
      </c>
      <c r="R11" t="s">
        <v>74</v>
      </c>
      <c r="S11" t="s">
        <v>74</v>
      </c>
      <c r="T11" t="s">
        <v>289</v>
      </c>
      <c r="U11" t="s">
        <v>290</v>
      </c>
      <c r="V11" t="s">
        <v>291</v>
      </c>
      <c r="W11" t="s">
        <v>292</v>
      </c>
      <c r="X11" t="s">
        <v>293</v>
      </c>
      <c r="Y11" t="s">
        <v>294</v>
      </c>
      <c r="Z11" t="s">
        <v>295</v>
      </c>
      <c r="AA11" t="s">
        <v>74</v>
      </c>
      <c r="AB11" t="s">
        <v>74</v>
      </c>
      <c r="AC11" t="s">
        <v>296</v>
      </c>
      <c r="AD11" t="s">
        <v>296</v>
      </c>
      <c r="AE11" t="s">
        <v>297</v>
      </c>
      <c r="AF11" t="s">
        <v>74</v>
      </c>
      <c r="AG11">
        <v>71</v>
      </c>
      <c r="AH11">
        <v>0</v>
      </c>
      <c r="AI11">
        <v>0</v>
      </c>
      <c r="AJ11">
        <v>0</v>
      </c>
      <c r="AK11">
        <v>0</v>
      </c>
      <c r="AL11" t="s">
        <v>298</v>
      </c>
      <c r="AM11" t="s">
        <v>299</v>
      </c>
      <c r="AN11" t="s">
        <v>300</v>
      </c>
      <c r="AO11" t="s">
        <v>301</v>
      </c>
      <c r="AP11" t="s">
        <v>302</v>
      </c>
      <c r="AQ11" t="s">
        <v>74</v>
      </c>
      <c r="AR11" t="s">
        <v>303</v>
      </c>
      <c r="AS11" t="s">
        <v>304</v>
      </c>
      <c r="AT11" t="s">
        <v>97</v>
      </c>
      <c r="AU11">
        <v>2023</v>
      </c>
      <c r="AV11">
        <v>42</v>
      </c>
      <c r="AW11">
        <v>9</v>
      </c>
      <c r="AX11" t="s">
        <v>74</v>
      </c>
      <c r="AY11" t="s">
        <v>74</v>
      </c>
      <c r="AZ11" t="s">
        <v>74</v>
      </c>
      <c r="BA11" t="s">
        <v>74</v>
      </c>
      <c r="BB11">
        <v>90</v>
      </c>
      <c r="BC11">
        <v>100</v>
      </c>
      <c r="BD11" t="s">
        <v>74</v>
      </c>
      <c r="BE11" t="s">
        <v>305</v>
      </c>
      <c r="BF11" t="str">
        <f>HYPERLINK("http://dx.doi.org/10.1007/s13131-023-2160-3","http://dx.doi.org/10.1007/s13131-023-2160-3")</f>
        <v>http://dx.doi.org/10.1007/s13131-023-2160-3</v>
      </c>
      <c r="BG11" t="s">
        <v>74</v>
      </c>
      <c r="BH11" t="s">
        <v>74</v>
      </c>
      <c r="BI11">
        <v>11</v>
      </c>
      <c r="BJ11" t="s">
        <v>306</v>
      </c>
      <c r="BK11" t="s">
        <v>104</v>
      </c>
      <c r="BL11" t="s">
        <v>306</v>
      </c>
      <c r="BM11" t="s">
        <v>307</v>
      </c>
      <c r="BN11" t="s">
        <v>74</v>
      </c>
      <c r="BO11" t="s">
        <v>74</v>
      </c>
      <c r="BP11" t="s">
        <v>74</v>
      </c>
      <c r="BQ11" t="s">
        <v>74</v>
      </c>
      <c r="BR11" t="s">
        <v>107</v>
      </c>
      <c r="BS11" t="s">
        <v>308</v>
      </c>
      <c r="BT11" t="str">
        <f>HYPERLINK("https%3A%2F%2Fwww.webofscience.com%2Fwos%2Fwoscc%2Ffull-record%2FWOS:001132289300001","View Full Record in Web of Science")</f>
        <v>View Full Record in Web of Science</v>
      </c>
    </row>
    <row r="12" spans="1:72" x14ac:dyDescent="0.15">
      <c r="A12" t="s">
        <v>72</v>
      </c>
      <c r="B12" t="s">
        <v>309</v>
      </c>
      <c r="C12" t="s">
        <v>74</v>
      </c>
      <c r="D12" t="s">
        <v>74</v>
      </c>
      <c r="E12" t="s">
        <v>74</v>
      </c>
      <c r="F12" t="s">
        <v>310</v>
      </c>
      <c r="G12" t="s">
        <v>74</v>
      </c>
      <c r="H12" t="s">
        <v>74</v>
      </c>
      <c r="I12" t="s">
        <v>311</v>
      </c>
      <c r="J12" t="s">
        <v>312</v>
      </c>
      <c r="K12" t="s">
        <v>74</v>
      </c>
      <c r="L12" t="s">
        <v>74</v>
      </c>
      <c r="M12" t="s">
        <v>78</v>
      </c>
      <c r="N12" t="s">
        <v>79</v>
      </c>
      <c r="O12" t="s">
        <v>74</v>
      </c>
      <c r="P12" t="s">
        <v>74</v>
      </c>
      <c r="Q12" t="s">
        <v>74</v>
      </c>
      <c r="R12" t="s">
        <v>74</v>
      </c>
      <c r="S12" t="s">
        <v>74</v>
      </c>
      <c r="T12" t="s">
        <v>74</v>
      </c>
      <c r="U12" t="s">
        <v>74</v>
      </c>
      <c r="V12" t="s">
        <v>313</v>
      </c>
      <c r="W12" t="s">
        <v>314</v>
      </c>
      <c r="X12" t="s">
        <v>315</v>
      </c>
      <c r="Y12" t="s">
        <v>316</v>
      </c>
      <c r="Z12" t="s">
        <v>74</v>
      </c>
      <c r="AA12" t="s">
        <v>74</v>
      </c>
      <c r="AB12" t="s">
        <v>74</v>
      </c>
      <c r="AC12" t="s">
        <v>74</v>
      </c>
      <c r="AD12" t="s">
        <v>74</v>
      </c>
      <c r="AE12" t="s">
        <v>74</v>
      </c>
      <c r="AF12" t="s">
        <v>74</v>
      </c>
      <c r="AG12">
        <v>12</v>
      </c>
      <c r="AH12">
        <v>0</v>
      </c>
      <c r="AI12">
        <v>0</v>
      </c>
      <c r="AJ12">
        <v>0</v>
      </c>
      <c r="AK12">
        <v>0</v>
      </c>
      <c r="AL12" t="s">
        <v>317</v>
      </c>
      <c r="AM12" t="s">
        <v>318</v>
      </c>
      <c r="AN12" t="s">
        <v>319</v>
      </c>
      <c r="AO12" t="s">
        <v>320</v>
      </c>
      <c r="AP12" t="s">
        <v>74</v>
      </c>
      <c r="AQ12" t="s">
        <v>74</v>
      </c>
      <c r="AR12" t="s">
        <v>321</v>
      </c>
      <c r="AS12" t="s">
        <v>322</v>
      </c>
      <c r="AT12" t="s">
        <v>97</v>
      </c>
      <c r="AU12">
        <v>2023</v>
      </c>
      <c r="AV12">
        <v>33</v>
      </c>
      <c r="AW12">
        <v>3</v>
      </c>
      <c r="AX12" t="s">
        <v>74</v>
      </c>
      <c r="AY12" t="s">
        <v>74</v>
      </c>
      <c r="AZ12" t="s">
        <v>74</v>
      </c>
      <c r="BA12" t="s">
        <v>74</v>
      </c>
      <c r="BB12">
        <v>266</v>
      </c>
      <c r="BC12">
        <v>272</v>
      </c>
      <c r="BD12" t="s">
        <v>74</v>
      </c>
      <c r="BE12" t="s">
        <v>323</v>
      </c>
      <c r="BF12" t="str">
        <f>HYPERLINK("http://dx.doi.org/10.17736/ijope.2023.jc895","http://dx.doi.org/10.17736/ijope.2023.jc895")</f>
        <v>http://dx.doi.org/10.17736/ijope.2023.jc895</v>
      </c>
      <c r="BG12" t="s">
        <v>74</v>
      </c>
      <c r="BH12" t="s">
        <v>74</v>
      </c>
      <c r="BI12">
        <v>7</v>
      </c>
      <c r="BJ12" t="s">
        <v>324</v>
      </c>
      <c r="BK12" t="s">
        <v>104</v>
      </c>
      <c r="BL12" t="s">
        <v>325</v>
      </c>
      <c r="BM12" t="s">
        <v>326</v>
      </c>
      <c r="BN12" t="s">
        <v>74</v>
      </c>
      <c r="BO12" t="s">
        <v>74</v>
      </c>
      <c r="BP12" t="s">
        <v>74</v>
      </c>
      <c r="BQ12" t="s">
        <v>74</v>
      </c>
      <c r="BR12" t="s">
        <v>107</v>
      </c>
      <c r="BS12" t="s">
        <v>327</v>
      </c>
      <c r="BT12" t="str">
        <f>HYPERLINK("https%3A%2F%2Fwww.webofscience.com%2Fwos%2Fwoscc%2Ffull-record%2FWOS:001129891200001","View Full Record in Web of Science")</f>
        <v>View Full Record in Web of Science</v>
      </c>
    </row>
    <row r="13" spans="1:72" x14ac:dyDescent="0.15">
      <c r="A13" t="s">
        <v>72</v>
      </c>
      <c r="B13" t="s">
        <v>328</v>
      </c>
      <c r="C13" t="s">
        <v>74</v>
      </c>
      <c r="D13" t="s">
        <v>74</v>
      </c>
      <c r="E13" t="s">
        <v>74</v>
      </c>
      <c r="F13" t="s">
        <v>329</v>
      </c>
      <c r="G13" t="s">
        <v>74</v>
      </c>
      <c r="H13" t="s">
        <v>74</v>
      </c>
      <c r="I13" t="s">
        <v>330</v>
      </c>
      <c r="J13" t="s">
        <v>312</v>
      </c>
      <c r="K13" t="s">
        <v>74</v>
      </c>
      <c r="L13" t="s">
        <v>74</v>
      </c>
      <c r="M13" t="s">
        <v>78</v>
      </c>
      <c r="N13" t="s">
        <v>79</v>
      </c>
      <c r="O13" t="s">
        <v>74</v>
      </c>
      <c r="P13" t="s">
        <v>74</v>
      </c>
      <c r="Q13" t="s">
        <v>74</v>
      </c>
      <c r="R13" t="s">
        <v>74</v>
      </c>
      <c r="S13" t="s">
        <v>74</v>
      </c>
      <c r="T13" t="s">
        <v>331</v>
      </c>
      <c r="U13" t="s">
        <v>74</v>
      </c>
      <c r="V13" t="s">
        <v>332</v>
      </c>
      <c r="W13" t="s">
        <v>333</v>
      </c>
      <c r="X13" t="s">
        <v>315</v>
      </c>
      <c r="Y13" t="s">
        <v>334</v>
      </c>
      <c r="Z13" t="s">
        <v>74</v>
      </c>
      <c r="AA13" t="s">
        <v>335</v>
      </c>
      <c r="AB13" t="s">
        <v>336</v>
      </c>
      <c r="AC13" t="s">
        <v>74</v>
      </c>
      <c r="AD13" t="s">
        <v>74</v>
      </c>
      <c r="AE13" t="s">
        <v>74</v>
      </c>
      <c r="AF13" t="s">
        <v>74</v>
      </c>
      <c r="AG13">
        <v>11</v>
      </c>
      <c r="AH13">
        <v>0</v>
      </c>
      <c r="AI13">
        <v>0</v>
      </c>
      <c r="AJ13">
        <v>0</v>
      </c>
      <c r="AK13">
        <v>0</v>
      </c>
      <c r="AL13" t="s">
        <v>317</v>
      </c>
      <c r="AM13" t="s">
        <v>318</v>
      </c>
      <c r="AN13" t="s">
        <v>319</v>
      </c>
      <c r="AO13" t="s">
        <v>320</v>
      </c>
      <c r="AP13" t="s">
        <v>74</v>
      </c>
      <c r="AQ13" t="s">
        <v>74</v>
      </c>
      <c r="AR13" t="s">
        <v>321</v>
      </c>
      <c r="AS13" t="s">
        <v>322</v>
      </c>
      <c r="AT13" t="s">
        <v>97</v>
      </c>
      <c r="AU13">
        <v>2023</v>
      </c>
      <c r="AV13">
        <v>33</v>
      </c>
      <c r="AW13">
        <v>3</v>
      </c>
      <c r="AX13" t="s">
        <v>74</v>
      </c>
      <c r="AY13" t="s">
        <v>74</v>
      </c>
      <c r="AZ13" t="s">
        <v>74</v>
      </c>
      <c r="BA13" t="s">
        <v>74</v>
      </c>
      <c r="BB13">
        <v>249</v>
      </c>
      <c r="BC13">
        <v>257</v>
      </c>
      <c r="BD13" t="s">
        <v>74</v>
      </c>
      <c r="BE13" t="s">
        <v>337</v>
      </c>
      <c r="BF13" t="str">
        <f>HYPERLINK("http://dx.doi.org/10.17736/ijope.2023.jc894","http://dx.doi.org/10.17736/ijope.2023.jc894")</f>
        <v>http://dx.doi.org/10.17736/ijope.2023.jc894</v>
      </c>
      <c r="BG13" t="s">
        <v>74</v>
      </c>
      <c r="BH13" t="s">
        <v>74</v>
      </c>
      <c r="BI13">
        <v>9</v>
      </c>
      <c r="BJ13" t="s">
        <v>324</v>
      </c>
      <c r="BK13" t="s">
        <v>104</v>
      </c>
      <c r="BL13" t="s">
        <v>325</v>
      </c>
      <c r="BM13" t="s">
        <v>338</v>
      </c>
      <c r="BN13" t="s">
        <v>74</v>
      </c>
      <c r="BO13" t="s">
        <v>74</v>
      </c>
      <c r="BP13" t="s">
        <v>74</v>
      </c>
      <c r="BQ13" t="s">
        <v>74</v>
      </c>
      <c r="BR13" t="s">
        <v>107</v>
      </c>
      <c r="BS13" t="s">
        <v>339</v>
      </c>
      <c r="BT13" t="str">
        <f>HYPERLINK("https%3A%2F%2Fwww.webofscience.com%2Fwos%2Fwoscc%2Ffull-record%2FWOS:001129889400001","View Full Record in Web of Science")</f>
        <v>View Full Record in Web of Science</v>
      </c>
    </row>
    <row r="14" spans="1:72" x14ac:dyDescent="0.15">
      <c r="A14" t="s">
        <v>72</v>
      </c>
      <c r="B14" t="s">
        <v>340</v>
      </c>
      <c r="C14" t="s">
        <v>74</v>
      </c>
      <c r="D14" t="s">
        <v>74</v>
      </c>
      <c r="E14" t="s">
        <v>74</v>
      </c>
      <c r="F14" t="s">
        <v>341</v>
      </c>
      <c r="G14" t="s">
        <v>74</v>
      </c>
      <c r="H14" t="s">
        <v>74</v>
      </c>
      <c r="I14" t="s">
        <v>342</v>
      </c>
      <c r="J14" t="s">
        <v>312</v>
      </c>
      <c r="K14" t="s">
        <v>74</v>
      </c>
      <c r="L14" t="s">
        <v>74</v>
      </c>
      <c r="M14" t="s">
        <v>78</v>
      </c>
      <c r="N14" t="s">
        <v>79</v>
      </c>
      <c r="O14" t="s">
        <v>74</v>
      </c>
      <c r="P14" t="s">
        <v>74</v>
      </c>
      <c r="Q14" t="s">
        <v>74</v>
      </c>
      <c r="R14" t="s">
        <v>74</v>
      </c>
      <c r="S14" t="s">
        <v>74</v>
      </c>
      <c r="T14" t="s">
        <v>343</v>
      </c>
      <c r="U14" t="s">
        <v>344</v>
      </c>
      <c r="V14" t="s">
        <v>345</v>
      </c>
      <c r="W14" t="s">
        <v>346</v>
      </c>
      <c r="X14" t="s">
        <v>347</v>
      </c>
      <c r="Y14" t="s">
        <v>348</v>
      </c>
      <c r="Z14" t="s">
        <v>74</v>
      </c>
      <c r="AA14" t="s">
        <v>349</v>
      </c>
      <c r="AB14" t="s">
        <v>350</v>
      </c>
      <c r="AC14" t="s">
        <v>74</v>
      </c>
      <c r="AD14" t="s">
        <v>74</v>
      </c>
      <c r="AE14" t="s">
        <v>74</v>
      </c>
      <c r="AF14" t="s">
        <v>74</v>
      </c>
      <c r="AG14">
        <v>25</v>
      </c>
      <c r="AH14">
        <v>0</v>
      </c>
      <c r="AI14">
        <v>0</v>
      </c>
      <c r="AJ14">
        <v>4</v>
      </c>
      <c r="AK14">
        <v>4</v>
      </c>
      <c r="AL14" t="s">
        <v>317</v>
      </c>
      <c r="AM14" t="s">
        <v>318</v>
      </c>
      <c r="AN14" t="s">
        <v>319</v>
      </c>
      <c r="AO14" t="s">
        <v>320</v>
      </c>
      <c r="AP14" t="s">
        <v>74</v>
      </c>
      <c r="AQ14" t="s">
        <v>74</v>
      </c>
      <c r="AR14" t="s">
        <v>321</v>
      </c>
      <c r="AS14" t="s">
        <v>322</v>
      </c>
      <c r="AT14" t="s">
        <v>97</v>
      </c>
      <c r="AU14">
        <v>2023</v>
      </c>
      <c r="AV14">
        <v>33</v>
      </c>
      <c r="AW14">
        <v>3</v>
      </c>
      <c r="AX14" t="s">
        <v>74</v>
      </c>
      <c r="AY14" t="s">
        <v>74</v>
      </c>
      <c r="AZ14" t="s">
        <v>74</v>
      </c>
      <c r="BA14" t="s">
        <v>74</v>
      </c>
      <c r="BB14">
        <v>234</v>
      </c>
      <c r="BC14">
        <v>241</v>
      </c>
      <c r="BD14" t="s">
        <v>74</v>
      </c>
      <c r="BE14" t="s">
        <v>351</v>
      </c>
      <c r="BF14" t="str">
        <f>HYPERLINK("http://dx.doi.org/10.17736/ijope.2023.ik12","http://dx.doi.org/10.17736/ijope.2023.ik12")</f>
        <v>http://dx.doi.org/10.17736/ijope.2023.ik12</v>
      </c>
      <c r="BG14" t="s">
        <v>74</v>
      </c>
      <c r="BH14" t="s">
        <v>74</v>
      </c>
      <c r="BI14">
        <v>8</v>
      </c>
      <c r="BJ14" t="s">
        <v>324</v>
      </c>
      <c r="BK14" t="s">
        <v>104</v>
      </c>
      <c r="BL14" t="s">
        <v>325</v>
      </c>
      <c r="BM14" t="s">
        <v>352</v>
      </c>
      <c r="BN14" t="s">
        <v>74</v>
      </c>
      <c r="BO14" t="s">
        <v>74</v>
      </c>
      <c r="BP14" t="s">
        <v>74</v>
      </c>
      <c r="BQ14" t="s">
        <v>74</v>
      </c>
      <c r="BR14" t="s">
        <v>107</v>
      </c>
      <c r="BS14" t="s">
        <v>353</v>
      </c>
      <c r="BT14" t="str">
        <f>HYPERLINK("https%3A%2F%2Fwww.webofscience.com%2Fwos%2Fwoscc%2Ffull-record%2FWOS:001129913900001","View Full Record in Web of Science")</f>
        <v>View Full Record in Web of Science</v>
      </c>
    </row>
    <row r="15" spans="1:72" x14ac:dyDescent="0.15">
      <c r="A15" t="s">
        <v>72</v>
      </c>
      <c r="B15" t="s">
        <v>354</v>
      </c>
      <c r="C15" t="s">
        <v>74</v>
      </c>
      <c r="D15" t="s">
        <v>74</v>
      </c>
      <c r="E15" t="s">
        <v>74</v>
      </c>
      <c r="F15" t="s">
        <v>355</v>
      </c>
      <c r="G15" t="s">
        <v>74</v>
      </c>
      <c r="H15" t="s">
        <v>74</v>
      </c>
      <c r="I15" t="s">
        <v>356</v>
      </c>
      <c r="J15" t="s">
        <v>357</v>
      </c>
      <c r="K15" t="s">
        <v>74</v>
      </c>
      <c r="L15" t="s">
        <v>74</v>
      </c>
      <c r="M15" t="s">
        <v>78</v>
      </c>
      <c r="N15" t="s">
        <v>79</v>
      </c>
      <c r="O15" t="s">
        <v>74</v>
      </c>
      <c r="P15" t="s">
        <v>74</v>
      </c>
      <c r="Q15" t="s">
        <v>74</v>
      </c>
      <c r="R15" t="s">
        <v>74</v>
      </c>
      <c r="S15" t="s">
        <v>74</v>
      </c>
      <c r="T15" t="s">
        <v>358</v>
      </c>
      <c r="U15" t="s">
        <v>359</v>
      </c>
      <c r="V15" t="s">
        <v>360</v>
      </c>
      <c r="W15" t="s">
        <v>361</v>
      </c>
      <c r="X15" t="s">
        <v>362</v>
      </c>
      <c r="Y15" t="s">
        <v>363</v>
      </c>
      <c r="Z15" t="s">
        <v>364</v>
      </c>
      <c r="AA15" t="s">
        <v>74</v>
      </c>
      <c r="AB15" t="s">
        <v>365</v>
      </c>
      <c r="AC15" t="s">
        <v>366</v>
      </c>
      <c r="AD15" t="s">
        <v>367</v>
      </c>
      <c r="AE15" t="s">
        <v>368</v>
      </c>
      <c r="AF15" t="s">
        <v>74</v>
      </c>
      <c r="AG15">
        <v>96</v>
      </c>
      <c r="AH15">
        <v>0</v>
      </c>
      <c r="AI15">
        <v>0</v>
      </c>
      <c r="AJ15">
        <v>4</v>
      </c>
      <c r="AK15">
        <v>4</v>
      </c>
      <c r="AL15" t="s">
        <v>369</v>
      </c>
      <c r="AM15" t="s">
        <v>370</v>
      </c>
      <c r="AN15" t="s">
        <v>371</v>
      </c>
      <c r="AO15" t="s">
        <v>74</v>
      </c>
      <c r="AP15" t="s">
        <v>372</v>
      </c>
      <c r="AQ15" t="s">
        <v>74</v>
      </c>
      <c r="AR15" t="s">
        <v>357</v>
      </c>
      <c r="AS15" t="s">
        <v>373</v>
      </c>
      <c r="AT15" t="s">
        <v>97</v>
      </c>
      <c r="AU15">
        <v>2023</v>
      </c>
      <c r="AV15">
        <v>12</v>
      </c>
      <c r="AW15">
        <v>17</v>
      </c>
      <c r="AX15" t="s">
        <v>74</v>
      </c>
      <c r="AY15" t="s">
        <v>74</v>
      </c>
      <c r="AZ15" t="s">
        <v>74</v>
      </c>
      <c r="BA15" t="s">
        <v>74</v>
      </c>
      <c r="BB15" t="s">
        <v>74</v>
      </c>
      <c r="BC15" t="s">
        <v>74</v>
      </c>
      <c r="BD15">
        <v>3172</v>
      </c>
      <c r="BE15" t="s">
        <v>374</v>
      </c>
      <c r="BF15" t="str">
        <f>HYPERLINK("http://dx.doi.org/10.3390/plants12173172","http://dx.doi.org/10.3390/plants12173172")</f>
        <v>http://dx.doi.org/10.3390/plants12173172</v>
      </c>
      <c r="BG15" t="s">
        <v>74</v>
      </c>
      <c r="BH15" t="s">
        <v>74</v>
      </c>
      <c r="BI15">
        <v>17</v>
      </c>
      <c r="BJ15" t="s">
        <v>375</v>
      </c>
      <c r="BK15" t="s">
        <v>104</v>
      </c>
      <c r="BL15" t="s">
        <v>375</v>
      </c>
      <c r="BM15" t="s">
        <v>376</v>
      </c>
      <c r="BN15">
        <v>37687418</v>
      </c>
      <c r="BO15" t="s">
        <v>377</v>
      </c>
      <c r="BP15" t="s">
        <v>74</v>
      </c>
      <c r="BQ15" t="s">
        <v>74</v>
      </c>
      <c r="BR15" t="s">
        <v>107</v>
      </c>
      <c r="BS15" t="s">
        <v>378</v>
      </c>
      <c r="BT15" t="str">
        <f>HYPERLINK("https%3A%2F%2Fwww.webofscience.com%2Fwos%2Fwoscc%2Ffull-record%2FWOS:001122114600001","View Full Record in Web of Science")</f>
        <v>View Full Record in Web of Science</v>
      </c>
    </row>
    <row r="16" spans="1:72" x14ac:dyDescent="0.15">
      <c r="A16" t="s">
        <v>72</v>
      </c>
      <c r="B16" t="s">
        <v>379</v>
      </c>
      <c r="C16" t="s">
        <v>74</v>
      </c>
      <c r="D16" t="s">
        <v>74</v>
      </c>
      <c r="E16" t="s">
        <v>74</v>
      </c>
      <c r="F16" t="s">
        <v>380</v>
      </c>
      <c r="G16" t="s">
        <v>74</v>
      </c>
      <c r="H16" t="s">
        <v>74</v>
      </c>
      <c r="I16" t="s">
        <v>381</v>
      </c>
      <c r="J16" t="s">
        <v>77</v>
      </c>
      <c r="K16" t="s">
        <v>74</v>
      </c>
      <c r="L16" t="s">
        <v>74</v>
      </c>
      <c r="M16" t="s">
        <v>78</v>
      </c>
      <c r="N16" t="s">
        <v>79</v>
      </c>
      <c r="O16" t="s">
        <v>74</v>
      </c>
      <c r="P16" t="s">
        <v>74</v>
      </c>
      <c r="Q16" t="s">
        <v>74</v>
      </c>
      <c r="R16" t="s">
        <v>74</v>
      </c>
      <c r="S16" t="s">
        <v>74</v>
      </c>
      <c r="T16" t="s">
        <v>74</v>
      </c>
      <c r="U16" t="s">
        <v>382</v>
      </c>
      <c r="V16" t="s">
        <v>74</v>
      </c>
      <c r="W16" t="s">
        <v>383</v>
      </c>
      <c r="X16" t="s">
        <v>74</v>
      </c>
      <c r="Y16" t="s">
        <v>384</v>
      </c>
      <c r="Z16" t="s">
        <v>74</v>
      </c>
      <c r="AA16" t="s">
        <v>385</v>
      </c>
      <c r="AB16" t="s">
        <v>386</v>
      </c>
      <c r="AC16" t="s">
        <v>387</v>
      </c>
      <c r="AD16" t="s">
        <v>388</v>
      </c>
      <c r="AE16" t="s">
        <v>389</v>
      </c>
      <c r="AF16" t="s">
        <v>74</v>
      </c>
      <c r="AG16">
        <v>458</v>
      </c>
      <c r="AH16">
        <v>0</v>
      </c>
      <c r="AI16">
        <v>0</v>
      </c>
      <c r="AJ16">
        <v>18</v>
      </c>
      <c r="AK16">
        <v>18</v>
      </c>
      <c r="AL16" t="s">
        <v>90</v>
      </c>
      <c r="AM16" t="s">
        <v>91</v>
      </c>
      <c r="AN16" t="s">
        <v>92</v>
      </c>
      <c r="AO16" t="s">
        <v>93</v>
      </c>
      <c r="AP16" t="s">
        <v>94</v>
      </c>
      <c r="AQ16" t="s">
        <v>74</v>
      </c>
      <c r="AR16" t="s">
        <v>95</v>
      </c>
      <c r="AS16" t="s">
        <v>96</v>
      </c>
      <c r="AT16" t="s">
        <v>97</v>
      </c>
      <c r="AU16">
        <v>2023</v>
      </c>
      <c r="AV16">
        <v>104</v>
      </c>
      <c r="AW16">
        <v>9</v>
      </c>
      <c r="AX16" t="s">
        <v>74</v>
      </c>
      <c r="AY16" t="s">
        <v>74</v>
      </c>
      <c r="AZ16" t="s">
        <v>74</v>
      </c>
      <c r="BA16" t="s">
        <v>74</v>
      </c>
      <c r="BB16" t="s">
        <v>390</v>
      </c>
      <c r="BC16" t="s">
        <v>391</v>
      </c>
      <c r="BD16" t="s">
        <v>74</v>
      </c>
      <c r="BE16" t="s">
        <v>74</v>
      </c>
      <c r="BF16" t="s">
        <v>74</v>
      </c>
      <c r="BG16" t="s">
        <v>74</v>
      </c>
      <c r="BH16" t="s">
        <v>74</v>
      </c>
      <c r="BI16">
        <v>126</v>
      </c>
      <c r="BJ16" t="s">
        <v>103</v>
      </c>
      <c r="BK16" t="s">
        <v>104</v>
      </c>
      <c r="BL16" t="s">
        <v>103</v>
      </c>
      <c r="BM16" t="s">
        <v>392</v>
      </c>
      <c r="BN16" t="s">
        <v>74</v>
      </c>
      <c r="BO16" t="s">
        <v>74</v>
      </c>
      <c r="BP16" t="s">
        <v>74</v>
      </c>
      <c r="BQ16" t="s">
        <v>74</v>
      </c>
      <c r="BR16" t="s">
        <v>107</v>
      </c>
      <c r="BS16" t="s">
        <v>393</v>
      </c>
      <c r="BT16" t="str">
        <f>HYPERLINK("https%3A%2F%2Fwww.webofscience.com%2Fwos%2Fwoscc%2Ffull-record%2FWOS:001104782100001","View Full Record in Web of Science")</f>
        <v>View Full Record in Web of Science</v>
      </c>
    </row>
    <row r="17" spans="1:72" x14ac:dyDescent="0.15">
      <c r="A17" t="s">
        <v>72</v>
      </c>
      <c r="B17" t="s">
        <v>394</v>
      </c>
      <c r="C17" t="s">
        <v>74</v>
      </c>
      <c r="D17" t="s">
        <v>74</v>
      </c>
      <c r="E17" t="s">
        <v>74</v>
      </c>
      <c r="F17" t="s">
        <v>395</v>
      </c>
      <c r="G17" t="s">
        <v>74</v>
      </c>
      <c r="H17" t="s">
        <v>74</v>
      </c>
      <c r="I17" t="s">
        <v>396</v>
      </c>
      <c r="J17" t="s">
        <v>397</v>
      </c>
      <c r="K17" t="s">
        <v>74</v>
      </c>
      <c r="L17" t="s">
        <v>74</v>
      </c>
      <c r="M17" t="s">
        <v>78</v>
      </c>
      <c r="N17" t="s">
        <v>79</v>
      </c>
      <c r="O17" t="s">
        <v>74</v>
      </c>
      <c r="P17" t="s">
        <v>74</v>
      </c>
      <c r="Q17" t="s">
        <v>74</v>
      </c>
      <c r="R17" t="s">
        <v>74</v>
      </c>
      <c r="S17" t="s">
        <v>74</v>
      </c>
      <c r="T17" t="s">
        <v>74</v>
      </c>
      <c r="U17" t="s">
        <v>398</v>
      </c>
      <c r="V17" t="s">
        <v>399</v>
      </c>
      <c r="W17" t="s">
        <v>400</v>
      </c>
      <c r="X17" t="s">
        <v>401</v>
      </c>
      <c r="Y17" t="s">
        <v>402</v>
      </c>
      <c r="Z17" t="s">
        <v>403</v>
      </c>
      <c r="AA17" t="s">
        <v>74</v>
      </c>
      <c r="AB17" t="s">
        <v>404</v>
      </c>
      <c r="AC17" t="s">
        <v>405</v>
      </c>
      <c r="AD17" t="s">
        <v>406</v>
      </c>
      <c r="AE17" t="s">
        <v>407</v>
      </c>
      <c r="AF17" t="s">
        <v>74</v>
      </c>
      <c r="AG17">
        <v>84</v>
      </c>
      <c r="AH17">
        <v>1</v>
      </c>
      <c r="AI17">
        <v>1</v>
      </c>
      <c r="AJ17">
        <v>3</v>
      </c>
      <c r="AK17">
        <v>3</v>
      </c>
      <c r="AL17" t="s">
        <v>408</v>
      </c>
      <c r="AM17" t="s">
        <v>409</v>
      </c>
      <c r="AN17" t="s">
        <v>410</v>
      </c>
      <c r="AO17" t="s">
        <v>411</v>
      </c>
      <c r="AP17" t="s">
        <v>412</v>
      </c>
      <c r="AQ17" t="s">
        <v>74</v>
      </c>
      <c r="AR17" t="s">
        <v>413</v>
      </c>
      <c r="AS17" t="s">
        <v>414</v>
      </c>
      <c r="AT17" t="s">
        <v>129</v>
      </c>
      <c r="AU17">
        <v>2023</v>
      </c>
      <c r="AV17">
        <v>135</v>
      </c>
      <c r="AW17" t="s">
        <v>415</v>
      </c>
      <c r="AX17" t="s">
        <v>74</v>
      </c>
      <c r="AY17" t="s">
        <v>74</v>
      </c>
      <c r="AZ17" t="s">
        <v>74</v>
      </c>
      <c r="BA17" t="s">
        <v>74</v>
      </c>
      <c r="BB17">
        <v>2678</v>
      </c>
      <c r="BC17">
        <v>2690</v>
      </c>
      <c r="BD17" t="s">
        <v>74</v>
      </c>
      <c r="BE17" t="s">
        <v>416</v>
      </c>
      <c r="BF17" t="str">
        <f>HYPERLINK("http://dx.doi.org/10.1130/B36588.1","http://dx.doi.org/10.1130/B36588.1")</f>
        <v>http://dx.doi.org/10.1130/B36588.1</v>
      </c>
      <c r="BG17" t="s">
        <v>74</v>
      </c>
      <c r="BH17" t="s">
        <v>74</v>
      </c>
      <c r="BI17">
        <v>13</v>
      </c>
      <c r="BJ17" t="s">
        <v>155</v>
      </c>
      <c r="BK17" t="s">
        <v>104</v>
      </c>
      <c r="BL17" t="s">
        <v>156</v>
      </c>
      <c r="BM17" t="s">
        <v>417</v>
      </c>
      <c r="BN17" t="s">
        <v>74</v>
      </c>
      <c r="BO17" t="s">
        <v>418</v>
      </c>
      <c r="BP17" t="s">
        <v>74</v>
      </c>
      <c r="BQ17" t="s">
        <v>74</v>
      </c>
      <c r="BR17" t="s">
        <v>107</v>
      </c>
      <c r="BS17" t="s">
        <v>419</v>
      </c>
      <c r="BT17" t="str">
        <f>HYPERLINK("https%3A%2F%2Fwww.webofscience.com%2Fwos%2Fwoscc%2Ffull-record%2FWOS:001101571800028","View Full Record in Web of Science")</f>
        <v>View Full Record in Web of Science</v>
      </c>
    </row>
    <row r="18" spans="1:72" x14ac:dyDescent="0.15">
      <c r="A18" t="s">
        <v>72</v>
      </c>
      <c r="B18" t="s">
        <v>420</v>
      </c>
      <c r="C18" t="s">
        <v>74</v>
      </c>
      <c r="D18" t="s">
        <v>74</v>
      </c>
      <c r="E18" t="s">
        <v>74</v>
      </c>
      <c r="F18" t="s">
        <v>421</v>
      </c>
      <c r="G18" t="s">
        <v>74</v>
      </c>
      <c r="H18" t="s">
        <v>74</v>
      </c>
      <c r="I18" t="s">
        <v>422</v>
      </c>
      <c r="J18" t="s">
        <v>423</v>
      </c>
      <c r="K18" t="s">
        <v>74</v>
      </c>
      <c r="L18" t="s">
        <v>74</v>
      </c>
      <c r="M18" t="s">
        <v>78</v>
      </c>
      <c r="N18" t="s">
        <v>424</v>
      </c>
      <c r="O18" t="s">
        <v>74</v>
      </c>
      <c r="P18" t="s">
        <v>74</v>
      </c>
      <c r="Q18" t="s">
        <v>74</v>
      </c>
      <c r="R18" t="s">
        <v>74</v>
      </c>
      <c r="S18" t="s">
        <v>74</v>
      </c>
      <c r="T18" t="s">
        <v>425</v>
      </c>
      <c r="U18" t="s">
        <v>426</v>
      </c>
      <c r="V18" t="s">
        <v>427</v>
      </c>
      <c r="W18" t="s">
        <v>428</v>
      </c>
      <c r="X18" t="s">
        <v>429</v>
      </c>
      <c r="Y18" t="s">
        <v>430</v>
      </c>
      <c r="Z18" t="s">
        <v>431</v>
      </c>
      <c r="AA18" t="s">
        <v>432</v>
      </c>
      <c r="AB18" t="s">
        <v>433</v>
      </c>
      <c r="AC18" t="s">
        <v>434</v>
      </c>
      <c r="AD18" t="s">
        <v>435</v>
      </c>
      <c r="AE18" t="s">
        <v>436</v>
      </c>
      <c r="AF18" t="s">
        <v>74</v>
      </c>
      <c r="AG18">
        <v>87</v>
      </c>
      <c r="AH18">
        <v>0</v>
      </c>
      <c r="AI18">
        <v>0</v>
      </c>
      <c r="AJ18">
        <v>14</v>
      </c>
      <c r="AK18">
        <v>14</v>
      </c>
      <c r="AL18" t="s">
        <v>437</v>
      </c>
      <c r="AM18" t="s">
        <v>438</v>
      </c>
      <c r="AN18" t="s">
        <v>439</v>
      </c>
      <c r="AO18" t="s">
        <v>440</v>
      </c>
      <c r="AP18" t="s">
        <v>74</v>
      </c>
      <c r="AQ18" t="s">
        <v>74</v>
      </c>
      <c r="AR18" t="s">
        <v>441</v>
      </c>
      <c r="AS18" t="s">
        <v>442</v>
      </c>
      <c r="AT18" t="s">
        <v>97</v>
      </c>
      <c r="AU18">
        <v>2023</v>
      </c>
      <c r="AV18">
        <v>14</v>
      </c>
      <c r="AW18">
        <v>3</v>
      </c>
      <c r="AX18" t="s">
        <v>74</v>
      </c>
      <c r="AY18" t="s">
        <v>74</v>
      </c>
      <c r="AZ18" t="s">
        <v>74</v>
      </c>
      <c r="BA18" t="s">
        <v>74</v>
      </c>
      <c r="BB18">
        <v>379</v>
      </c>
      <c r="BC18">
        <v>402</v>
      </c>
      <c r="BD18" t="s">
        <v>74</v>
      </c>
      <c r="BE18" t="s">
        <v>443</v>
      </c>
      <c r="BF18" t="str">
        <f>HYPERLINK("http://dx.doi.org/10.3391/mbi.2023.14.3.01","http://dx.doi.org/10.3391/mbi.2023.14.3.01")</f>
        <v>http://dx.doi.org/10.3391/mbi.2023.14.3.01</v>
      </c>
      <c r="BG18" t="s">
        <v>74</v>
      </c>
      <c r="BH18" t="s">
        <v>74</v>
      </c>
      <c r="BI18">
        <v>24</v>
      </c>
      <c r="BJ18" t="s">
        <v>444</v>
      </c>
      <c r="BK18" t="s">
        <v>104</v>
      </c>
      <c r="BL18" t="s">
        <v>445</v>
      </c>
      <c r="BM18" t="s">
        <v>446</v>
      </c>
      <c r="BN18" t="s">
        <v>74</v>
      </c>
      <c r="BO18" t="s">
        <v>447</v>
      </c>
      <c r="BP18" t="s">
        <v>74</v>
      </c>
      <c r="BQ18" t="s">
        <v>74</v>
      </c>
      <c r="BR18" t="s">
        <v>107</v>
      </c>
      <c r="BS18" t="s">
        <v>448</v>
      </c>
      <c r="BT18" t="str">
        <f>HYPERLINK("https%3A%2F%2Fwww.webofscience.com%2Fwos%2Fwoscc%2Ffull-record%2FWOS:001104330300009","View Full Record in Web of Science")</f>
        <v>View Full Record in Web of Science</v>
      </c>
    </row>
    <row r="19" spans="1:72" x14ac:dyDescent="0.15">
      <c r="A19" t="s">
        <v>72</v>
      </c>
      <c r="B19" t="s">
        <v>449</v>
      </c>
      <c r="C19" t="s">
        <v>74</v>
      </c>
      <c r="D19" t="s">
        <v>74</v>
      </c>
      <c r="E19" t="s">
        <v>74</v>
      </c>
      <c r="F19" t="s">
        <v>450</v>
      </c>
      <c r="G19" t="s">
        <v>74</v>
      </c>
      <c r="H19" t="s">
        <v>74</v>
      </c>
      <c r="I19" t="s">
        <v>451</v>
      </c>
      <c r="J19" t="s">
        <v>452</v>
      </c>
      <c r="K19" t="s">
        <v>74</v>
      </c>
      <c r="L19" t="s">
        <v>74</v>
      </c>
      <c r="M19" t="s">
        <v>78</v>
      </c>
      <c r="N19" t="s">
        <v>52</v>
      </c>
      <c r="O19" t="s">
        <v>74</v>
      </c>
      <c r="P19" t="s">
        <v>74</v>
      </c>
      <c r="Q19" t="s">
        <v>74</v>
      </c>
      <c r="R19" t="s">
        <v>74</v>
      </c>
      <c r="S19" t="s">
        <v>74</v>
      </c>
      <c r="T19" t="s">
        <v>74</v>
      </c>
      <c r="U19" t="s">
        <v>74</v>
      </c>
      <c r="V19" t="s">
        <v>74</v>
      </c>
      <c r="W19" t="s">
        <v>453</v>
      </c>
      <c r="X19" t="s">
        <v>454</v>
      </c>
      <c r="Y19" t="s">
        <v>74</v>
      </c>
      <c r="Z19" t="s">
        <v>74</v>
      </c>
      <c r="AA19" t="s">
        <v>455</v>
      </c>
      <c r="AB19" t="s">
        <v>456</v>
      </c>
      <c r="AC19" t="s">
        <v>457</v>
      </c>
      <c r="AD19" t="s">
        <v>458</v>
      </c>
      <c r="AE19" t="s">
        <v>459</v>
      </c>
      <c r="AF19" t="s">
        <v>74</v>
      </c>
      <c r="AG19">
        <v>0</v>
      </c>
      <c r="AH19">
        <v>0</v>
      </c>
      <c r="AI19">
        <v>0</v>
      </c>
      <c r="AJ19">
        <v>2</v>
      </c>
      <c r="AK19">
        <v>2</v>
      </c>
      <c r="AL19" t="s">
        <v>460</v>
      </c>
      <c r="AM19" t="s">
        <v>461</v>
      </c>
      <c r="AN19" t="s">
        <v>462</v>
      </c>
      <c r="AO19" t="s">
        <v>463</v>
      </c>
      <c r="AP19" t="s">
        <v>464</v>
      </c>
      <c r="AQ19" t="s">
        <v>74</v>
      </c>
      <c r="AR19" t="s">
        <v>465</v>
      </c>
      <c r="AS19" t="s">
        <v>466</v>
      </c>
      <c r="AT19" t="s">
        <v>97</v>
      </c>
      <c r="AU19">
        <v>2023</v>
      </c>
      <c r="AV19">
        <v>239</v>
      </c>
      <c r="AW19" t="s">
        <v>74</v>
      </c>
      <c r="AX19" t="s">
        <v>74</v>
      </c>
      <c r="AY19">
        <v>728</v>
      </c>
      <c r="AZ19" t="s">
        <v>99</v>
      </c>
      <c r="BA19" t="s">
        <v>74</v>
      </c>
      <c r="BB19" t="s">
        <v>74</v>
      </c>
      <c r="BC19" t="s">
        <v>74</v>
      </c>
      <c r="BD19" t="s">
        <v>74</v>
      </c>
      <c r="BE19" t="s">
        <v>74</v>
      </c>
      <c r="BF19" t="s">
        <v>74</v>
      </c>
      <c r="BG19" t="s">
        <v>74</v>
      </c>
      <c r="BH19" t="s">
        <v>74</v>
      </c>
      <c r="BI19">
        <v>1</v>
      </c>
      <c r="BJ19" t="s">
        <v>467</v>
      </c>
      <c r="BK19" t="s">
        <v>104</v>
      </c>
      <c r="BL19" t="s">
        <v>467</v>
      </c>
      <c r="BM19" t="s">
        <v>468</v>
      </c>
      <c r="BN19" t="s">
        <v>74</v>
      </c>
      <c r="BO19" t="s">
        <v>74</v>
      </c>
      <c r="BP19" t="s">
        <v>74</v>
      </c>
      <c r="BQ19" t="s">
        <v>74</v>
      </c>
      <c r="BR19" t="s">
        <v>107</v>
      </c>
      <c r="BS19" t="s">
        <v>469</v>
      </c>
      <c r="BT19" t="str">
        <f>HYPERLINK("https%3A%2F%2Fwww.webofscience.com%2Fwos%2Fwoscc%2Ffull-record%2FWOS:001085852300013","View Full Record in Web of Science")</f>
        <v>View Full Record in Web of Science</v>
      </c>
    </row>
    <row r="20" spans="1:72" x14ac:dyDescent="0.15">
      <c r="A20" t="s">
        <v>72</v>
      </c>
      <c r="B20" t="s">
        <v>470</v>
      </c>
      <c r="C20" t="s">
        <v>74</v>
      </c>
      <c r="D20" t="s">
        <v>74</v>
      </c>
      <c r="E20" t="s">
        <v>74</v>
      </c>
      <c r="F20" t="s">
        <v>471</v>
      </c>
      <c r="G20" t="s">
        <v>74</v>
      </c>
      <c r="H20" t="s">
        <v>74</v>
      </c>
      <c r="I20" t="s">
        <v>472</v>
      </c>
      <c r="J20" t="s">
        <v>473</v>
      </c>
      <c r="K20" t="s">
        <v>74</v>
      </c>
      <c r="L20" t="s">
        <v>74</v>
      </c>
      <c r="M20" t="s">
        <v>78</v>
      </c>
      <c r="N20" t="s">
        <v>79</v>
      </c>
      <c r="O20" t="s">
        <v>74</v>
      </c>
      <c r="P20" t="s">
        <v>74</v>
      </c>
      <c r="Q20" t="s">
        <v>74</v>
      </c>
      <c r="R20" t="s">
        <v>74</v>
      </c>
      <c r="S20" t="s">
        <v>74</v>
      </c>
      <c r="T20" t="s">
        <v>474</v>
      </c>
      <c r="U20" t="s">
        <v>475</v>
      </c>
      <c r="V20" t="s">
        <v>476</v>
      </c>
      <c r="W20" t="s">
        <v>477</v>
      </c>
      <c r="X20" t="s">
        <v>478</v>
      </c>
      <c r="Y20" t="s">
        <v>479</v>
      </c>
      <c r="Z20" t="s">
        <v>480</v>
      </c>
      <c r="AA20" t="s">
        <v>481</v>
      </c>
      <c r="AB20" t="s">
        <v>482</v>
      </c>
      <c r="AC20" t="s">
        <v>483</v>
      </c>
      <c r="AD20" t="s">
        <v>484</v>
      </c>
      <c r="AE20" t="s">
        <v>485</v>
      </c>
      <c r="AF20" t="s">
        <v>74</v>
      </c>
      <c r="AG20">
        <v>44</v>
      </c>
      <c r="AH20">
        <v>2</v>
      </c>
      <c r="AI20">
        <v>2</v>
      </c>
      <c r="AJ20">
        <v>14</v>
      </c>
      <c r="AK20">
        <v>14</v>
      </c>
      <c r="AL20" t="s">
        <v>460</v>
      </c>
      <c r="AM20" t="s">
        <v>461</v>
      </c>
      <c r="AN20" t="s">
        <v>462</v>
      </c>
      <c r="AO20" t="s">
        <v>486</v>
      </c>
      <c r="AP20" t="s">
        <v>487</v>
      </c>
      <c r="AQ20" t="s">
        <v>74</v>
      </c>
      <c r="AR20" t="s">
        <v>488</v>
      </c>
      <c r="AS20" t="s">
        <v>489</v>
      </c>
      <c r="AT20" t="s">
        <v>97</v>
      </c>
      <c r="AU20">
        <v>2023</v>
      </c>
      <c r="AV20">
        <v>32</v>
      </c>
      <c r="AW20">
        <v>9</v>
      </c>
      <c r="AX20" t="s">
        <v>74</v>
      </c>
      <c r="AY20" t="s">
        <v>74</v>
      </c>
      <c r="AZ20" t="s">
        <v>74</v>
      </c>
      <c r="BA20" t="s">
        <v>74</v>
      </c>
      <c r="BB20" t="s">
        <v>74</v>
      </c>
      <c r="BC20" t="s">
        <v>74</v>
      </c>
      <c r="BD20" t="s">
        <v>490</v>
      </c>
      <c r="BE20" t="s">
        <v>491</v>
      </c>
      <c r="BF20" t="str">
        <f>HYPERLINK("http://dx.doi.org/10.1002/pro.4757","http://dx.doi.org/10.1002/pro.4757")</f>
        <v>http://dx.doi.org/10.1002/pro.4757</v>
      </c>
      <c r="BG20" t="s">
        <v>74</v>
      </c>
      <c r="BH20" t="s">
        <v>74</v>
      </c>
      <c r="BI20">
        <v>13</v>
      </c>
      <c r="BJ20" t="s">
        <v>179</v>
      </c>
      <c r="BK20" t="s">
        <v>104</v>
      </c>
      <c r="BL20" t="s">
        <v>179</v>
      </c>
      <c r="BM20" t="s">
        <v>492</v>
      </c>
      <c r="BN20">
        <v>37574805</v>
      </c>
      <c r="BO20" t="s">
        <v>133</v>
      </c>
      <c r="BP20" t="s">
        <v>74</v>
      </c>
      <c r="BQ20" t="s">
        <v>74</v>
      </c>
      <c r="BR20" t="s">
        <v>107</v>
      </c>
      <c r="BS20" t="s">
        <v>493</v>
      </c>
      <c r="BT20" t="str">
        <f>HYPERLINK("https%3A%2F%2Fwww.webofscience.com%2Fwos%2Fwoscc%2Ffull-record%2FWOS:001058430700002","View Full Record in Web of Science")</f>
        <v>View Full Record in Web of Science</v>
      </c>
    </row>
    <row r="21" spans="1:72" x14ac:dyDescent="0.15">
      <c r="A21" t="s">
        <v>72</v>
      </c>
      <c r="B21" t="s">
        <v>494</v>
      </c>
      <c r="C21" t="s">
        <v>74</v>
      </c>
      <c r="D21" t="s">
        <v>74</v>
      </c>
      <c r="E21" t="s">
        <v>74</v>
      </c>
      <c r="F21" t="s">
        <v>495</v>
      </c>
      <c r="G21" t="s">
        <v>74</v>
      </c>
      <c r="H21" t="s">
        <v>74</v>
      </c>
      <c r="I21" t="s">
        <v>496</v>
      </c>
      <c r="J21" t="s">
        <v>497</v>
      </c>
      <c r="K21" t="s">
        <v>74</v>
      </c>
      <c r="L21" t="s">
        <v>74</v>
      </c>
      <c r="M21" t="s">
        <v>78</v>
      </c>
      <c r="N21" t="s">
        <v>79</v>
      </c>
      <c r="O21" t="s">
        <v>74</v>
      </c>
      <c r="P21" t="s">
        <v>74</v>
      </c>
      <c r="Q21" t="s">
        <v>74</v>
      </c>
      <c r="R21" t="s">
        <v>74</v>
      </c>
      <c r="S21" t="s">
        <v>74</v>
      </c>
      <c r="T21" t="s">
        <v>498</v>
      </c>
      <c r="U21" t="s">
        <v>499</v>
      </c>
      <c r="V21" t="s">
        <v>500</v>
      </c>
      <c r="W21" t="s">
        <v>501</v>
      </c>
      <c r="X21" t="s">
        <v>502</v>
      </c>
      <c r="Y21" t="s">
        <v>503</v>
      </c>
      <c r="Z21" t="s">
        <v>504</v>
      </c>
      <c r="AA21" t="s">
        <v>505</v>
      </c>
      <c r="AB21" t="s">
        <v>506</v>
      </c>
      <c r="AC21" t="s">
        <v>507</v>
      </c>
      <c r="AD21" t="s">
        <v>508</v>
      </c>
      <c r="AE21" t="s">
        <v>509</v>
      </c>
      <c r="AF21" t="s">
        <v>74</v>
      </c>
      <c r="AG21">
        <v>34</v>
      </c>
      <c r="AH21">
        <v>1</v>
      </c>
      <c r="AI21">
        <v>1</v>
      </c>
      <c r="AJ21">
        <v>3</v>
      </c>
      <c r="AK21">
        <v>3</v>
      </c>
      <c r="AL21" t="s">
        <v>510</v>
      </c>
      <c r="AM21" t="s">
        <v>511</v>
      </c>
      <c r="AN21" t="s">
        <v>512</v>
      </c>
      <c r="AO21" t="s">
        <v>513</v>
      </c>
      <c r="AP21" t="s">
        <v>514</v>
      </c>
      <c r="AQ21" t="s">
        <v>74</v>
      </c>
      <c r="AR21" t="s">
        <v>515</v>
      </c>
      <c r="AS21" t="s">
        <v>516</v>
      </c>
      <c r="AT21" t="s">
        <v>97</v>
      </c>
      <c r="AU21">
        <v>2023</v>
      </c>
      <c r="AV21">
        <v>16</v>
      </c>
      <c r="AW21">
        <v>5</v>
      </c>
      <c r="AX21" t="s">
        <v>74</v>
      </c>
      <c r="AY21" t="s">
        <v>74</v>
      </c>
      <c r="AZ21" t="s">
        <v>74</v>
      </c>
      <c r="BA21" t="s">
        <v>74</v>
      </c>
      <c r="BB21" t="s">
        <v>74</v>
      </c>
      <c r="BC21" t="s">
        <v>74</v>
      </c>
      <c r="BD21">
        <v>100387</v>
      </c>
      <c r="BE21" t="s">
        <v>517</v>
      </c>
      <c r="BF21" t="str">
        <f>HYPERLINK("http://dx.doi.org/10.1016/j.aosl.2023.100387","http://dx.doi.org/10.1016/j.aosl.2023.100387")</f>
        <v>http://dx.doi.org/10.1016/j.aosl.2023.100387</v>
      </c>
      <c r="BG21" t="s">
        <v>74</v>
      </c>
      <c r="BH21" t="s">
        <v>74</v>
      </c>
      <c r="BI21">
        <v>7</v>
      </c>
      <c r="BJ21" t="s">
        <v>103</v>
      </c>
      <c r="BK21" t="s">
        <v>518</v>
      </c>
      <c r="BL21" t="s">
        <v>103</v>
      </c>
      <c r="BM21" t="s">
        <v>519</v>
      </c>
      <c r="BN21" t="s">
        <v>74</v>
      </c>
      <c r="BO21" t="s">
        <v>206</v>
      </c>
      <c r="BP21" t="s">
        <v>74</v>
      </c>
      <c r="BQ21" t="s">
        <v>74</v>
      </c>
      <c r="BR21" t="s">
        <v>107</v>
      </c>
      <c r="BS21" t="s">
        <v>520</v>
      </c>
      <c r="BT21" t="str">
        <f>HYPERLINK("https%3A%2F%2Fwww.webofscience.com%2Fwos%2Fwoscc%2Ffull-record%2FWOS:001089646700001","View Full Record in Web of Science")</f>
        <v>View Full Record in Web of Science</v>
      </c>
    </row>
    <row r="22" spans="1:72" x14ac:dyDescent="0.15">
      <c r="A22" t="s">
        <v>72</v>
      </c>
      <c r="B22" t="s">
        <v>521</v>
      </c>
      <c r="C22" t="s">
        <v>74</v>
      </c>
      <c r="D22" t="s">
        <v>74</v>
      </c>
      <c r="E22" t="s">
        <v>74</v>
      </c>
      <c r="F22" t="s">
        <v>522</v>
      </c>
      <c r="G22" t="s">
        <v>74</v>
      </c>
      <c r="H22" t="s">
        <v>74</v>
      </c>
      <c r="I22" t="s">
        <v>523</v>
      </c>
      <c r="J22" t="s">
        <v>524</v>
      </c>
      <c r="K22" t="s">
        <v>74</v>
      </c>
      <c r="L22" t="s">
        <v>74</v>
      </c>
      <c r="M22" t="s">
        <v>78</v>
      </c>
      <c r="N22" t="s">
        <v>79</v>
      </c>
      <c r="O22" t="s">
        <v>74</v>
      </c>
      <c r="P22" t="s">
        <v>74</v>
      </c>
      <c r="Q22" t="s">
        <v>74</v>
      </c>
      <c r="R22" t="s">
        <v>74</v>
      </c>
      <c r="S22" t="s">
        <v>74</v>
      </c>
      <c r="T22" t="s">
        <v>525</v>
      </c>
      <c r="U22" t="s">
        <v>526</v>
      </c>
      <c r="V22" t="s">
        <v>527</v>
      </c>
      <c r="W22" t="s">
        <v>528</v>
      </c>
      <c r="X22" t="s">
        <v>529</v>
      </c>
      <c r="Y22" t="s">
        <v>530</v>
      </c>
      <c r="Z22" t="s">
        <v>531</v>
      </c>
      <c r="AA22" t="s">
        <v>532</v>
      </c>
      <c r="AB22" t="s">
        <v>533</v>
      </c>
      <c r="AC22" t="s">
        <v>534</v>
      </c>
      <c r="AD22" t="s">
        <v>535</v>
      </c>
      <c r="AE22" t="s">
        <v>536</v>
      </c>
      <c r="AF22" t="s">
        <v>74</v>
      </c>
      <c r="AG22">
        <v>29</v>
      </c>
      <c r="AH22">
        <v>1</v>
      </c>
      <c r="AI22">
        <v>1</v>
      </c>
      <c r="AJ22">
        <v>2</v>
      </c>
      <c r="AK22">
        <v>2</v>
      </c>
      <c r="AL22" t="s">
        <v>537</v>
      </c>
      <c r="AM22" t="s">
        <v>538</v>
      </c>
      <c r="AN22" t="s">
        <v>539</v>
      </c>
      <c r="AO22" t="s">
        <v>540</v>
      </c>
      <c r="AP22" t="s">
        <v>541</v>
      </c>
      <c r="AQ22" t="s">
        <v>74</v>
      </c>
      <c r="AR22" t="s">
        <v>542</v>
      </c>
      <c r="AS22" t="s">
        <v>543</v>
      </c>
      <c r="AT22" t="s">
        <v>544</v>
      </c>
      <c r="AU22">
        <v>2023</v>
      </c>
      <c r="AV22">
        <v>43</v>
      </c>
      <c r="AW22">
        <v>3</v>
      </c>
      <c r="AX22" t="s">
        <v>74</v>
      </c>
      <c r="AY22" t="s">
        <v>74</v>
      </c>
      <c r="AZ22" t="s">
        <v>74</v>
      </c>
      <c r="BA22" t="s">
        <v>74</v>
      </c>
      <c r="BB22" t="s">
        <v>74</v>
      </c>
      <c r="BC22" t="s">
        <v>74</v>
      </c>
      <c r="BD22" t="s">
        <v>545</v>
      </c>
      <c r="BE22" t="s">
        <v>546</v>
      </c>
      <c r="BF22" t="str">
        <f>HYPERLINK("http://dx.doi.org/10.1093/jcbiol/ruad055","http://dx.doi.org/10.1093/jcbiol/ruad055")</f>
        <v>http://dx.doi.org/10.1093/jcbiol/ruad055</v>
      </c>
      <c r="BG22" t="s">
        <v>74</v>
      </c>
      <c r="BH22" t="s">
        <v>74</v>
      </c>
      <c r="BI22">
        <v>9</v>
      </c>
      <c r="BJ22" t="s">
        <v>547</v>
      </c>
      <c r="BK22" t="s">
        <v>104</v>
      </c>
      <c r="BL22" t="s">
        <v>547</v>
      </c>
      <c r="BM22" t="s">
        <v>548</v>
      </c>
      <c r="BN22" t="s">
        <v>74</v>
      </c>
      <c r="BO22" t="s">
        <v>549</v>
      </c>
      <c r="BP22" t="s">
        <v>74</v>
      </c>
      <c r="BQ22" t="s">
        <v>74</v>
      </c>
      <c r="BR22" t="s">
        <v>107</v>
      </c>
      <c r="BS22" t="s">
        <v>550</v>
      </c>
      <c r="BT22" t="str">
        <f>HYPERLINK("https%3A%2F%2Fwww.webofscience.com%2Fwos%2Fwoscc%2Ffull-record%2FWOS:001075516500001","View Full Record in Web of Science")</f>
        <v>View Full Record in Web of Science</v>
      </c>
    </row>
    <row r="23" spans="1:72" x14ac:dyDescent="0.15">
      <c r="A23" t="s">
        <v>72</v>
      </c>
      <c r="B23" t="s">
        <v>551</v>
      </c>
      <c r="C23" t="s">
        <v>74</v>
      </c>
      <c r="D23" t="s">
        <v>74</v>
      </c>
      <c r="E23" t="s">
        <v>74</v>
      </c>
      <c r="F23" t="s">
        <v>552</v>
      </c>
      <c r="G23" t="s">
        <v>74</v>
      </c>
      <c r="H23" t="s">
        <v>74</v>
      </c>
      <c r="I23" t="s">
        <v>553</v>
      </c>
      <c r="J23" t="s">
        <v>554</v>
      </c>
      <c r="K23" t="s">
        <v>74</v>
      </c>
      <c r="L23" t="s">
        <v>74</v>
      </c>
      <c r="M23" t="s">
        <v>78</v>
      </c>
      <c r="N23" t="s">
        <v>79</v>
      </c>
      <c r="O23" t="s">
        <v>74</v>
      </c>
      <c r="P23" t="s">
        <v>74</v>
      </c>
      <c r="Q23" t="s">
        <v>74</v>
      </c>
      <c r="R23" t="s">
        <v>74</v>
      </c>
      <c r="S23" t="s">
        <v>74</v>
      </c>
      <c r="T23" t="s">
        <v>555</v>
      </c>
      <c r="U23" t="s">
        <v>556</v>
      </c>
      <c r="V23" t="s">
        <v>557</v>
      </c>
      <c r="W23" t="s">
        <v>558</v>
      </c>
      <c r="X23" t="s">
        <v>559</v>
      </c>
      <c r="Y23" t="s">
        <v>560</v>
      </c>
      <c r="Z23" t="s">
        <v>561</v>
      </c>
      <c r="AA23" t="s">
        <v>74</v>
      </c>
      <c r="AB23" t="s">
        <v>74</v>
      </c>
      <c r="AC23" t="s">
        <v>74</v>
      </c>
      <c r="AD23" t="s">
        <v>74</v>
      </c>
      <c r="AE23" t="s">
        <v>74</v>
      </c>
      <c r="AF23" t="s">
        <v>74</v>
      </c>
      <c r="AG23">
        <v>65</v>
      </c>
      <c r="AH23">
        <v>0</v>
      </c>
      <c r="AI23">
        <v>0</v>
      </c>
      <c r="AJ23">
        <v>2</v>
      </c>
      <c r="AK23">
        <v>2</v>
      </c>
      <c r="AL23" t="s">
        <v>562</v>
      </c>
      <c r="AM23" t="s">
        <v>147</v>
      </c>
      <c r="AN23" t="s">
        <v>563</v>
      </c>
      <c r="AO23" t="s">
        <v>564</v>
      </c>
      <c r="AP23" t="s">
        <v>565</v>
      </c>
      <c r="AQ23" t="s">
        <v>74</v>
      </c>
      <c r="AR23" t="s">
        <v>566</v>
      </c>
      <c r="AS23" t="s">
        <v>567</v>
      </c>
      <c r="AT23" t="s">
        <v>544</v>
      </c>
      <c r="AU23">
        <v>2023</v>
      </c>
      <c r="AV23">
        <v>52</v>
      </c>
      <c r="AW23">
        <v>3</v>
      </c>
      <c r="AX23" t="s">
        <v>74</v>
      </c>
      <c r="AY23" t="s">
        <v>74</v>
      </c>
      <c r="AZ23" t="s">
        <v>74</v>
      </c>
      <c r="BA23" t="s">
        <v>74</v>
      </c>
      <c r="BB23">
        <v>374</v>
      </c>
      <c r="BC23">
        <v>388</v>
      </c>
      <c r="BD23" t="s">
        <v>74</v>
      </c>
      <c r="BE23" t="s">
        <v>568</v>
      </c>
      <c r="BF23" t="str">
        <f>HYPERLINK("http://dx.doi.org/10.26881/oahs-2023.3.10","http://dx.doi.org/10.26881/oahs-2023.3.10")</f>
        <v>http://dx.doi.org/10.26881/oahs-2023.3.10</v>
      </c>
      <c r="BG23" t="s">
        <v>74</v>
      </c>
      <c r="BH23" t="s">
        <v>74</v>
      </c>
      <c r="BI23">
        <v>15</v>
      </c>
      <c r="BJ23" t="s">
        <v>569</v>
      </c>
      <c r="BK23" t="s">
        <v>104</v>
      </c>
      <c r="BL23" t="s">
        <v>569</v>
      </c>
      <c r="BM23" t="s">
        <v>570</v>
      </c>
      <c r="BN23" t="s">
        <v>74</v>
      </c>
      <c r="BO23" t="s">
        <v>206</v>
      </c>
      <c r="BP23" t="s">
        <v>74</v>
      </c>
      <c r="BQ23" t="s">
        <v>74</v>
      </c>
      <c r="BR23" t="s">
        <v>107</v>
      </c>
      <c r="BS23" t="s">
        <v>571</v>
      </c>
      <c r="BT23" t="str">
        <f>HYPERLINK("https%3A%2F%2Fwww.webofscience.com%2Fwos%2Fwoscc%2Ffull-record%2FWOS:001083488700010","View Full Record in Web of Science")</f>
        <v>View Full Record in Web of Science</v>
      </c>
    </row>
    <row r="24" spans="1:72" x14ac:dyDescent="0.15">
      <c r="A24" t="s">
        <v>72</v>
      </c>
      <c r="B24" t="s">
        <v>572</v>
      </c>
      <c r="C24" t="s">
        <v>74</v>
      </c>
      <c r="D24" t="s">
        <v>74</v>
      </c>
      <c r="E24" t="s">
        <v>74</v>
      </c>
      <c r="F24" t="s">
        <v>573</v>
      </c>
      <c r="G24" t="s">
        <v>74</v>
      </c>
      <c r="H24" t="s">
        <v>74</v>
      </c>
      <c r="I24" t="s">
        <v>574</v>
      </c>
      <c r="J24" t="s">
        <v>575</v>
      </c>
      <c r="K24" t="s">
        <v>74</v>
      </c>
      <c r="L24" t="s">
        <v>74</v>
      </c>
      <c r="M24" t="s">
        <v>78</v>
      </c>
      <c r="N24" t="s">
        <v>424</v>
      </c>
      <c r="O24" t="s">
        <v>74</v>
      </c>
      <c r="P24" t="s">
        <v>74</v>
      </c>
      <c r="Q24" t="s">
        <v>74</v>
      </c>
      <c r="R24" t="s">
        <v>74</v>
      </c>
      <c r="S24" t="s">
        <v>74</v>
      </c>
      <c r="T24" t="s">
        <v>576</v>
      </c>
      <c r="U24" t="s">
        <v>577</v>
      </c>
      <c r="V24" t="s">
        <v>578</v>
      </c>
      <c r="W24" t="s">
        <v>579</v>
      </c>
      <c r="X24" t="s">
        <v>580</v>
      </c>
      <c r="Y24" t="s">
        <v>581</v>
      </c>
      <c r="Z24" t="s">
        <v>582</v>
      </c>
      <c r="AA24" t="s">
        <v>583</v>
      </c>
      <c r="AB24" t="s">
        <v>584</v>
      </c>
      <c r="AC24" t="s">
        <v>585</v>
      </c>
      <c r="AD24" t="s">
        <v>586</v>
      </c>
      <c r="AE24" t="s">
        <v>587</v>
      </c>
      <c r="AF24" t="s">
        <v>74</v>
      </c>
      <c r="AG24">
        <v>246</v>
      </c>
      <c r="AH24">
        <v>3</v>
      </c>
      <c r="AI24">
        <v>3</v>
      </c>
      <c r="AJ24">
        <v>23</v>
      </c>
      <c r="AK24">
        <v>35</v>
      </c>
      <c r="AL24" t="s">
        <v>588</v>
      </c>
      <c r="AM24" t="s">
        <v>589</v>
      </c>
      <c r="AN24" t="s">
        <v>590</v>
      </c>
      <c r="AO24" t="s">
        <v>591</v>
      </c>
      <c r="AP24" t="s">
        <v>592</v>
      </c>
      <c r="AQ24" t="s">
        <v>74</v>
      </c>
      <c r="AR24" t="s">
        <v>593</v>
      </c>
      <c r="AS24" t="s">
        <v>594</v>
      </c>
      <c r="AT24" t="s">
        <v>97</v>
      </c>
      <c r="AU24">
        <v>2023</v>
      </c>
      <c r="AV24">
        <v>61</v>
      </c>
      <c r="AW24">
        <v>3</v>
      </c>
      <c r="AX24" t="s">
        <v>74</v>
      </c>
      <c r="AY24" t="s">
        <v>74</v>
      </c>
      <c r="AZ24" t="s">
        <v>74</v>
      </c>
      <c r="BA24" t="s">
        <v>74</v>
      </c>
      <c r="BB24" t="s">
        <v>74</v>
      </c>
      <c r="BC24" t="s">
        <v>74</v>
      </c>
      <c r="BD24" t="s">
        <v>595</v>
      </c>
      <c r="BE24" t="s">
        <v>596</v>
      </c>
      <c r="BF24" t="str">
        <f>HYPERLINK("http://dx.doi.org/10.1029/2022RG000793","http://dx.doi.org/10.1029/2022RG000793")</f>
        <v>http://dx.doi.org/10.1029/2022RG000793</v>
      </c>
      <c r="BG24" t="s">
        <v>74</v>
      </c>
      <c r="BH24" t="s">
        <v>74</v>
      </c>
      <c r="BI24">
        <v>43</v>
      </c>
      <c r="BJ24" t="s">
        <v>597</v>
      </c>
      <c r="BK24" t="s">
        <v>104</v>
      </c>
      <c r="BL24" t="s">
        <v>597</v>
      </c>
      <c r="BM24" t="s">
        <v>598</v>
      </c>
      <c r="BN24" t="s">
        <v>74</v>
      </c>
      <c r="BO24" t="s">
        <v>599</v>
      </c>
      <c r="BP24" t="s">
        <v>74</v>
      </c>
      <c r="BQ24" t="s">
        <v>74</v>
      </c>
      <c r="BR24" t="s">
        <v>107</v>
      </c>
      <c r="BS24" t="s">
        <v>600</v>
      </c>
      <c r="BT24" t="str">
        <f>HYPERLINK("https%3A%2F%2Fwww.webofscience.com%2Fwos%2Fwoscc%2Ffull-record%2FWOS:001025964000001","View Full Record in Web of Science")</f>
        <v>View Full Record in Web of Science</v>
      </c>
    </row>
    <row r="25" spans="1:72" x14ac:dyDescent="0.15">
      <c r="A25" t="s">
        <v>72</v>
      </c>
      <c r="B25" t="s">
        <v>601</v>
      </c>
      <c r="C25" t="s">
        <v>74</v>
      </c>
      <c r="D25" t="s">
        <v>74</v>
      </c>
      <c r="E25" t="s">
        <v>74</v>
      </c>
      <c r="F25" t="s">
        <v>602</v>
      </c>
      <c r="G25" t="s">
        <v>74</v>
      </c>
      <c r="H25" t="s">
        <v>74</v>
      </c>
      <c r="I25" t="s">
        <v>603</v>
      </c>
      <c r="J25" t="s">
        <v>604</v>
      </c>
      <c r="K25" t="s">
        <v>74</v>
      </c>
      <c r="L25" t="s">
        <v>74</v>
      </c>
      <c r="M25" t="s">
        <v>78</v>
      </c>
      <c r="N25" t="s">
        <v>424</v>
      </c>
      <c r="O25" t="s">
        <v>74</v>
      </c>
      <c r="P25" t="s">
        <v>74</v>
      </c>
      <c r="Q25" t="s">
        <v>74</v>
      </c>
      <c r="R25" t="s">
        <v>74</v>
      </c>
      <c r="S25" t="s">
        <v>74</v>
      </c>
      <c r="T25" t="s">
        <v>605</v>
      </c>
      <c r="U25" t="s">
        <v>74</v>
      </c>
      <c r="V25" t="s">
        <v>606</v>
      </c>
      <c r="W25" t="s">
        <v>607</v>
      </c>
      <c r="X25" t="s">
        <v>608</v>
      </c>
      <c r="Y25" t="s">
        <v>609</v>
      </c>
      <c r="Z25" t="s">
        <v>610</v>
      </c>
      <c r="AA25" t="s">
        <v>74</v>
      </c>
      <c r="AB25" t="s">
        <v>74</v>
      </c>
      <c r="AC25" t="s">
        <v>611</v>
      </c>
      <c r="AD25" t="s">
        <v>612</v>
      </c>
      <c r="AE25" t="s">
        <v>613</v>
      </c>
      <c r="AF25" t="s">
        <v>74</v>
      </c>
      <c r="AG25">
        <v>77</v>
      </c>
      <c r="AH25">
        <v>0</v>
      </c>
      <c r="AI25">
        <v>0</v>
      </c>
      <c r="AJ25">
        <v>0</v>
      </c>
      <c r="AK25">
        <v>0</v>
      </c>
      <c r="AL25" t="s">
        <v>614</v>
      </c>
      <c r="AM25" t="s">
        <v>615</v>
      </c>
      <c r="AN25" t="s">
        <v>616</v>
      </c>
      <c r="AO25" t="s">
        <v>617</v>
      </c>
      <c r="AP25" t="s">
        <v>74</v>
      </c>
      <c r="AQ25" t="s">
        <v>74</v>
      </c>
      <c r="AR25" t="s">
        <v>618</v>
      </c>
      <c r="AS25" t="s">
        <v>619</v>
      </c>
      <c r="AT25" t="s">
        <v>97</v>
      </c>
      <c r="AU25">
        <v>2023</v>
      </c>
      <c r="AV25">
        <v>75</v>
      </c>
      <c r="AW25">
        <v>3</v>
      </c>
      <c r="AX25" t="s">
        <v>74</v>
      </c>
      <c r="AY25" t="s">
        <v>74</v>
      </c>
      <c r="AZ25" t="s">
        <v>74</v>
      </c>
      <c r="BA25" t="s">
        <v>74</v>
      </c>
      <c r="BB25">
        <v>303</v>
      </c>
      <c r="BC25">
        <v>314</v>
      </c>
      <c r="BD25" t="s">
        <v>74</v>
      </c>
      <c r="BE25" t="s">
        <v>74</v>
      </c>
      <c r="BF25" t="s">
        <v>74</v>
      </c>
      <c r="BG25" t="s">
        <v>74</v>
      </c>
      <c r="BH25" t="s">
        <v>74</v>
      </c>
      <c r="BI25">
        <v>12</v>
      </c>
      <c r="BJ25" t="s">
        <v>620</v>
      </c>
      <c r="BK25" t="s">
        <v>104</v>
      </c>
      <c r="BL25" t="s">
        <v>620</v>
      </c>
      <c r="BM25" t="s">
        <v>621</v>
      </c>
      <c r="BN25" t="s">
        <v>74</v>
      </c>
      <c r="BO25" t="s">
        <v>74</v>
      </c>
      <c r="BP25" t="s">
        <v>74</v>
      </c>
      <c r="BQ25" t="s">
        <v>74</v>
      </c>
      <c r="BR25" t="s">
        <v>107</v>
      </c>
      <c r="BS25" t="s">
        <v>622</v>
      </c>
      <c r="BT25" t="str">
        <f>HYPERLINK("https%3A%2F%2Fwww.webofscience.com%2Fwos%2Fwoscc%2Ffull-record%2FWOS:001080850500001","View Full Record in Web of Science")</f>
        <v>View Full Record in Web of Science</v>
      </c>
    </row>
    <row r="26" spans="1:72" x14ac:dyDescent="0.15">
      <c r="A26" t="s">
        <v>72</v>
      </c>
      <c r="B26" t="s">
        <v>623</v>
      </c>
      <c r="C26" t="s">
        <v>74</v>
      </c>
      <c r="D26" t="s">
        <v>74</v>
      </c>
      <c r="E26" t="s">
        <v>74</v>
      </c>
      <c r="F26" t="s">
        <v>624</v>
      </c>
      <c r="G26" t="s">
        <v>74</v>
      </c>
      <c r="H26" t="s">
        <v>74</v>
      </c>
      <c r="I26" t="s">
        <v>625</v>
      </c>
      <c r="J26" t="s">
        <v>604</v>
      </c>
      <c r="K26" t="s">
        <v>74</v>
      </c>
      <c r="L26" t="s">
        <v>74</v>
      </c>
      <c r="M26" t="s">
        <v>78</v>
      </c>
      <c r="N26" t="s">
        <v>79</v>
      </c>
      <c r="O26" t="s">
        <v>74</v>
      </c>
      <c r="P26" t="s">
        <v>74</v>
      </c>
      <c r="Q26" t="s">
        <v>74</v>
      </c>
      <c r="R26" t="s">
        <v>74</v>
      </c>
      <c r="S26" t="s">
        <v>74</v>
      </c>
      <c r="T26" t="s">
        <v>626</v>
      </c>
      <c r="U26" t="s">
        <v>74</v>
      </c>
      <c r="V26" t="s">
        <v>627</v>
      </c>
      <c r="W26" t="s">
        <v>628</v>
      </c>
      <c r="X26" t="s">
        <v>629</v>
      </c>
      <c r="Y26" t="s">
        <v>630</v>
      </c>
      <c r="Z26" t="s">
        <v>631</v>
      </c>
      <c r="AA26" t="s">
        <v>632</v>
      </c>
      <c r="AB26" t="s">
        <v>633</v>
      </c>
      <c r="AC26" t="s">
        <v>634</v>
      </c>
      <c r="AD26" t="s">
        <v>635</v>
      </c>
      <c r="AE26" t="s">
        <v>636</v>
      </c>
      <c r="AF26" t="s">
        <v>74</v>
      </c>
      <c r="AG26">
        <v>5</v>
      </c>
      <c r="AH26">
        <v>0</v>
      </c>
      <c r="AI26">
        <v>0</v>
      </c>
      <c r="AJ26">
        <v>1</v>
      </c>
      <c r="AK26">
        <v>1</v>
      </c>
      <c r="AL26" t="s">
        <v>614</v>
      </c>
      <c r="AM26" t="s">
        <v>615</v>
      </c>
      <c r="AN26" t="s">
        <v>616</v>
      </c>
      <c r="AO26" t="s">
        <v>617</v>
      </c>
      <c r="AP26" t="s">
        <v>74</v>
      </c>
      <c r="AQ26" t="s">
        <v>74</v>
      </c>
      <c r="AR26" t="s">
        <v>618</v>
      </c>
      <c r="AS26" t="s">
        <v>619</v>
      </c>
      <c r="AT26" t="s">
        <v>97</v>
      </c>
      <c r="AU26">
        <v>2023</v>
      </c>
      <c r="AV26">
        <v>75</v>
      </c>
      <c r="AW26">
        <v>3</v>
      </c>
      <c r="AX26" t="s">
        <v>74</v>
      </c>
      <c r="AY26" t="s">
        <v>74</v>
      </c>
      <c r="AZ26" t="s">
        <v>74</v>
      </c>
      <c r="BA26" t="s">
        <v>74</v>
      </c>
      <c r="BB26">
        <v>445</v>
      </c>
      <c r="BC26">
        <v>447</v>
      </c>
      <c r="BD26" t="s">
        <v>74</v>
      </c>
      <c r="BE26" t="s">
        <v>74</v>
      </c>
      <c r="BF26" t="s">
        <v>74</v>
      </c>
      <c r="BG26" t="s">
        <v>74</v>
      </c>
      <c r="BH26" t="s">
        <v>74</v>
      </c>
      <c r="BI26">
        <v>3</v>
      </c>
      <c r="BJ26" t="s">
        <v>620</v>
      </c>
      <c r="BK26" t="s">
        <v>104</v>
      </c>
      <c r="BL26" t="s">
        <v>620</v>
      </c>
      <c r="BM26" t="s">
        <v>621</v>
      </c>
      <c r="BN26" t="s">
        <v>74</v>
      </c>
      <c r="BO26" t="s">
        <v>74</v>
      </c>
      <c r="BP26" t="s">
        <v>74</v>
      </c>
      <c r="BQ26" t="s">
        <v>74</v>
      </c>
      <c r="BR26" t="s">
        <v>107</v>
      </c>
      <c r="BS26" t="s">
        <v>637</v>
      </c>
      <c r="BT26" t="str">
        <f>HYPERLINK("https%3A%2F%2Fwww.webofscience.com%2Fwos%2Fwoscc%2Ffull-record%2FWOS:001080850500016","View Full Record in Web of Science")</f>
        <v>View Full Record in Web of Science</v>
      </c>
    </row>
    <row r="27" spans="1:72" x14ac:dyDescent="0.15">
      <c r="A27" t="s">
        <v>72</v>
      </c>
      <c r="B27" t="s">
        <v>638</v>
      </c>
      <c r="C27" t="s">
        <v>74</v>
      </c>
      <c r="D27" t="s">
        <v>74</v>
      </c>
      <c r="E27" t="s">
        <v>74</v>
      </c>
      <c r="F27" t="s">
        <v>639</v>
      </c>
      <c r="G27" t="s">
        <v>74</v>
      </c>
      <c r="H27" t="s">
        <v>74</v>
      </c>
      <c r="I27" t="s">
        <v>640</v>
      </c>
      <c r="J27" t="s">
        <v>641</v>
      </c>
      <c r="K27" t="s">
        <v>74</v>
      </c>
      <c r="L27" t="s">
        <v>74</v>
      </c>
      <c r="M27" t="s">
        <v>78</v>
      </c>
      <c r="N27" t="s">
        <v>79</v>
      </c>
      <c r="O27" t="s">
        <v>74</v>
      </c>
      <c r="P27" t="s">
        <v>74</v>
      </c>
      <c r="Q27" t="s">
        <v>74</v>
      </c>
      <c r="R27" t="s">
        <v>74</v>
      </c>
      <c r="S27" t="s">
        <v>74</v>
      </c>
      <c r="T27" t="s">
        <v>642</v>
      </c>
      <c r="U27" t="s">
        <v>643</v>
      </c>
      <c r="V27" t="s">
        <v>644</v>
      </c>
      <c r="W27" t="s">
        <v>645</v>
      </c>
      <c r="X27" t="s">
        <v>646</v>
      </c>
      <c r="Y27" t="s">
        <v>647</v>
      </c>
      <c r="Z27" t="s">
        <v>648</v>
      </c>
      <c r="AA27" t="s">
        <v>74</v>
      </c>
      <c r="AB27" t="s">
        <v>74</v>
      </c>
      <c r="AC27" t="s">
        <v>649</v>
      </c>
      <c r="AD27" t="s">
        <v>650</v>
      </c>
      <c r="AE27" t="s">
        <v>651</v>
      </c>
      <c r="AF27" t="s">
        <v>74</v>
      </c>
      <c r="AG27">
        <v>95</v>
      </c>
      <c r="AH27">
        <v>0</v>
      </c>
      <c r="AI27">
        <v>0</v>
      </c>
      <c r="AJ27">
        <v>2</v>
      </c>
      <c r="AK27">
        <v>2</v>
      </c>
      <c r="AL27" t="s">
        <v>460</v>
      </c>
      <c r="AM27" t="s">
        <v>461</v>
      </c>
      <c r="AN27" t="s">
        <v>462</v>
      </c>
      <c r="AO27" t="s">
        <v>652</v>
      </c>
      <c r="AP27" t="s">
        <v>74</v>
      </c>
      <c r="AQ27" t="s">
        <v>74</v>
      </c>
      <c r="AR27" t="s">
        <v>653</v>
      </c>
      <c r="AS27" t="s">
        <v>654</v>
      </c>
      <c r="AT27" t="s">
        <v>97</v>
      </c>
      <c r="AU27">
        <v>2023</v>
      </c>
      <c r="AV27">
        <v>13</v>
      </c>
      <c r="AW27">
        <v>9</v>
      </c>
      <c r="AX27" t="s">
        <v>74</v>
      </c>
      <c r="AY27" t="s">
        <v>74</v>
      </c>
      <c r="AZ27" t="s">
        <v>74</v>
      </c>
      <c r="BA27" t="s">
        <v>74</v>
      </c>
      <c r="BB27" t="s">
        <v>74</v>
      </c>
      <c r="BC27" t="s">
        <v>74</v>
      </c>
      <c r="BD27" t="s">
        <v>655</v>
      </c>
      <c r="BE27" t="s">
        <v>656</v>
      </c>
      <c r="BF27" t="str">
        <f>HYPERLINK("http://dx.doi.org/10.1002/ece3.10515","http://dx.doi.org/10.1002/ece3.10515")</f>
        <v>http://dx.doi.org/10.1002/ece3.10515</v>
      </c>
      <c r="BG27" t="s">
        <v>74</v>
      </c>
      <c r="BH27" t="s">
        <v>74</v>
      </c>
      <c r="BI27">
        <v>22</v>
      </c>
      <c r="BJ27" t="s">
        <v>657</v>
      </c>
      <c r="BK27" t="s">
        <v>104</v>
      </c>
      <c r="BL27" t="s">
        <v>658</v>
      </c>
      <c r="BM27" t="s">
        <v>659</v>
      </c>
      <c r="BN27">
        <v>37780535</v>
      </c>
      <c r="BO27" t="s">
        <v>181</v>
      </c>
      <c r="BP27" t="s">
        <v>74</v>
      </c>
      <c r="BQ27" t="s">
        <v>74</v>
      </c>
      <c r="BR27" t="s">
        <v>107</v>
      </c>
      <c r="BS27" t="s">
        <v>660</v>
      </c>
      <c r="BT27" t="str">
        <f>HYPERLINK("https%3A%2F%2Fwww.webofscience.com%2Fwos%2Fwoscc%2Ffull-record%2FWOS:001074493300001","View Full Record in Web of Science")</f>
        <v>View Full Record in Web of Science</v>
      </c>
    </row>
    <row r="28" spans="1:72" x14ac:dyDescent="0.15">
      <c r="A28" t="s">
        <v>72</v>
      </c>
      <c r="B28" t="s">
        <v>661</v>
      </c>
      <c r="C28" t="s">
        <v>74</v>
      </c>
      <c r="D28" t="s">
        <v>74</v>
      </c>
      <c r="E28" t="s">
        <v>74</v>
      </c>
      <c r="F28" t="s">
        <v>662</v>
      </c>
      <c r="G28" t="s">
        <v>74</v>
      </c>
      <c r="H28" t="s">
        <v>74</v>
      </c>
      <c r="I28" t="s">
        <v>663</v>
      </c>
      <c r="J28" t="s">
        <v>664</v>
      </c>
      <c r="K28" t="s">
        <v>74</v>
      </c>
      <c r="L28" t="s">
        <v>74</v>
      </c>
      <c r="M28" t="s">
        <v>665</v>
      </c>
      <c r="N28" t="s">
        <v>79</v>
      </c>
      <c r="O28" t="s">
        <v>74</v>
      </c>
      <c r="P28" t="s">
        <v>74</v>
      </c>
      <c r="Q28" t="s">
        <v>74</v>
      </c>
      <c r="R28" t="s">
        <v>74</v>
      </c>
      <c r="S28" t="s">
        <v>74</v>
      </c>
      <c r="T28" t="s">
        <v>666</v>
      </c>
      <c r="U28" t="s">
        <v>667</v>
      </c>
      <c r="V28" t="s">
        <v>668</v>
      </c>
      <c r="W28" t="s">
        <v>669</v>
      </c>
      <c r="X28" t="s">
        <v>670</v>
      </c>
      <c r="Y28" t="s">
        <v>671</v>
      </c>
      <c r="Z28" t="s">
        <v>672</v>
      </c>
      <c r="AA28" t="s">
        <v>673</v>
      </c>
      <c r="AB28" t="s">
        <v>74</v>
      </c>
      <c r="AC28" t="s">
        <v>74</v>
      </c>
      <c r="AD28" t="s">
        <v>74</v>
      </c>
      <c r="AE28" t="s">
        <v>74</v>
      </c>
      <c r="AF28" t="s">
        <v>74</v>
      </c>
      <c r="AG28">
        <v>33</v>
      </c>
      <c r="AH28">
        <v>0</v>
      </c>
      <c r="AI28">
        <v>0</v>
      </c>
      <c r="AJ28">
        <v>0</v>
      </c>
      <c r="AK28">
        <v>0</v>
      </c>
      <c r="AL28" t="s">
        <v>674</v>
      </c>
      <c r="AM28" t="s">
        <v>675</v>
      </c>
      <c r="AN28" t="s">
        <v>676</v>
      </c>
      <c r="AO28" t="s">
        <v>677</v>
      </c>
      <c r="AP28" t="s">
        <v>74</v>
      </c>
      <c r="AQ28" t="s">
        <v>74</v>
      </c>
      <c r="AR28" t="s">
        <v>678</v>
      </c>
      <c r="AS28" t="s">
        <v>679</v>
      </c>
      <c r="AT28" t="s">
        <v>97</v>
      </c>
      <c r="AU28">
        <v>2023</v>
      </c>
      <c r="AV28">
        <v>43</v>
      </c>
      <c r="AW28">
        <v>18</v>
      </c>
      <c r="AX28" t="s">
        <v>74</v>
      </c>
      <c r="AY28" t="s">
        <v>74</v>
      </c>
      <c r="AZ28" t="s">
        <v>74</v>
      </c>
      <c r="BA28" t="s">
        <v>74</v>
      </c>
      <c r="BB28" t="s">
        <v>74</v>
      </c>
      <c r="BC28" t="s">
        <v>74</v>
      </c>
      <c r="BD28">
        <v>1812005</v>
      </c>
      <c r="BE28" t="s">
        <v>680</v>
      </c>
      <c r="BF28" t="str">
        <f>HYPERLINK("http://dx.doi.org/10.3788/AOS222106","http://dx.doi.org/10.3788/AOS222106")</f>
        <v>http://dx.doi.org/10.3788/AOS222106</v>
      </c>
      <c r="BG28" t="s">
        <v>74</v>
      </c>
      <c r="BH28" t="s">
        <v>74</v>
      </c>
      <c r="BI28">
        <v>12</v>
      </c>
      <c r="BJ28" t="s">
        <v>681</v>
      </c>
      <c r="BK28" t="s">
        <v>518</v>
      </c>
      <c r="BL28" t="s">
        <v>681</v>
      </c>
      <c r="BM28" t="s">
        <v>682</v>
      </c>
      <c r="BN28" t="s">
        <v>74</v>
      </c>
      <c r="BO28" t="s">
        <v>74</v>
      </c>
      <c r="BP28" t="s">
        <v>74</v>
      </c>
      <c r="BQ28" t="s">
        <v>74</v>
      </c>
      <c r="BR28" t="s">
        <v>107</v>
      </c>
      <c r="BS28" t="s">
        <v>683</v>
      </c>
      <c r="BT28" t="str">
        <f>HYPERLINK("https%3A%2F%2Fwww.webofscience.com%2Fwos%2Fwoscc%2Ffull-record%2FWOS:001063844200011","View Full Record in Web of Science")</f>
        <v>View Full Record in Web of Science</v>
      </c>
    </row>
    <row r="29" spans="1:72" x14ac:dyDescent="0.15">
      <c r="A29" t="s">
        <v>72</v>
      </c>
      <c r="B29" t="s">
        <v>684</v>
      </c>
      <c r="C29" t="s">
        <v>74</v>
      </c>
      <c r="D29" t="s">
        <v>74</v>
      </c>
      <c r="E29" t="s">
        <v>74</v>
      </c>
      <c r="F29" t="s">
        <v>685</v>
      </c>
      <c r="G29" t="s">
        <v>74</v>
      </c>
      <c r="H29" t="s">
        <v>74</v>
      </c>
      <c r="I29" t="s">
        <v>686</v>
      </c>
      <c r="J29" t="s">
        <v>687</v>
      </c>
      <c r="K29" t="s">
        <v>74</v>
      </c>
      <c r="L29" t="s">
        <v>74</v>
      </c>
      <c r="M29" t="s">
        <v>78</v>
      </c>
      <c r="N29" t="s">
        <v>79</v>
      </c>
      <c r="O29" t="s">
        <v>74</v>
      </c>
      <c r="P29" t="s">
        <v>74</v>
      </c>
      <c r="Q29" t="s">
        <v>74</v>
      </c>
      <c r="R29" t="s">
        <v>74</v>
      </c>
      <c r="S29" t="s">
        <v>74</v>
      </c>
      <c r="T29" t="s">
        <v>688</v>
      </c>
      <c r="U29" t="s">
        <v>689</v>
      </c>
      <c r="V29" t="s">
        <v>690</v>
      </c>
      <c r="W29" t="s">
        <v>691</v>
      </c>
      <c r="X29" t="s">
        <v>692</v>
      </c>
      <c r="Y29" t="s">
        <v>693</v>
      </c>
      <c r="Z29" t="s">
        <v>694</v>
      </c>
      <c r="AA29" t="s">
        <v>74</v>
      </c>
      <c r="AB29" t="s">
        <v>695</v>
      </c>
      <c r="AC29" t="s">
        <v>696</v>
      </c>
      <c r="AD29" t="s">
        <v>697</v>
      </c>
      <c r="AE29" t="s">
        <v>698</v>
      </c>
      <c r="AF29" t="s">
        <v>74</v>
      </c>
      <c r="AG29">
        <v>51</v>
      </c>
      <c r="AH29">
        <v>0</v>
      </c>
      <c r="AI29">
        <v>0</v>
      </c>
      <c r="AJ29">
        <v>5</v>
      </c>
      <c r="AK29">
        <v>5</v>
      </c>
      <c r="AL29" t="s">
        <v>369</v>
      </c>
      <c r="AM29" t="s">
        <v>370</v>
      </c>
      <c r="AN29" t="s">
        <v>371</v>
      </c>
      <c r="AO29" t="s">
        <v>74</v>
      </c>
      <c r="AP29" t="s">
        <v>699</v>
      </c>
      <c r="AQ29" t="s">
        <v>74</v>
      </c>
      <c r="AR29" t="s">
        <v>687</v>
      </c>
      <c r="AS29" t="s">
        <v>700</v>
      </c>
      <c r="AT29" t="s">
        <v>97</v>
      </c>
      <c r="AU29">
        <v>2023</v>
      </c>
      <c r="AV29">
        <v>11</v>
      </c>
      <c r="AW29">
        <v>9</v>
      </c>
      <c r="AX29" t="s">
        <v>74</v>
      </c>
      <c r="AY29" t="s">
        <v>74</v>
      </c>
      <c r="AZ29" t="s">
        <v>74</v>
      </c>
      <c r="BA29" t="s">
        <v>74</v>
      </c>
      <c r="BB29" t="s">
        <v>74</v>
      </c>
      <c r="BC29" t="s">
        <v>74</v>
      </c>
      <c r="BD29">
        <v>2281</v>
      </c>
      <c r="BE29" t="s">
        <v>701</v>
      </c>
      <c r="BF29" t="str">
        <f>HYPERLINK("http://dx.doi.org/10.3390/microorganisms11092281","http://dx.doi.org/10.3390/microorganisms11092281")</f>
        <v>http://dx.doi.org/10.3390/microorganisms11092281</v>
      </c>
      <c r="BG29" t="s">
        <v>74</v>
      </c>
      <c r="BH29" t="s">
        <v>74</v>
      </c>
      <c r="BI29">
        <v>15</v>
      </c>
      <c r="BJ29" t="s">
        <v>702</v>
      </c>
      <c r="BK29" t="s">
        <v>104</v>
      </c>
      <c r="BL29" t="s">
        <v>702</v>
      </c>
      <c r="BM29" t="s">
        <v>703</v>
      </c>
      <c r="BN29">
        <v>37764125</v>
      </c>
      <c r="BO29" t="s">
        <v>181</v>
      </c>
      <c r="BP29" t="s">
        <v>74</v>
      </c>
      <c r="BQ29" t="s">
        <v>74</v>
      </c>
      <c r="BR29" t="s">
        <v>107</v>
      </c>
      <c r="BS29" t="s">
        <v>704</v>
      </c>
      <c r="BT29" t="str">
        <f>HYPERLINK("https%3A%2F%2Fwww.webofscience.com%2Fwos%2Fwoscc%2Ffull-record%2FWOS:001076783100001","View Full Record in Web of Science")</f>
        <v>View Full Record in Web of Science</v>
      </c>
    </row>
    <row r="30" spans="1:72" x14ac:dyDescent="0.15">
      <c r="A30" t="s">
        <v>72</v>
      </c>
      <c r="B30" t="s">
        <v>705</v>
      </c>
      <c r="C30" t="s">
        <v>74</v>
      </c>
      <c r="D30" t="s">
        <v>74</v>
      </c>
      <c r="E30" t="s">
        <v>74</v>
      </c>
      <c r="F30" t="s">
        <v>706</v>
      </c>
      <c r="G30" t="s">
        <v>74</v>
      </c>
      <c r="H30" t="s">
        <v>74</v>
      </c>
      <c r="I30" t="s">
        <v>707</v>
      </c>
      <c r="J30" t="s">
        <v>708</v>
      </c>
      <c r="K30" t="s">
        <v>74</v>
      </c>
      <c r="L30" t="s">
        <v>74</v>
      </c>
      <c r="M30" t="s">
        <v>78</v>
      </c>
      <c r="N30" t="s">
        <v>79</v>
      </c>
      <c r="O30" t="s">
        <v>74</v>
      </c>
      <c r="P30" t="s">
        <v>74</v>
      </c>
      <c r="Q30" t="s">
        <v>74</v>
      </c>
      <c r="R30" t="s">
        <v>74</v>
      </c>
      <c r="S30" t="s">
        <v>74</v>
      </c>
      <c r="T30" t="s">
        <v>709</v>
      </c>
      <c r="U30" t="s">
        <v>710</v>
      </c>
      <c r="V30" t="s">
        <v>711</v>
      </c>
      <c r="W30" t="s">
        <v>712</v>
      </c>
      <c r="X30" t="s">
        <v>713</v>
      </c>
      <c r="Y30" t="s">
        <v>714</v>
      </c>
      <c r="Z30" t="s">
        <v>715</v>
      </c>
      <c r="AA30" t="s">
        <v>74</v>
      </c>
      <c r="AB30" t="s">
        <v>716</v>
      </c>
      <c r="AC30" t="s">
        <v>717</v>
      </c>
      <c r="AD30" t="s">
        <v>718</v>
      </c>
      <c r="AE30" t="s">
        <v>719</v>
      </c>
      <c r="AF30" t="s">
        <v>74</v>
      </c>
      <c r="AG30">
        <v>42</v>
      </c>
      <c r="AH30">
        <v>2</v>
      </c>
      <c r="AI30">
        <v>2</v>
      </c>
      <c r="AJ30">
        <v>9</v>
      </c>
      <c r="AK30">
        <v>9</v>
      </c>
      <c r="AL30" t="s">
        <v>369</v>
      </c>
      <c r="AM30" t="s">
        <v>370</v>
      </c>
      <c r="AN30" t="s">
        <v>371</v>
      </c>
      <c r="AO30" t="s">
        <v>74</v>
      </c>
      <c r="AP30" t="s">
        <v>720</v>
      </c>
      <c r="AQ30" t="s">
        <v>74</v>
      </c>
      <c r="AR30" t="s">
        <v>721</v>
      </c>
      <c r="AS30" t="s">
        <v>722</v>
      </c>
      <c r="AT30" t="s">
        <v>97</v>
      </c>
      <c r="AU30">
        <v>2023</v>
      </c>
      <c r="AV30">
        <v>15</v>
      </c>
      <c r="AW30">
        <v>18</v>
      </c>
      <c r="AX30" t="s">
        <v>74</v>
      </c>
      <c r="AY30" t="s">
        <v>74</v>
      </c>
      <c r="AZ30" t="s">
        <v>74</v>
      </c>
      <c r="BA30" t="s">
        <v>74</v>
      </c>
      <c r="BB30" t="s">
        <v>74</v>
      </c>
      <c r="BC30" t="s">
        <v>74</v>
      </c>
      <c r="BD30">
        <v>4399</v>
      </c>
      <c r="BE30" t="s">
        <v>723</v>
      </c>
      <c r="BF30" t="str">
        <f>HYPERLINK("http://dx.doi.org/10.3390/rs15184399","http://dx.doi.org/10.3390/rs15184399")</f>
        <v>http://dx.doi.org/10.3390/rs15184399</v>
      </c>
      <c r="BG30" t="s">
        <v>74</v>
      </c>
      <c r="BH30" t="s">
        <v>74</v>
      </c>
      <c r="BI30">
        <v>20</v>
      </c>
      <c r="BJ30" t="s">
        <v>724</v>
      </c>
      <c r="BK30" t="s">
        <v>104</v>
      </c>
      <c r="BL30" t="s">
        <v>725</v>
      </c>
      <c r="BM30" t="s">
        <v>726</v>
      </c>
      <c r="BN30" t="s">
        <v>74</v>
      </c>
      <c r="BO30" t="s">
        <v>206</v>
      </c>
      <c r="BP30" t="s">
        <v>74</v>
      </c>
      <c r="BQ30" t="s">
        <v>74</v>
      </c>
      <c r="BR30" t="s">
        <v>107</v>
      </c>
      <c r="BS30" t="s">
        <v>727</v>
      </c>
      <c r="BT30" t="str">
        <f>HYPERLINK("https%3A%2F%2Fwww.webofscience.com%2Fwos%2Fwoscc%2Ffull-record%2FWOS:001078822000001","View Full Record in Web of Science")</f>
        <v>View Full Record in Web of Science</v>
      </c>
    </row>
    <row r="31" spans="1:72" x14ac:dyDescent="0.15">
      <c r="A31" t="s">
        <v>72</v>
      </c>
      <c r="B31" t="s">
        <v>728</v>
      </c>
      <c r="C31" t="s">
        <v>74</v>
      </c>
      <c r="D31" t="s">
        <v>74</v>
      </c>
      <c r="E31" t="s">
        <v>74</v>
      </c>
      <c r="F31" t="s">
        <v>729</v>
      </c>
      <c r="G31" t="s">
        <v>74</v>
      </c>
      <c r="H31" t="s">
        <v>74</v>
      </c>
      <c r="I31" t="s">
        <v>730</v>
      </c>
      <c r="J31" t="s">
        <v>731</v>
      </c>
      <c r="K31" t="s">
        <v>74</v>
      </c>
      <c r="L31" t="s">
        <v>74</v>
      </c>
      <c r="M31" t="s">
        <v>78</v>
      </c>
      <c r="N31" t="s">
        <v>79</v>
      </c>
      <c r="O31" t="s">
        <v>74</v>
      </c>
      <c r="P31" t="s">
        <v>74</v>
      </c>
      <c r="Q31" t="s">
        <v>74</v>
      </c>
      <c r="R31" t="s">
        <v>74</v>
      </c>
      <c r="S31" t="s">
        <v>74</v>
      </c>
      <c r="T31" t="s">
        <v>732</v>
      </c>
      <c r="U31" t="s">
        <v>733</v>
      </c>
      <c r="V31" t="s">
        <v>734</v>
      </c>
      <c r="W31" t="s">
        <v>735</v>
      </c>
      <c r="X31" t="s">
        <v>736</v>
      </c>
      <c r="Y31" t="s">
        <v>737</v>
      </c>
      <c r="Z31" t="s">
        <v>738</v>
      </c>
      <c r="AA31" t="s">
        <v>74</v>
      </c>
      <c r="AB31" t="s">
        <v>739</v>
      </c>
      <c r="AC31" t="s">
        <v>740</v>
      </c>
      <c r="AD31" t="s">
        <v>740</v>
      </c>
      <c r="AE31" t="s">
        <v>741</v>
      </c>
      <c r="AF31" t="s">
        <v>74</v>
      </c>
      <c r="AG31">
        <v>50</v>
      </c>
      <c r="AH31">
        <v>0</v>
      </c>
      <c r="AI31">
        <v>0</v>
      </c>
      <c r="AJ31">
        <v>2</v>
      </c>
      <c r="AK31">
        <v>2</v>
      </c>
      <c r="AL31" t="s">
        <v>742</v>
      </c>
      <c r="AM31" t="s">
        <v>743</v>
      </c>
      <c r="AN31" t="s">
        <v>744</v>
      </c>
      <c r="AO31" t="s">
        <v>745</v>
      </c>
      <c r="AP31" t="s">
        <v>74</v>
      </c>
      <c r="AQ31" t="s">
        <v>74</v>
      </c>
      <c r="AR31" t="s">
        <v>746</v>
      </c>
      <c r="AS31" t="s">
        <v>747</v>
      </c>
      <c r="AT31" t="s">
        <v>97</v>
      </c>
      <c r="AU31">
        <v>2023</v>
      </c>
      <c r="AV31">
        <v>18</v>
      </c>
      <c r="AW31">
        <v>2</v>
      </c>
      <c r="AX31" t="s">
        <v>74</v>
      </c>
      <c r="AY31" t="s">
        <v>74</v>
      </c>
      <c r="AZ31" t="s">
        <v>74</v>
      </c>
      <c r="BA31" t="s">
        <v>74</v>
      </c>
      <c r="BB31" t="s">
        <v>74</v>
      </c>
      <c r="BC31" t="s">
        <v>74</v>
      </c>
      <c r="BD31">
        <v>6</v>
      </c>
      <c r="BE31" t="s">
        <v>748</v>
      </c>
      <c r="BF31" t="str">
        <f>HYPERLINK("http://dx.doi.org/10.5751/ACE-02496-180206","http://dx.doi.org/10.5751/ACE-02496-180206")</f>
        <v>http://dx.doi.org/10.5751/ACE-02496-180206</v>
      </c>
      <c r="BG31" t="s">
        <v>74</v>
      </c>
      <c r="BH31" t="s">
        <v>74</v>
      </c>
      <c r="BI31">
        <v>10</v>
      </c>
      <c r="BJ31" t="s">
        <v>749</v>
      </c>
      <c r="BK31" t="s">
        <v>104</v>
      </c>
      <c r="BL31" t="s">
        <v>750</v>
      </c>
      <c r="BM31" t="s">
        <v>751</v>
      </c>
      <c r="BN31" t="s">
        <v>74</v>
      </c>
      <c r="BO31" t="s">
        <v>206</v>
      </c>
      <c r="BP31" t="s">
        <v>74</v>
      </c>
      <c r="BQ31" t="s">
        <v>74</v>
      </c>
      <c r="BR31" t="s">
        <v>107</v>
      </c>
      <c r="BS31" t="s">
        <v>752</v>
      </c>
      <c r="BT31" t="str">
        <f>HYPERLINK("https%3A%2F%2Fwww.webofscience.com%2Fwos%2Fwoscc%2Ffull-record%2FWOS:001075707500001","View Full Record in Web of Science")</f>
        <v>View Full Record in Web of Science</v>
      </c>
    </row>
    <row r="32" spans="1:72" x14ac:dyDescent="0.15">
      <c r="A32" t="s">
        <v>72</v>
      </c>
      <c r="B32" t="s">
        <v>753</v>
      </c>
      <c r="C32" t="s">
        <v>74</v>
      </c>
      <c r="D32" t="s">
        <v>74</v>
      </c>
      <c r="E32" t="s">
        <v>74</v>
      </c>
      <c r="F32" t="s">
        <v>754</v>
      </c>
      <c r="G32" t="s">
        <v>74</v>
      </c>
      <c r="H32" t="s">
        <v>74</v>
      </c>
      <c r="I32" t="s">
        <v>755</v>
      </c>
      <c r="J32" t="s">
        <v>756</v>
      </c>
      <c r="K32" t="s">
        <v>74</v>
      </c>
      <c r="L32" t="s">
        <v>74</v>
      </c>
      <c r="M32" t="s">
        <v>78</v>
      </c>
      <c r="N32" t="s">
        <v>424</v>
      </c>
      <c r="O32" t="s">
        <v>74</v>
      </c>
      <c r="P32" t="s">
        <v>74</v>
      </c>
      <c r="Q32" t="s">
        <v>74</v>
      </c>
      <c r="R32" t="s">
        <v>74</v>
      </c>
      <c r="S32" t="s">
        <v>74</v>
      </c>
      <c r="T32" t="s">
        <v>757</v>
      </c>
      <c r="U32" t="s">
        <v>758</v>
      </c>
      <c r="V32" t="s">
        <v>759</v>
      </c>
      <c r="W32" t="s">
        <v>760</v>
      </c>
      <c r="X32" t="s">
        <v>761</v>
      </c>
      <c r="Y32" t="s">
        <v>762</v>
      </c>
      <c r="Z32" t="s">
        <v>763</v>
      </c>
      <c r="AA32" t="s">
        <v>74</v>
      </c>
      <c r="AB32" t="s">
        <v>764</v>
      </c>
      <c r="AC32" t="s">
        <v>765</v>
      </c>
      <c r="AD32" t="s">
        <v>765</v>
      </c>
      <c r="AE32" t="s">
        <v>766</v>
      </c>
      <c r="AF32" t="s">
        <v>74</v>
      </c>
      <c r="AG32">
        <v>31</v>
      </c>
      <c r="AH32">
        <v>0</v>
      </c>
      <c r="AI32">
        <v>0</v>
      </c>
      <c r="AJ32">
        <v>2</v>
      </c>
      <c r="AK32">
        <v>2</v>
      </c>
      <c r="AL32" t="s">
        <v>369</v>
      </c>
      <c r="AM32" t="s">
        <v>370</v>
      </c>
      <c r="AN32" t="s">
        <v>371</v>
      </c>
      <c r="AO32" t="s">
        <v>74</v>
      </c>
      <c r="AP32" t="s">
        <v>767</v>
      </c>
      <c r="AQ32" t="s">
        <v>74</v>
      </c>
      <c r="AR32" t="s">
        <v>756</v>
      </c>
      <c r="AS32" t="s">
        <v>768</v>
      </c>
      <c r="AT32" t="s">
        <v>97</v>
      </c>
      <c r="AU32">
        <v>2023</v>
      </c>
      <c r="AV32">
        <v>11</v>
      </c>
      <c r="AW32">
        <v>9</v>
      </c>
      <c r="AX32" t="s">
        <v>74</v>
      </c>
      <c r="AY32" t="s">
        <v>74</v>
      </c>
      <c r="AZ32" t="s">
        <v>74</v>
      </c>
      <c r="BA32" t="s">
        <v>74</v>
      </c>
      <c r="BB32" t="s">
        <v>74</v>
      </c>
      <c r="BC32" t="s">
        <v>74</v>
      </c>
      <c r="BD32">
        <v>195</v>
      </c>
      <c r="BE32" t="s">
        <v>769</v>
      </c>
      <c r="BF32" t="str">
        <f>HYPERLINK("http://dx.doi.org/10.3390/cli11090195","http://dx.doi.org/10.3390/cli11090195")</f>
        <v>http://dx.doi.org/10.3390/cli11090195</v>
      </c>
      <c r="BG32" t="s">
        <v>74</v>
      </c>
      <c r="BH32" t="s">
        <v>74</v>
      </c>
      <c r="BI32">
        <v>9</v>
      </c>
      <c r="BJ32" t="s">
        <v>103</v>
      </c>
      <c r="BK32" t="s">
        <v>518</v>
      </c>
      <c r="BL32" t="s">
        <v>103</v>
      </c>
      <c r="BM32" t="s">
        <v>770</v>
      </c>
      <c r="BN32" t="s">
        <v>74</v>
      </c>
      <c r="BO32" t="s">
        <v>771</v>
      </c>
      <c r="BP32" t="s">
        <v>74</v>
      </c>
      <c r="BQ32" t="s">
        <v>74</v>
      </c>
      <c r="BR32" t="s">
        <v>107</v>
      </c>
      <c r="BS32" t="s">
        <v>772</v>
      </c>
      <c r="BT32" t="str">
        <f>HYPERLINK("https%3A%2F%2Fwww.webofscience.com%2Fwos%2Fwoscc%2Ffull-record%2FWOS:001071278900001","View Full Record in Web of Science")</f>
        <v>View Full Record in Web of Science</v>
      </c>
    </row>
    <row r="33" spans="1:72" x14ac:dyDescent="0.15">
      <c r="A33" t="s">
        <v>72</v>
      </c>
      <c r="B33" t="s">
        <v>773</v>
      </c>
      <c r="C33" t="s">
        <v>74</v>
      </c>
      <c r="D33" t="s">
        <v>74</v>
      </c>
      <c r="E33" t="s">
        <v>74</v>
      </c>
      <c r="F33" t="s">
        <v>774</v>
      </c>
      <c r="G33" t="s">
        <v>74</v>
      </c>
      <c r="H33" t="s">
        <v>74</v>
      </c>
      <c r="I33" t="s">
        <v>775</v>
      </c>
      <c r="J33" t="s">
        <v>776</v>
      </c>
      <c r="K33" t="s">
        <v>74</v>
      </c>
      <c r="L33" t="s">
        <v>74</v>
      </c>
      <c r="M33" t="s">
        <v>78</v>
      </c>
      <c r="N33" t="s">
        <v>424</v>
      </c>
      <c r="O33" t="s">
        <v>74</v>
      </c>
      <c r="P33" t="s">
        <v>74</v>
      </c>
      <c r="Q33" t="s">
        <v>74</v>
      </c>
      <c r="R33" t="s">
        <v>74</v>
      </c>
      <c r="S33" t="s">
        <v>74</v>
      </c>
      <c r="T33" t="s">
        <v>777</v>
      </c>
      <c r="U33" t="s">
        <v>778</v>
      </c>
      <c r="V33" t="s">
        <v>779</v>
      </c>
      <c r="W33" t="s">
        <v>780</v>
      </c>
      <c r="X33" t="s">
        <v>781</v>
      </c>
      <c r="Y33" t="s">
        <v>782</v>
      </c>
      <c r="Z33" t="s">
        <v>783</v>
      </c>
      <c r="AA33" t="s">
        <v>784</v>
      </c>
      <c r="AB33" t="s">
        <v>785</v>
      </c>
      <c r="AC33" t="s">
        <v>786</v>
      </c>
      <c r="AD33" t="s">
        <v>787</v>
      </c>
      <c r="AE33" t="s">
        <v>788</v>
      </c>
      <c r="AF33" t="s">
        <v>74</v>
      </c>
      <c r="AG33">
        <v>140</v>
      </c>
      <c r="AH33">
        <v>0</v>
      </c>
      <c r="AI33">
        <v>0</v>
      </c>
      <c r="AJ33">
        <v>1</v>
      </c>
      <c r="AK33">
        <v>1</v>
      </c>
      <c r="AL33" t="s">
        <v>369</v>
      </c>
      <c r="AM33" t="s">
        <v>370</v>
      </c>
      <c r="AN33" t="s">
        <v>371</v>
      </c>
      <c r="AO33" t="s">
        <v>789</v>
      </c>
      <c r="AP33" t="s">
        <v>790</v>
      </c>
      <c r="AQ33" t="s">
        <v>74</v>
      </c>
      <c r="AR33" t="s">
        <v>791</v>
      </c>
      <c r="AS33" t="s">
        <v>792</v>
      </c>
      <c r="AT33" t="s">
        <v>97</v>
      </c>
      <c r="AU33">
        <v>2023</v>
      </c>
      <c r="AV33">
        <v>24</v>
      </c>
      <c r="AW33">
        <v>18</v>
      </c>
      <c r="AX33" t="s">
        <v>74</v>
      </c>
      <c r="AY33" t="s">
        <v>74</v>
      </c>
      <c r="AZ33" t="s">
        <v>74</v>
      </c>
      <c r="BA33" t="s">
        <v>74</v>
      </c>
      <c r="BB33" t="s">
        <v>74</v>
      </c>
      <c r="BC33" t="s">
        <v>74</v>
      </c>
      <c r="BD33">
        <v>14052</v>
      </c>
      <c r="BE33" t="s">
        <v>793</v>
      </c>
      <c r="BF33" t="str">
        <f>HYPERLINK("http://dx.doi.org/10.3390/ijms241814052","http://dx.doi.org/10.3390/ijms241814052")</f>
        <v>http://dx.doi.org/10.3390/ijms241814052</v>
      </c>
      <c r="BG33" t="s">
        <v>74</v>
      </c>
      <c r="BH33" t="s">
        <v>74</v>
      </c>
      <c r="BI33">
        <v>17</v>
      </c>
      <c r="BJ33" t="s">
        <v>794</v>
      </c>
      <c r="BK33" t="s">
        <v>104</v>
      </c>
      <c r="BL33" t="s">
        <v>795</v>
      </c>
      <c r="BM33" t="s">
        <v>796</v>
      </c>
      <c r="BN33">
        <v>37762355</v>
      </c>
      <c r="BO33" t="s">
        <v>181</v>
      </c>
      <c r="BP33" t="s">
        <v>74</v>
      </c>
      <c r="BQ33" t="s">
        <v>74</v>
      </c>
      <c r="BR33" t="s">
        <v>107</v>
      </c>
      <c r="BS33" t="s">
        <v>797</v>
      </c>
      <c r="BT33" t="str">
        <f>HYPERLINK("https%3A%2F%2Fwww.webofscience.com%2Fwos%2Fwoscc%2Ffull-record%2FWOS:001076605100001","View Full Record in Web of Science")</f>
        <v>View Full Record in Web of Science</v>
      </c>
    </row>
    <row r="34" spans="1:72" x14ac:dyDescent="0.15">
      <c r="A34" t="s">
        <v>72</v>
      </c>
      <c r="B34" t="s">
        <v>798</v>
      </c>
      <c r="C34" t="s">
        <v>74</v>
      </c>
      <c r="D34" t="s">
        <v>74</v>
      </c>
      <c r="E34" t="s">
        <v>74</v>
      </c>
      <c r="F34" t="s">
        <v>799</v>
      </c>
      <c r="G34" t="s">
        <v>74</v>
      </c>
      <c r="H34" t="s">
        <v>74</v>
      </c>
      <c r="I34" t="s">
        <v>800</v>
      </c>
      <c r="J34" t="s">
        <v>801</v>
      </c>
      <c r="K34" t="s">
        <v>74</v>
      </c>
      <c r="L34" t="s">
        <v>74</v>
      </c>
      <c r="M34" t="s">
        <v>78</v>
      </c>
      <c r="N34" t="s">
        <v>79</v>
      </c>
      <c r="O34" t="s">
        <v>74</v>
      </c>
      <c r="P34" t="s">
        <v>74</v>
      </c>
      <c r="Q34" t="s">
        <v>74</v>
      </c>
      <c r="R34" t="s">
        <v>74</v>
      </c>
      <c r="S34" t="s">
        <v>74</v>
      </c>
      <c r="T34" t="s">
        <v>802</v>
      </c>
      <c r="U34" t="s">
        <v>803</v>
      </c>
      <c r="V34" t="s">
        <v>804</v>
      </c>
      <c r="W34" t="s">
        <v>805</v>
      </c>
      <c r="X34" t="s">
        <v>806</v>
      </c>
      <c r="Y34" t="s">
        <v>807</v>
      </c>
      <c r="Z34" t="s">
        <v>808</v>
      </c>
      <c r="AA34" t="s">
        <v>809</v>
      </c>
      <c r="AB34" t="s">
        <v>810</v>
      </c>
      <c r="AC34" t="s">
        <v>811</v>
      </c>
      <c r="AD34" t="s">
        <v>812</v>
      </c>
      <c r="AE34" t="s">
        <v>813</v>
      </c>
      <c r="AF34" t="s">
        <v>74</v>
      </c>
      <c r="AG34">
        <v>74</v>
      </c>
      <c r="AH34">
        <v>0</v>
      </c>
      <c r="AI34">
        <v>0</v>
      </c>
      <c r="AJ34">
        <v>1</v>
      </c>
      <c r="AK34">
        <v>1</v>
      </c>
      <c r="AL34" t="s">
        <v>369</v>
      </c>
      <c r="AM34" t="s">
        <v>370</v>
      </c>
      <c r="AN34" t="s">
        <v>371</v>
      </c>
      <c r="AO34" t="s">
        <v>74</v>
      </c>
      <c r="AP34" t="s">
        <v>814</v>
      </c>
      <c r="AQ34" t="s">
        <v>74</v>
      </c>
      <c r="AR34" t="s">
        <v>815</v>
      </c>
      <c r="AS34" t="s">
        <v>816</v>
      </c>
      <c r="AT34" t="s">
        <v>97</v>
      </c>
      <c r="AU34">
        <v>2023</v>
      </c>
      <c r="AV34">
        <v>21</v>
      </c>
      <c r="AW34">
        <v>9</v>
      </c>
      <c r="AX34" t="s">
        <v>74</v>
      </c>
      <c r="AY34" t="s">
        <v>74</v>
      </c>
      <c r="AZ34" t="s">
        <v>74</v>
      </c>
      <c r="BA34" t="s">
        <v>74</v>
      </c>
      <c r="BB34" t="s">
        <v>74</v>
      </c>
      <c r="BC34" t="s">
        <v>74</v>
      </c>
      <c r="BD34">
        <v>499</v>
      </c>
      <c r="BE34" t="s">
        <v>817</v>
      </c>
      <c r="BF34" t="str">
        <f>HYPERLINK("http://dx.doi.org/10.3390/md21090499","http://dx.doi.org/10.3390/md21090499")</f>
        <v>http://dx.doi.org/10.3390/md21090499</v>
      </c>
      <c r="BG34" t="s">
        <v>74</v>
      </c>
      <c r="BH34" t="s">
        <v>74</v>
      </c>
      <c r="BI34">
        <v>20</v>
      </c>
      <c r="BJ34" t="s">
        <v>818</v>
      </c>
      <c r="BK34" t="s">
        <v>104</v>
      </c>
      <c r="BL34" t="s">
        <v>819</v>
      </c>
      <c r="BM34" t="s">
        <v>820</v>
      </c>
      <c r="BN34">
        <v>37755112</v>
      </c>
      <c r="BO34" t="s">
        <v>821</v>
      </c>
      <c r="BP34" t="s">
        <v>74</v>
      </c>
      <c r="BQ34" t="s">
        <v>74</v>
      </c>
      <c r="BR34" t="s">
        <v>107</v>
      </c>
      <c r="BS34" t="s">
        <v>822</v>
      </c>
      <c r="BT34" t="str">
        <f>HYPERLINK("https%3A%2F%2Fwww.webofscience.com%2Fwos%2Fwoscc%2Ffull-record%2FWOS:001076388700001","View Full Record in Web of Science")</f>
        <v>View Full Record in Web of Science</v>
      </c>
    </row>
    <row r="35" spans="1:72" x14ac:dyDescent="0.15">
      <c r="A35" t="s">
        <v>72</v>
      </c>
      <c r="B35" t="s">
        <v>823</v>
      </c>
      <c r="C35" t="s">
        <v>74</v>
      </c>
      <c r="D35" t="s">
        <v>74</v>
      </c>
      <c r="E35" t="s">
        <v>74</v>
      </c>
      <c r="F35" t="s">
        <v>824</v>
      </c>
      <c r="G35" t="s">
        <v>74</v>
      </c>
      <c r="H35" t="s">
        <v>74</v>
      </c>
      <c r="I35" t="s">
        <v>825</v>
      </c>
      <c r="J35" t="s">
        <v>826</v>
      </c>
      <c r="K35" t="s">
        <v>74</v>
      </c>
      <c r="L35" t="s">
        <v>74</v>
      </c>
      <c r="M35" t="s">
        <v>78</v>
      </c>
      <c r="N35" t="s">
        <v>79</v>
      </c>
      <c r="O35" t="s">
        <v>74</v>
      </c>
      <c r="P35" t="s">
        <v>74</v>
      </c>
      <c r="Q35" t="s">
        <v>74</v>
      </c>
      <c r="R35" t="s">
        <v>74</v>
      </c>
      <c r="S35" t="s">
        <v>74</v>
      </c>
      <c r="T35" t="s">
        <v>74</v>
      </c>
      <c r="U35" t="s">
        <v>827</v>
      </c>
      <c r="V35" t="s">
        <v>828</v>
      </c>
      <c r="W35" t="s">
        <v>829</v>
      </c>
      <c r="X35" t="s">
        <v>830</v>
      </c>
      <c r="Y35" t="s">
        <v>831</v>
      </c>
      <c r="Z35" t="s">
        <v>832</v>
      </c>
      <c r="AA35" t="s">
        <v>833</v>
      </c>
      <c r="AB35" t="s">
        <v>834</v>
      </c>
      <c r="AC35" t="s">
        <v>835</v>
      </c>
      <c r="AD35" t="s">
        <v>836</v>
      </c>
      <c r="AE35" t="s">
        <v>837</v>
      </c>
      <c r="AF35" t="s">
        <v>74</v>
      </c>
      <c r="AG35">
        <v>46</v>
      </c>
      <c r="AH35">
        <v>0</v>
      </c>
      <c r="AI35">
        <v>0</v>
      </c>
      <c r="AJ35">
        <v>4</v>
      </c>
      <c r="AK35">
        <v>4</v>
      </c>
      <c r="AL35" t="s">
        <v>838</v>
      </c>
      <c r="AM35" t="s">
        <v>839</v>
      </c>
      <c r="AN35" t="s">
        <v>840</v>
      </c>
      <c r="AO35" t="s">
        <v>74</v>
      </c>
      <c r="AP35" t="s">
        <v>841</v>
      </c>
      <c r="AQ35" t="s">
        <v>74</v>
      </c>
      <c r="AR35" t="s">
        <v>842</v>
      </c>
      <c r="AS35" t="s">
        <v>843</v>
      </c>
      <c r="AT35" t="s">
        <v>544</v>
      </c>
      <c r="AU35">
        <v>2023</v>
      </c>
      <c r="AV35">
        <v>4</v>
      </c>
      <c r="AW35">
        <v>9</v>
      </c>
      <c r="AX35" t="s">
        <v>74</v>
      </c>
      <c r="AY35" t="s">
        <v>74</v>
      </c>
      <c r="AZ35" t="s">
        <v>74</v>
      </c>
      <c r="BA35" t="s">
        <v>74</v>
      </c>
      <c r="BB35" t="s">
        <v>74</v>
      </c>
      <c r="BC35" t="s">
        <v>74</v>
      </c>
      <c r="BD35">
        <v>178</v>
      </c>
      <c r="BE35" t="s">
        <v>844</v>
      </c>
      <c r="BF35" t="str">
        <f>HYPERLINK("http://dx.doi.org/10.3847/PSJ/aceefa","http://dx.doi.org/10.3847/PSJ/aceefa")</f>
        <v>http://dx.doi.org/10.3847/PSJ/aceefa</v>
      </c>
      <c r="BG35" t="s">
        <v>74</v>
      </c>
      <c r="BH35" t="s">
        <v>74</v>
      </c>
      <c r="BI35">
        <v>9</v>
      </c>
      <c r="BJ35" t="s">
        <v>845</v>
      </c>
      <c r="BK35" t="s">
        <v>518</v>
      </c>
      <c r="BL35" t="s">
        <v>845</v>
      </c>
      <c r="BM35" t="s">
        <v>846</v>
      </c>
      <c r="BN35" t="s">
        <v>74</v>
      </c>
      <c r="BO35" t="s">
        <v>206</v>
      </c>
      <c r="BP35" t="s">
        <v>74</v>
      </c>
      <c r="BQ35" t="s">
        <v>74</v>
      </c>
      <c r="BR35" t="s">
        <v>107</v>
      </c>
      <c r="BS35" t="s">
        <v>847</v>
      </c>
      <c r="BT35" t="str">
        <f>HYPERLINK("https%3A%2F%2Fwww.webofscience.com%2Fwos%2Fwoscc%2Ffull-record%2FWOS:001075783900001","View Full Record in Web of Science")</f>
        <v>View Full Record in Web of Science</v>
      </c>
    </row>
    <row r="36" spans="1:72" x14ac:dyDescent="0.15">
      <c r="A36" t="s">
        <v>72</v>
      </c>
      <c r="B36" t="s">
        <v>848</v>
      </c>
      <c r="C36" t="s">
        <v>74</v>
      </c>
      <c r="D36" t="s">
        <v>74</v>
      </c>
      <c r="E36" t="s">
        <v>74</v>
      </c>
      <c r="F36" t="s">
        <v>849</v>
      </c>
      <c r="G36" t="s">
        <v>74</v>
      </c>
      <c r="H36" t="s">
        <v>74</v>
      </c>
      <c r="I36" t="s">
        <v>850</v>
      </c>
      <c r="J36" t="s">
        <v>708</v>
      </c>
      <c r="K36" t="s">
        <v>74</v>
      </c>
      <c r="L36" t="s">
        <v>74</v>
      </c>
      <c r="M36" t="s">
        <v>78</v>
      </c>
      <c r="N36" t="s">
        <v>79</v>
      </c>
      <c r="O36" t="s">
        <v>74</v>
      </c>
      <c r="P36" t="s">
        <v>74</v>
      </c>
      <c r="Q36" t="s">
        <v>74</v>
      </c>
      <c r="R36" t="s">
        <v>74</v>
      </c>
      <c r="S36" t="s">
        <v>74</v>
      </c>
      <c r="T36" t="s">
        <v>851</v>
      </c>
      <c r="U36" t="s">
        <v>852</v>
      </c>
      <c r="V36" t="s">
        <v>853</v>
      </c>
      <c r="W36" t="s">
        <v>854</v>
      </c>
      <c r="X36" t="s">
        <v>855</v>
      </c>
      <c r="Y36" t="s">
        <v>856</v>
      </c>
      <c r="Z36" t="s">
        <v>857</v>
      </c>
      <c r="AA36" t="s">
        <v>858</v>
      </c>
      <c r="AB36" t="s">
        <v>859</v>
      </c>
      <c r="AC36" t="s">
        <v>860</v>
      </c>
      <c r="AD36" t="s">
        <v>860</v>
      </c>
      <c r="AE36" t="s">
        <v>861</v>
      </c>
      <c r="AF36" t="s">
        <v>74</v>
      </c>
      <c r="AG36">
        <v>38</v>
      </c>
      <c r="AH36">
        <v>1</v>
      </c>
      <c r="AI36">
        <v>1</v>
      </c>
      <c r="AJ36">
        <v>0</v>
      </c>
      <c r="AK36">
        <v>2</v>
      </c>
      <c r="AL36" t="s">
        <v>369</v>
      </c>
      <c r="AM36" t="s">
        <v>370</v>
      </c>
      <c r="AN36" t="s">
        <v>371</v>
      </c>
      <c r="AO36" t="s">
        <v>74</v>
      </c>
      <c r="AP36" t="s">
        <v>720</v>
      </c>
      <c r="AQ36" t="s">
        <v>74</v>
      </c>
      <c r="AR36" t="s">
        <v>721</v>
      </c>
      <c r="AS36" t="s">
        <v>722</v>
      </c>
      <c r="AT36" t="s">
        <v>97</v>
      </c>
      <c r="AU36">
        <v>2023</v>
      </c>
      <c r="AV36">
        <v>15</v>
      </c>
      <c r="AW36">
        <v>18</v>
      </c>
      <c r="AX36" t="s">
        <v>74</v>
      </c>
      <c r="AY36" t="s">
        <v>74</v>
      </c>
      <c r="AZ36" t="s">
        <v>74</v>
      </c>
      <c r="BA36" t="s">
        <v>74</v>
      </c>
      <c r="BB36" t="s">
        <v>74</v>
      </c>
      <c r="BC36" t="s">
        <v>74</v>
      </c>
      <c r="BD36">
        <v>4479</v>
      </c>
      <c r="BE36" t="s">
        <v>862</v>
      </c>
      <c r="BF36" t="str">
        <f>HYPERLINK("http://dx.doi.org/10.3390/rs15184479","http://dx.doi.org/10.3390/rs15184479")</f>
        <v>http://dx.doi.org/10.3390/rs15184479</v>
      </c>
      <c r="BG36" t="s">
        <v>74</v>
      </c>
      <c r="BH36" t="s">
        <v>74</v>
      </c>
      <c r="BI36">
        <v>15</v>
      </c>
      <c r="BJ36" t="s">
        <v>724</v>
      </c>
      <c r="BK36" t="s">
        <v>104</v>
      </c>
      <c r="BL36" t="s">
        <v>725</v>
      </c>
      <c r="BM36" t="s">
        <v>863</v>
      </c>
      <c r="BN36" t="s">
        <v>74</v>
      </c>
      <c r="BO36" t="s">
        <v>206</v>
      </c>
      <c r="BP36" t="s">
        <v>74</v>
      </c>
      <c r="BQ36" t="s">
        <v>74</v>
      </c>
      <c r="BR36" t="s">
        <v>107</v>
      </c>
      <c r="BS36" t="s">
        <v>864</v>
      </c>
      <c r="BT36" t="str">
        <f>HYPERLINK("https%3A%2F%2Fwww.webofscience.com%2Fwos%2Fwoscc%2Ffull-record%2FWOS:001075050700001","View Full Record in Web of Science")</f>
        <v>View Full Record in Web of Science</v>
      </c>
    </row>
    <row r="37" spans="1:72" x14ac:dyDescent="0.15">
      <c r="A37" t="s">
        <v>72</v>
      </c>
      <c r="B37" t="s">
        <v>865</v>
      </c>
      <c r="C37" t="s">
        <v>74</v>
      </c>
      <c r="D37" t="s">
        <v>74</v>
      </c>
      <c r="E37" t="s">
        <v>74</v>
      </c>
      <c r="F37" t="s">
        <v>866</v>
      </c>
      <c r="G37" t="s">
        <v>74</v>
      </c>
      <c r="H37" t="s">
        <v>74</v>
      </c>
      <c r="I37" t="s">
        <v>867</v>
      </c>
      <c r="J37" t="s">
        <v>868</v>
      </c>
      <c r="K37" t="s">
        <v>74</v>
      </c>
      <c r="L37" t="s">
        <v>74</v>
      </c>
      <c r="M37" t="s">
        <v>78</v>
      </c>
      <c r="N37" t="s">
        <v>869</v>
      </c>
      <c r="O37" t="s">
        <v>74</v>
      </c>
      <c r="P37" t="s">
        <v>74</v>
      </c>
      <c r="Q37" t="s">
        <v>74</v>
      </c>
      <c r="R37" t="s">
        <v>74</v>
      </c>
      <c r="S37" t="s">
        <v>74</v>
      </c>
      <c r="T37" t="s">
        <v>74</v>
      </c>
      <c r="U37" t="s">
        <v>74</v>
      </c>
      <c r="V37" t="s">
        <v>74</v>
      </c>
      <c r="W37" t="s">
        <v>870</v>
      </c>
      <c r="X37" t="s">
        <v>871</v>
      </c>
      <c r="Y37" t="s">
        <v>872</v>
      </c>
      <c r="Z37" t="s">
        <v>74</v>
      </c>
      <c r="AA37" t="s">
        <v>74</v>
      </c>
      <c r="AB37" t="s">
        <v>74</v>
      </c>
      <c r="AC37" t="s">
        <v>74</v>
      </c>
      <c r="AD37" t="s">
        <v>74</v>
      </c>
      <c r="AE37" t="s">
        <v>74</v>
      </c>
      <c r="AF37" t="s">
        <v>74</v>
      </c>
      <c r="AG37">
        <v>0</v>
      </c>
      <c r="AH37">
        <v>0</v>
      </c>
      <c r="AI37">
        <v>0</v>
      </c>
      <c r="AJ37">
        <v>0</v>
      </c>
      <c r="AK37">
        <v>0</v>
      </c>
      <c r="AL37" t="s">
        <v>873</v>
      </c>
      <c r="AM37" t="s">
        <v>589</v>
      </c>
      <c r="AN37" t="s">
        <v>874</v>
      </c>
      <c r="AO37" t="s">
        <v>875</v>
      </c>
      <c r="AP37" t="s">
        <v>876</v>
      </c>
      <c r="AQ37" t="s">
        <v>74</v>
      </c>
      <c r="AR37" t="s">
        <v>877</v>
      </c>
      <c r="AS37" t="s">
        <v>878</v>
      </c>
      <c r="AT37" t="s">
        <v>97</v>
      </c>
      <c r="AU37">
        <v>2023</v>
      </c>
      <c r="AV37">
        <v>113</v>
      </c>
      <c r="AW37">
        <v>9</v>
      </c>
      <c r="AX37" t="s">
        <v>74</v>
      </c>
      <c r="AY37" t="s">
        <v>74</v>
      </c>
      <c r="AZ37" t="s">
        <v>74</v>
      </c>
      <c r="BA37" t="s">
        <v>74</v>
      </c>
      <c r="BB37">
        <v>932</v>
      </c>
      <c r="BC37">
        <v>932</v>
      </c>
      <c r="BD37" t="s">
        <v>74</v>
      </c>
      <c r="BE37" t="s">
        <v>879</v>
      </c>
      <c r="BF37" t="str">
        <f>HYPERLINK("http://dx.doi.org/10.2105/AJPH.2023.307361","http://dx.doi.org/10.2105/AJPH.2023.307361")</f>
        <v>http://dx.doi.org/10.2105/AJPH.2023.307361</v>
      </c>
      <c r="BG37" t="s">
        <v>74</v>
      </c>
      <c r="BH37" t="s">
        <v>74</v>
      </c>
      <c r="BI37">
        <v>1</v>
      </c>
      <c r="BJ37" t="s">
        <v>880</v>
      </c>
      <c r="BK37" t="s">
        <v>881</v>
      </c>
      <c r="BL37" t="s">
        <v>880</v>
      </c>
      <c r="BM37" t="s">
        <v>882</v>
      </c>
      <c r="BN37">
        <v>37471677</v>
      </c>
      <c r="BO37" t="s">
        <v>883</v>
      </c>
      <c r="BP37" t="s">
        <v>74</v>
      </c>
      <c r="BQ37" t="s">
        <v>74</v>
      </c>
      <c r="BR37" t="s">
        <v>107</v>
      </c>
      <c r="BS37" t="s">
        <v>884</v>
      </c>
      <c r="BT37" t="str">
        <f>HYPERLINK("https%3A%2F%2Fwww.webofscience.com%2Fwos%2Fwoscc%2Ffull-record%2FWOS:001064157900001","View Full Record in Web of Science")</f>
        <v>View Full Record in Web of Science</v>
      </c>
    </row>
    <row r="38" spans="1:72" x14ac:dyDescent="0.15">
      <c r="A38" t="s">
        <v>72</v>
      </c>
      <c r="B38" t="s">
        <v>885</v>
      </c>
      <c r="C38" t="s">
        <v>74</v>
      </c>
      <c r="D38" t="s">
        <v>74</v>
      </c>
      <c r="E38" t="s">
        <v>74</v>
      </c>
      <c r="F38" t="s">
        <v>886</v>
      </c>
      <c r="G38" t="s">
        <v>74</v>
      </c>
      <c r="H38" t="s">
        <v>74</v>
      </c>
      <c r="I38" t="s">
        <v>887</v>
      </c>
      <c r="J38" t="s">
        <v>888</v>
      </c>
      <c r="K38" t="s">
        <v>74</v>
      </c>
      <c r="L38" t="s">
        <v>74</v>
      </c>
      <c r="M38" t="s">
        <v>78</v>
      </c>
      <c r="N38" t="s">
        <v>79</v>
      </c>
      <c r="O38" t="s">
        <v>74</v>
      </c>
      <c r="P38" t="s">
        <v>74</v>
      </c>
      <c r="Q38" t="s">
        <v>74</v>
      </c>
      <c r="R38" t="s">
        <v>74</v>
      </c>
      <c r="S38" t="s">
        <v>74</v>
      </c>
      <c r="T38" t="s">
        <v>889</v>
      </c>
      <c r="U38" t="s">
        <v>890</v>
      </c>
      <c r="V38" t="s">
        <v>891</v>
      </c>
      <c r="W38" t="s">
        <v>892</v>
      </c>
      <c r="X38" t="s">
        <v>893</v>
      </c>
      <c r="Y38" t="s">
        <v>894</v>
      </c>
      <c r="Z38" t="s">
        <v>895</v>
      </c>
      <c r="AA38" t="s">
        <v>896</v>
      </c>
      <c r="AB38" t="s">
        <v>897</v>
      </c>
      <c r="AC38" t="s">
        <v>898</v>
      </c>
      <c r="AD38" t="s">
        <v>899</v>
      </c>
      <c r="AE38" t="s">
        <v>900</v>
      </c>
      <c r="AF38" t="s">
        <v>74</v>
      </c>
      <c r="AG38">
        <v>88</v>
      </c>
      <c r="AH38">
        <v>1</v>
      </c>
      <c r="AI38">
        <v>1</v>
      </c>
      <c r="AJ38">
        <v>0</v>
      </c>
      <c r="AK38">
        <v>0</v>
      </c>
      <c r="AL38" t="s">
        <v>588</v>
      </c>
      <c r="AM38" t="s">
        <v>589</v>
      </c>
      <c r="AN38" t="s">
        <v>590</v>
      </c>
      <c r="AO38" t="s">
        <v>901</v>
      </c>
      <c r="AP38" t="s">
        <v>902</v>
      </c>
      <c r="AQ38" t="s">
        <v>74</v>
      </c>
      <c r="AR38" t="s">
        <v>903</v>
      </c>
      <c r="AS38" t="s">
        <v>904</v>
      </c>
      <c r="AT38" t="s">
        <v>97</v>
      </c>
      <c r="AU38">
        <v>2023</v>
      </c>
      <c r="AV38">
        <v>128</v>
      </c>
      <c r="AW38">
        <v>9</v>
      </c>
      <c r="AX38" t="s">
        <v>74</v>
      </c>
      <c r="AY38" t="s">
        <v>74</v>
      </c>
      <c r="AZ38" t="s">
        <v>74</v>
      </c>
      <c r="BA38" t="s">
        <v>74</v>
      </c>
      <c r="BB38" t="s">
        <v>74</v>
      </c>
      <c r="BC38" t="s">
        <v>74</v>
      </c>
      <c r="BD38" t="s">
        <v>905</v>
      </c>
      <c r="BE38" t="s">
        <v>906</v>
      </c>
      <c r="BF38" t="str">
        <f>HYPERLINK("http://dx.doi.org/10.1029/2022JA031271","http://dx.doi.org/10.1029/2022JA031271")</f>
        <v>http://dx.doi.org/10.1029/2022JA031271</v>
      </c>
      <c r="BG38" t="s">
        <v>74</v>
      </c>
      <c r="BH38" t="s">
        <v>74</v>
      </c>
      <c r="BI38">
        <v>16</v>
      </c>
      <c r="BJ38" t="s">
        <v>845</v>
      </c>
      <c r="BK38" t="s">
        <v>104</v>
      </c>
      <c r="BL38" t="s">
        <v>845</v>
      </c>
      <c r="BM38" t="s">
        <v>907</v>
      </c>
      <c r="BN38" t="s">
        <v>74</v>
      </c>
      <c r="BO38" t="s">
        <v>74</v>
      </c>
      <c r="BP38" t="s">
        <v>74</v>
      </c>
      <c r="BQ38" t="s">
        <v>74</v>
      </c>
      <c r="BR38" t="s">
        <v>107</v>
      </c>
      <c r="BS38" t="s">
        <v>908</v>
      </c>
      <c r="BT38" t="str">
        <f>HYPERLINK("https%3A%2F%2Fwww.webofscience.com%2Fwos%2Fwoscc%2Ffull-record%2FWOS:001064469500001","View Full Record in Web of Science")</f>
        <v>View Full Record in Web of Science</v>
      </c>
    </row>
    <row r="39" spans="1:72" x14ac:dyDescent="0.15">
      <c r="A39" t="s">
        <v>72</v>
      </c>
      <c r="B39" t="s">
        <v>909</v>
      </c>
      <c r="C39" t="s">
        <v>74</v>
      </c>
      <c r="D39" t="s">
        <v>74</v>
      </c>
      <c r="E39" t="s">
        <v>74</v>
      </c>
      <c r="F39" t="s">
        <v>910</v>
      </c>
      <c r="G39" t="s">
        <v>74</v>
      </c>
      <c r="H39" t="s">
        <v>74</v>
      </c>
      <c r="I39" t="s">
        <v>911</v>
      </c>
      <c r="J39" t="s">
        <v>912</v>
      </c>
      <c r="K39" t="s">
        <v>74</v>
      </c>
      <c r="L39" t="s">
        <v>74</v>
      </c>
      <c r="M39" t="s">
        <v>78</v>
      </c>
      <c r="N39" t="s">
        <v>79</v>
      </c>
      <c r="O39" t="s">
        <v>74</v>
      </c>
      <c r="P39" t="s">
        <v>74</v>
      </c>
      <c r="Q39" t="s">
        <v>74</v>
      </c>
      <c r="R39" t="s">
        <v>74</v>
      </c>
      <c r="S39" t="s">
        <v>74</v>
      </c>
      <c r="T39" t="s">
        <v>913</v>
      </c>
      <c r="U39" t="s">
        <v>914</v>
      </c>
      <c r="V39" t="s">
        <v>915</v>
      </c>
      <c r="W39" t="s">
        <v>916</v>
      </c>
      <c r="X39" t="s">
        <v>917</v>
      </c>
      <c r="Y39" t="s">
        <v>918</v>
      </c>
      <c r="Z39" t="s">
        <v>919</v>
      </c>
      <c r="AA39" t="s">
        <v>74</v>
      </c>
      <c r="AB39" t="s">
        <v>920</v>
      </c>
      <c r="AC39" t="s">
        <v>921</v>
      </c>
      <c r="AD39" t="s">
        <v>922</v>
      </c>
      <c r="AE39" t="s">
        <v>923</v>
      </c>
      <c r="AF39" t="s">
        <v>74</v>
      </c>
      <c r="AG39">
        <v>68</v>
      </c>
      <c r="AH39">
        <v>1</v>
      </c>
      <c r="AI39">
        <v>1</v>
      </c>
      <c r="AJ39">
        <v>10</v>
      </c>
      <c r="AK39">
        <v>10</v>
      </c>
      <c r="AL39" t="s">
        <v>924</v>
      </c>
      <c r="AM39" t="s">
        <v>299</v>
      </c>
      <c r="AN39" t="s">
        <v>925</v>
      </c>
      <c r="AO39" t="s">
        <v>926</v>
      </c>
      <c r="AP39" t="s">
        <v>927</v>
      </c>
      <c r="AQ39" t="s">
        <v>74</v>
      </c>
      <c r="AR39" t="s">
        <v>928</v>
      </c>
      <c r="AS39" t="s">
        <v>929</v>
      </c>
      <c r="AT39" t="s">
        <v>930</v>
      </c>
      <c r="AU39">
        <v>2023</v>
      </c>
      <c r="AV39">
        <v>297</v>
      </c>
      <c r="AW39" t="s">
        <v>74</v>
      </c>
      <c r="AX39" t="s">
        <v>74</v>
      </c>
      <c r="AY39" t="s">
        <v>74</v>
      </c>
      <c r="AZ39" t="s">
        <v>74</v>
      </c>
      <c r="BA39" t="s">
        <v>74</v>
      </c>
      <c r="BB39" t="s">
        <v>74</v>
      </c>
      <c r="BC39" t="s">
        <v>74</v>
      </c>
      <c r="BD39">
        <v>113780</v>
      </c>
      <c r="BE39" t="s">
        <v>931</v>
      </c>
      <c r="BF39" t="str">
        <f>HYPERLINK("http://dx.doi.org/10.1016/j.rse.2023.113780","http://dx.doi.org/10.1016/j.rse.2023.113780")</f>
        <v>http://dx.doi.org/10.1016/j.rse.2023.113780</v>
      </c>
      <c r="BG39" t="s">
        <v>74</v>
      </c>
      <c r="BH39" t="s">
        <v>932</v>
      </c>
      <c r="BI39">
        <v>15</v>
      </c>
      <c r="BJ39" t="s">
        <v>933</v>
      </c>
      <c r="BK39" t="s">
        <v>104</v>
      </c>
      <c r="BL39" t="s">
        <v>934</v>
      </c>
      <c r="BM39" t="s">
        <v>935</v>
      </c>
      <c r="BN39" t="s">
        <v>74</v>
      </c>
      <c r="BO39" t="s">
        <v>936</v>
      </c>
      <c r="BP39" t="s">
        <v>74</v>
      </c>
      <c r="BQ39" t="s">
        <v>74</v>
      </c>
      <c r="BR39" t="s">
        <v>107</v>
      </c>
      <c r="BS39" t="s">
        <v>937</v>
      </c>
      <c r="BT39" t="str">
        <f>HYPERLINK("https%3A%2F%2Fwww.webofscience.com%2Fwos%2Fwoscc%2Ffull-record%2FWOS:001071480100001","View Full Record in Web of Science")</f>
        <v>View Full Record in Web of Science</v>
      </c>
    </row>
    <row r="40" spans="1:72" x14ac:dyDescent="0.15">
      <c r="A40" t="s">
        <v>72</v>
      </c>
      <c r="B40" t="s">
        <v>938</v>
      </c>
      <c r="C40" t="s">
        <v>74</v>
      </c>
      <c r="D40" t="s">
        <v>74</v>
      </c>
      <c r="E40" t="s">
        <v>74</v>
      </c>
      <c r="F40" t="s">
        <v>939</v>
      </c>
      <c r="G40" t="s">
        <v>74</v>
      </c>
      <c r="H40" t="s">
        <v>74</v>
      </c>
      <c r="I40" t="s">
        <v>940</v>
      </c>
      <c r="J40" t="s">
        <v>941</v>
      </c>
      <c r="K40" t="s">
        <v>74</v>
      </c>
      <c r="L40" t="s">
        <v>74</v>
      </c>
      <c r="M40" t="s">
        <v>78</v>
      </c>
      <c r="N40" t="s">
        <v>869</v>
      </c>
      <c r="O40" t="s">
        <v>74</v>
      </c>
      <c r="P40" t="s">
        <v>74</v>
      </c>
      <c r="Q40" t="s">
        <v>74</v>
      </c>
      <c r="R40" t="s">
        <v>74</v>
      </c>
      <c r="S40" t="s">
        <v>74</v>
      </c>
      <c r="T40" t="s">
        <v>74</v>
      </c>
      <c r="U40" t="s">
        <v>74</v>
      </c>
      <c r="V40" t="s">
        <v>74</v>
      </c>
      <c r="W40" t="s">
        <v>942</v>
      </c>
      <c r="X40" t="s">
        <v>943</v>
      </c>
      <c r="Y40" t="s">
        <v>944</v>
      </c>
      <c r="Z40" t="s">
        <v>945</v>
      </c>
      <c r="AA40" t="s">
        <v>74</v>
      </c>
      <c r="AB40" t="s">
        <v>74</v>
      </c>
      <c r="AC40" t="s">
        <v>946</v>
      </c>
      <c r="AD40" t="s">
        <v>947</v>
      </c>
      <c r="AE40" t="s">
        <v>948</v>
      </c>
      <c r="AF40" t="s">
        <v>74</v>
      </c>
      <c r="AG40">
        <v>0</v>
      </c>
      <c r="AH40">
        <v>0</v>
      </c>
      <c r="AI40">
        <v>0</v>
      </c>
      <c r="AJ40">
        <v>1</v>
      </c>
      <c r="AK40">
        <v>1</v>
      </c>
      <c r="AL40" t="s">
        <v>949</v>
      </c>
      <c r="AM40" t="s">
        <v>950</v>
      </c>
      <c r="AN40" t="s">
        <v>951</v>
      </c>
      <c r="AO40" t="s">
        <v>952</v>
      </c>
      <c r="AP40" t="s">
        <v>74</v>
      </c>
      <c r="AQ40" t="s">
        <v>74</v>
      </c>
      <c r="AR40" t="s">
        <v>953</v>
      </c>
      <c r="AS40" t="s">
        <v>954</v>
      </c>
      <c r="AT40" t="s">
        <v>97</v>
      </c>
      <c r="AU40">
        <v>2023</v>
      </c>
      <c r="AV40">
        <v>64</v>
      </c>
      <c r="AW40">
        <v>9</v>
      </c>
      <c r="AX40" t="s">
        <v>74</v>
      </c>
      <c r="AY40" t="s">
        <v>74</v>
      </c>
      <c r="AZ40" t="s">
        <v>74</v>
      </c>
      <c r="BA40" t="s">
        <v>74</v>
      </c>
      <c r="BB40">
        <v>22</v>
      </c>
      <c r="BC40">
        <v>25</v>
      </c>
      <c r="BD40" t="s">
        <v>74</v>
      </c>
      <c r="BE40" t="s">
        <v>74</v>
      </c>
      <c r="BF40" t="s">
        <v>74</v>
      </c>
      <c r="BG40" t="s">
        <v>74</v>
      </c>
      <c r="BH40" t="s">
        <v>74</v>
      </c>
      <c r="BI40">
        <v>4</v>
      </c>
      <c r="BJ40" t="s">
        <v>955</v>
      </c>
      <c r="BK40" t="s">
        <v>104</v>
      </c>
      <c r="BL40" t="s">
        <v>325</v>
      </c>
      <c r="BM40" t="s">
        <v>956</v>
      </c>
      <c r="BN40" t="s">
        <v>74</v>
      </c>
      <c r="BO40" t="s">
        <v>74</v>
      </c>
      <c r="BP40" t="s">
        <v>74</v>
      </c>
      <c r="BQ40" t="s">
        <v>74</v>
      </c>
      <c r="BR40" t="s">
        <v>107</v>
      </c>
      <c r="BS40" t="s">
        <v>957</v>
      </c>
      <c r="BT40" t="str">
        <f>HYPERLINK("https%3A%2F%2Fwww.webofscience.com%2Fwos%2Fwoscc%2Ffull-record%2FWOS:001068008700005","View Full Record in Web of Science")</f>
        <v>View Full Record in Web of Science</v>
      </c>
    </row>
    <row r="41" spans="1:72" x14ac:dyDescent="0.15">
      <c r="A41" t="s">
        <v>72</v>
      </c>
      <c r="B41" t="s">
        <v>958</v>
      </c>
      <c r="C41" t="s">
        <v>74</v>
      </c>
      <c r="D41" t="s">
        <v>74</v>
      </c>
      <c r="E41" t="s">
        <v>74</v>
      </c>
      <c r="F41" t="s">
        <v>959</v>
      </c>
      <c r="G41" t="s">
        <v>74</v>
      </c>
      <c r="H41" t="s">
        <v>74</v>
      </c>
      <c r="I41" t="s">
        <v>960</v>
      </c>
      <c r="J41" t="s">
        <v>961</v>
      </c>
      <c r="K41" t="s">
        <v>74</v>
      </c>
      <c r="L41" t="s">
        <v>74</v>
      </c>
      <c r="M41" t="s">
        <v>78</v>
      </c>
      <c r="N41" t="s">
        <v>79</v>
      </c>
      <c r="O41" t="s">
        <v>74</v>
      </c>
      <c r="P41" t="s">
        <v>74</v>
      </c>
      <c r="Q41" t="s">
        <v>74</v>
      </c>
      <c r="R41" t="s">
        <v>74</v>
      </c>
      <c r="S41" t="s">
        <v>74</v>
      </c>
      <c r="T41" t="s">
        <v>962</v>
      </c>
      <c r="U41" t="s">
        <v>963</v>
      </c>
      <c r="V41" t="s">
        <v>964</v>
      </c>
      <c r="W41" t="s">
        <v>965</v>
      </c>
      <c r="X41" t="s">
        <v>966</v>
      </c>
      <c r="Y41" t="s">
        <v>967</v>
      </c>
      <c r="Z41" t="s">
        <v>968</v>
      </c>
      <c r="AA41" t="s">
        <v>969</v>
      </c>
      <c r="AB41" t="s">
        <v>970</v>
      </c>
      <c r="AC41" t="s">
        <v>971</v>
      </c>
      <c r="AD41" t="s">
        <v>971</v>
      </c>
      <c r="AE41" t="s">
        <v>971</v>
      </c>
      <c r="AF41" t="s">
        <v>74</v>
      </c>
      <c r="AG41">
        <v>36</v>
      </c>
      <c r="AH41">
        <v>1</v>
      </c>
      <c r="AI41">
        <v>1</v>
      </c>
      <c r="AJ41">
        <v>17</v>
      </c>
      <c r="AK41">
        <v>17</v>
      </c>
      <c r="AL41" t="s">
        <v>369</v>
      </c>
      <c r="AM41" t="s">
        <v>370</v>
      </c>
      <c r="AN41" t="s">
        <v>371</v>
      </c>
      <c r="AO41" t="s">
        <v>74</v>
      </c>
      <c r="AP41" t="s">
        <v>972</v>
      </c>
      <c r="AQ41" t="s">
        <v>74</v>
      </c>
      <c r="AR41" t="s">
        <v>973</v>
      </c>
      <c r="AS41" t="s">
        <v>974</v>
      </c>
      <c r="AT41" t="s">
        <v>97</v>
      </c>
      <c r="AU41">
        <v>2023</v>
      </c>
      <c r="AV41">
        <v>15</v>
      </c>
      <c r="AW41">
        <v>18</v>
      </c>
      <c r="AX41" t="s">
        <v>74</v>
      </c>
      <c r="AY41" t="s">
        <v>74</v>
      </c>
      <c r="AZ41" t="s">
        <v>74</v>
      </c>
      <c r="BA41" t="s">
        <v>74</v>
      </c>
      <c r="BB41" t="s">
        <v>74</v>
      </c>
      <c r="BC41" t="s">
        <v>74</v>
      </c>
      <c r="BD41">
        <v>3264</v>
      </c>
      <c r="BE41" t="s">
        <v>975</v>
      </c>
      <c r="BF41" t="str">
        <f>HYPERLINK("http://dx.doi.org/10.3390/w15183264","http://dx.doi.org/10.3390/w15183264")</f>
        <v>http://dx.doi.org/10.3390/w15183264</v>
      </c>
      <c r="BG41" t="s">
        <v>74</v>
      </c>
      <c r="BH41" t="s">
        <v>74</v>
      </c>
      <c r="BI41">
        <v>19</v>
      </c>
      <c r="BJ41" t="s">
        <v>976</v>
      </c>
      <c r="BK41" t="s">
        <v>104</v>
      </c>
      <c r="BL41" t="s">
        <v>977</v>
      </c>
      <c r="BM41" t="s">
        <v>978</v>
      </c>
      <c r="BN41" t="s">
        <v>74</v>
      </c>
      <c r="BO41" t="s">
        <v>206</v>
      </c>
      <c r="BP41" t="s">
        <v>74</v>
      </c>
      <c r="BQ41" t="s">
        <v>74</v>
      </c>
      <c r="BR41" t="s">
        <v>107</v>
      </c>
      <c r="BS41" t="s">
        <v>979</v>
      </c>
      <c r="BT41" t="str">
        <f>HYPERLINK("https%3A%2F%2Fwww.webofscience.com%2Fwos%2Fwoscc%2Ffull-record%2FWOS:001072588800001","View Full Record in Web of Science")</f>
        <v>View Full Record in Web of Science</v>
      </c>
    </row>
    <row r="42" spans="1:72" x14ac:dyDescent="0.15">
      <c r="A42" t="s">
        <v>72</v>
      </c>
      <c r="B42" t="s">
        <v>980</v>
      </c>
      <c r="C42" t="s">
        <v>74</v>
      </c>
      <c r="D42" t="s">
        <v>74</v>
      </c>
      <c r="E42" t="s">
        <v>74</v>
      </c>
      <c r="F42" t="s">
        <v>981</v>
      </c>
      <c r="G42" t="s">
        <v>74</v>
      </c>
      <c r="H42" t="s">
        <v>74</v>
      </c>
      <c r="I42" t="s">
        <v>982</v>
      </c>
      <c r="J42" t="s">
        <v>983</v>
      </c>
      <c r="K42" t="s">
        <v>74</v>
      </c>
      <c r="L42" t="s">
        <v>74</v>
      </c>
      <c r="M42" t="s">
        <v>78</v>
      </c>
      <c r="N42" t="s">
        <v>79</v>
      </c>
      <c r="O42" t="s">
        <v>74</v>
      </c>
      <c r="P42" t="s">
        <v>74</v>
      </c>
      <c r="Q42" t="s">
        <v>74</v>
      </c>
      <c r="R42" t="s">
        <v>74</v>
      </c>
      <c r="S42" t="s">
        <v>74</v>
      </c>
      <c r="T42" t="s">
        <v>984</v>
      </c>
      <c r="U42" t="s">
        <v>985</v>
      </c>
      <c r="V42" t="s">
        <v>986</v>
      </c>
      <c r="W42" t="s">
        <v>987</v>
      </c>
      <c r="X42" t="s">
        <v>988</v>
      </c>
      <c r="Y42" t="s">
        <v>989</v>
      </c>
      <c r="Z42" t="s">
        <v>990</v>
      </c>
      <c r="AA42" t="s">
        <v>74</v>
      </c>
      <c r="AB42" t="s">
        <v>74</v>
      </c>
      <c r="AC42" t="s">
        <v>991</v>
      </c>
      <c r="AD42" t="s">
        <v>992</v>
      </c>
      <c r="AE42" t="s">
        <v>993</v>
      </c>
      <c r="AF42" t="s">
        <v>74</v>
      </c>
      <c r="AG42">
        <v>87</v>
      </c>
      <c r="AH42">
        <v>0</v>
      </c>
      <c r="AI42">
        <v>0</v>
      </c>
      <c r="AJ42">
        <v>1</v>
      </c>
      <c r="AK42">
        <v>1</v>
      </c>
      <c r="AL42" t="s">
        <v>994</v>
      </c>
      <c r="AM42" t="s">
        <v>995</v>
      </c>
      <c r="AN42" t="s">
        <v>996</v>
      </c>
      <c r="AO42" t="s">
        <v>74</v>
      </c>
      <c r="AP42" t="s">
        <v>997</v>
      </c>
      <c r="AQ42" t="s">
        <v>74</v>
      </c>
      <c r="AR42" t="s">
        <v>998</v>
      </c>
      <c r="AS42" t="s">
        <v>999</v>
      </c>
      <c r="AT42" t="s">
        <v>544</v>
      </c>
      <c r="AU42">
        <v>2023</v>
      </c>
      <c r="AV42">
        <v>10</v>
      </c>
      <c r="AW42" t="s">
        <v>74</v>
      </c>
      <c r="AX42" t="s">
        <v>74</v>
      </c>
      <c r="AY42" t="s">
        <v>74</v>
      </c>
      <c r="AZ42" t="s">
        <v>74</v>
      </c>
      <c r="BA42" t="s">
        <v>74</v>
      </c>
      <c r="BB42" t="s">
        <v>74</v>
      </c>
      <c r="BC42" t="s">
        <v>74</v>
      </c>
      <c r="BD42">
        <v>1222178</v>
      </c>
      <c r="BE42" t="s">
        <v>1000</v>
      </c>
      <c r="BF42" t="str">
        <f>HYPERLINK("http://dx.doi.org/10.3389/fmars.2023.1222178","http://dx.doi.org/10.3389/fmars.2023.1222178")</f>
        <v>http://dx.doi.org/10.3389/fmars.2023.1222178</v>
      </c>
      <c r="BG42" t="s">
        <v>74</v>
      </c>
      <c r="BH42" t="s">
        <v>74</v>
      </c>
      <c r="BI42">
        <v>16</v>
      </c>
      <c r="BJ42" t="s">
        <v>1001</v>
      </c>
      <c r="BK42" t="s">
        <v>104</v>
      </c>
      <c r="BL42" t="s">
        <v>1002</v>
      </c>
      <c r="BM42" t="s">
        <v>1003</v>
      </c>
      <c r="BN42" t="s">
        <v>74</v>
      </c>
      <c r="BO42" t="s">
        <v>206</v>
      </c>
      <c r="BP42" t="s">
        <v>74</v>
      </c>
      <c r="BQ42" t="s">
        <v>74</v>
      </c>
      <c r="BR42" t="s">
        <v>107</v>
      </c>
      <c r="BS42" t="s">
        <v>1004</v>
      </c>
      <c r="BT42" t="str">
        <f>HYPERLINK("https%3A%2F%2Fwww.webofscience.com%2Fwos%2Fwoscc%2Ffull-record%2FWOS:001067823300001","View Full Record in Web of Science")</f>
        <v>View Full Record in Web of Science</v>
      </c>
    </row>
    <row r="43" spans="1:72" x14ac:dyDescent="0.15">
      <c r="A43" t="s">
        <v>72</v>
      </c>
      <c r="B43" t="s">
        <v>1005</v>
      </c>
      <c r="C43" t="s">
        <v>74</v>
      </c>
      <c r="D43" t="s">
        <v>74</v>
      </c>
      <c r="E43" t="s">
        <v>74</v>
      </c>
      <c r="F43" t="s">
        <v>1006</v>
      </c>
      <c r="G43" t="s">
        <v>74</v>
      </c>
      <c r="H43" t="s">
        <v>74</v>
      </c>
      <c r="I43" t="s">
        <v>1007</v>
      </c>
      <c r="J43" t="s">
        <v>1008</v>
      </c>
      <c r="K43" t="s">
        <v>74</v>
      </c>
      <c r="L43" t="s">
        <v>74</v>
      </c>
      <c r="M43" t="s">
        <v>78</v>
      </c>
      <c r="N43" t="s">
        <v>79</v>
      </c>
      <c r="O43" t="s">
        <v>74</v>
      </c>
      <c r="P43" t="s">
        <v>74</v>
      </c>
      <c r="Q43" t="s">
        <v>74</v>
      </c>
      <c r="R43" t="s">
        <v>74</v>
      </c>
      <c r="S43" t="s">
        <v>74</v>
      </c>
      <c r="T43" t="s">
        <v>1009</v>
      </c>
      <c r="U43" t="s">
        <v>1010</v>
      </c>
      <c r="V43" t="s">
        <v>1011</v>
      </c>
      <c r="W43" t="s">
        <v>1012</v>
      </c>
      <c r="X43" t="s">
        <v>1013</v>
      </c>
      <c r="Y43" t="s">
        <v>1014</v>
      </c>
      <c r="Z43" t="s">
        <v>1015</v>
      </c>
      <c r="AA43" t="s">
        <v>1016</v>
      </c>
      <c r="AB43" t="s">
        <v>1017</v>
      </c>
      <c r="AC43" t="s">
        <v>1018</v>
      </c>
      <c r="AD43" t="s">
        <v>1018</v>
      </c>
      <c r="AE43" t="s">
        <v>1019</v>
      </c>
      <c r="AF43" t="s">
        <v>74</v>
      </c>
      <c r="AG43">
        <v>73</v>
      </c>
      <c r="AH43">
        <v>4</v>
      </c>
      <c r="AI43">
        <v>4</v>
      </c>
      <c r="AJ43">
        <v>7</v>
      </c>
      <c r="AK43">
        <v>8</v>
      </c>
      <c r="AL43" t="s">
        <v>588</v>
      </c>
      <c r="AM43" t="s">
        <v>589</v>
      </c>
      <c r="AN43" t="s">
        <v>590</v>
      </c>
      <c r="AO43" t="s">
        <v>1020</v>
      </c>
      <c r="AP43" t="s">
        <v>1021</v>
      </c>
      <c r="AQ43" t="s">
        <v>74</v>
      </c>
      <c r="AR43" t="s">
        <v>1022</v>
      </c>
      <c r="AS43" t="s">
        <v>1023</v>
      </c>
      <c r="AT43" t="s">
        <v>97</v>
      </c>
      <c r="AU43">
        <v>2023</v>
      </c>
      <c r="AV43">
        <v>128</v>
      </c>
      <c r="AW43">
        <v>9</v>
      </c>
      <c r="AX43" t="s">
        <v>74</v>
      </c>
      <c r="AY43" t="s">
        <v>74</v>
      </c>
      <c r="AZ43" t="s">
        <v>74</v>
      </c>
      <c r="BA43" t="s">
        <v>74</v>
      </c>
      <c r="BB43" t="s">
        <v>74</v>
      </c>
      <c r="BC43" t="s">
        <v>74</v>
      </c>
      <c r="BD43" t="s">
        <v>1024</v>
      </c>
      <c r="BE43" t="s">
        <v>1025</v>
      </c>
      <c r="BF43" t="str">
        <f>HYPERLINK("http://dx.doi.org/10.1029/2023JC019843","http://dx.doi.org/10.1029/2023JC019843")</f>
        <v>http://dx.doi.org/10.1029/2023JC019843</v>
      </c>
      <c r="BG43" t="s">
        <v>74</v>
      </c>
      <c r="BH43" t="s">
        <v>74</v>
      </c>
      <c r="BI43">
        <v>23</v>
      </c>
      <c r="BJ43" t="s">
        <v>306</v>
      </c>
      <c r="BK43" t="s">
        <v>104</v>
      </c>
      <c r="BL43" t="s">
        <v>306</v>
      </c>
      <c r="BM43" t="s">
        <v>1026</v>
      </c>
      <c r="BN43" t="s">
        <v>74</v>
      </c>
      <c r="BO43" t="s">
        <v>549</v>
      </c>
      <c r="BP43" t="s">
        <v>74</v>
      </c>
      <c r="BQ43" t="s">
        <v>74</v>
      </c>
      <c r="BR43" t="s">
        <v>107</v>
      </c>
      <c r="BS43" t="s">
        <v>1027</v>
      </c>
      <c r="BT43" t="str">
        <f>HYPERLINK("https%3A%2F%2Fwww.webofscience.com%2Fwos%2Fwoscc%2Ffull-record%2FWOS:001067783500001","View Full Record in Web of Science")</f>
        <v>View Full Record in Web of Science</v>
      </c>
    </row>
    <row r="44" spans="1:72" x14ac:dyDescent="0.15">
      <c r="A44" t="s">
        <v>72</v>
      </c>
      <c r="B44" t="s">
        <v>1028</v>
      </c>
      <c r="C44" t="s">
        <v>74</v>
      </c>
      <c r="D44" t="s">
        <v>74</v>
      </c>
      <c r="E44" t="s">
        <v>74</v>
      </c>
      <c r="F44" t="s">
        <v>1029</v>
      </c>
      <c r="G44" t="s">
        <v>74</v>
      </c>
      <c r="H44" t="s">
        <v>74</v>
      </c>
      <c r="I44" t="s">
        <v>1030</v>
      </c>
      <c r="J44" t="s">
        <v>1031</v>
      </c>
      <c r="K44" t="s">
        <v>74</v>
      </c>
      <c r="L44" t="s">
        <v>74</v>
      </c>
      <c r="M44" t="s">
        <v>78</v>
      </c>
      <c r="N44" t="s">
        <v>79</v>
      </c>
      <c r="O44" t="s">
        <v>74</v>
      </c>
      <c r="P44" t="s">
        <v>74</v>
      </c>
      <c r="Q44" t="s">
        <v>74</v>
      </c>
      <c r="R44" t="s">
        <v>74</v>
      </c>
      <c r="S44" t="s">
        <v>74</v>
      </c>
      <c r="T44" t="s">
        <v>1032</v>
      </c>
      <c r="U44" t="s">
        <v>1033</v>
      </c>
      <c r="V44" t="s">
        <v>1034</v>
      </c>
      <c r="W44" t="s">
        <v>1035</v>
      </c>
      <c r="X44" t="s">
        <v>1036</v>
      </c>
      <c r="Y44" t="s">
        <v>1037</v>
      </c>
      <c r="Z44" t="s">
        <v>1038</v>
      </c>
      <c r="AA44" t="s">
        <v>1039</v>
      </c>
      <c r="AB44" t="s">
        <v>1040</v>
      </c>
      <c r="AC44" t="s">
        <v>1041</v>
      </c>
      <c r="AD44" t="s">
        <v>1041</v>
      </c>
      <c r="AE44" t="s">
        <v>1041</v>
      </c>
      <c r="AF44" t="s">
        <v>74</v>
      </c>
      <c r="AG44">
        <v>49</v>
      </c>
      <c r="AH44">
        <v>0</v>
      </c>
      <c r="AI44">
        <v>0</v>
      </c>
      <c r="AJ44">
        <v>2</v>
      </c>
      <c r="AK44">
        <v>2</v>
      </c>
      <c r="AL44" t="s">
        <v>369</v>
      </c>
      <c r="AM44" t="s">
        <v>370</v>
      </c>
      <c r="AN44" t="s">
        <v>371</v>
      </c>
      <c r="AO44" t="s">
        <v>74</v>
      </c>
      <c r="AP44" t="s">
        <v>1042</v>
      </c>
      <c r="AQ44" t="s">
        <v>74</v>
      </c>
      <c r="AR44" t="s">
        <v>1031</v>
      </c>
      <c r="AS44" t="s">
        <v>1043</v>
      </c>
      <c r="AT44" t="s">
        <v>97</v>
      </c>
      <c r="AU44">
        <v>2023</v>
      </c>
      <c r="AV44">
        <v>12</v>
      </c>
      <c r="AW44">
        <v>9</v>
      </c>
      <c r="AX44" t="s">
        <v>74</v>
      </c>
      <c r="AY44" t="s">
        <v>74</v>
      </c>
      <c r="AZ44" t="s">
        <v>74</v>
      </c>
      <c r="BA44" t="s">
        <v>74</v>
      </c>
      <c r="BB44" t="s">
        <v>74</v>
      </c>
      <c r="BC44" t="s">
        <v>74</v>
      </c>
      <c r="BD44">
        <v>1193</v>
      </c>
      <c r="BE44" t="s">
        <v>1044</v>
      </c>
      <c r="BF44" t="str">
        <f>HYPERLINK("http://dx.doi.org/10.3390/biology12091193","http://dx.doi.org/10.3390/biology12091193")</f>
        <v>http://dx.doi.org/10.3390/biology12091193</v>
      </c>
      <c r="BG44" t="s">
        <v>74</v>
      </c>
      <c r="BH44" t="s">
        <v>74</v>
      </c>
      <c r="BI44">
        <v>13</v>
      </c>
      <c r="BJ44" t="s">
        <v>1045</v>
      </c>
      <c r="BK44" t="s">
        <v>104</v>
      </c>
      <c r="BL44" t="s">
        <v>1046</v>
      </c>
      <c r="BM44" t="s">
        <v>1047</v>
      </c>
      <c r="BN44">
        <v>37759592</v>
      </c>
      <c r="BO44" t="s">
        <v>1048</v>
      </c>
      <c r="BP44" t="s">
        <v>74</v>
      </c>
      <c r="BQ44" t="s">
        <v>74</v>
      </c>
      <c r="BR44" t="s">
        <v>107</v>
      </c>
      <c r="BS44" t="s">
        <v>1049</v>
      </c>
      <c r="BT44" t="str">
        <f>HYPERLINK("https%3A%2F%2Fwww.webofscience.com%2Fwos%2Fwoscc%2Ffull-record%2FWOS:001074411600001","View Full Record in Web of Science")</f>
        <v>View Full Record in Web of Science</v>
      </c>
    </row>
    <row r="45" spans="1:72" x14ac:dyDescent="0.15">
      <c r="A45" t="s">
        <v>72</v>
      </c>
      <c r="B45" t="s">
        <v>1050</v>
      </c>
      <c r="C45" t="s">
        <v>74</v>
      </c>
      <c r="D45" t="s">
        <v>74</v>
      </c>
      <c r="E45" t="s">
        <v>74</v>
      </c>
      <c r="F45" t="s">
        <v>1051</v>
      </c>
      <c r="G45" t="s">
        <v>74</v>
      </c>
      <c r="H45" t="s">
        <v>74</v>
      </c>
      <c r="I45" t="s">
        <v>1052</v>
      </c>
      <c r="J45" t="s">
        <v>1053</v>
      </c>
      <c r="K45" t="s">
        <v>74</v>
      </c>
      <c r="L45" t="s">
        <v>74</v>
      </c>
      <c r="M45" t="s">
        <v>78</v>
      </c>
      <c r="N45" t="s">
        <v>79</v>
      </c>
      <c r="O45" t="s">
        <v>74</v>
      </c>
      <c r="P45" t="s">
        <v>74</v>
      </c>
      <c r="Q45" t="s">
        <v>74</v>
      </c>
      <c r="R45" t="s">
        <v>74</v>
      </c>
      <c r="S45" t="s">
        <v>74</v>
      </c>
      <c r="T45" t="s">
        <v>74</v>
      </c>
      <c r="U45" t="s">
        <v>1054</v>
      </c>
      <c r="V45" t="s">
        <v>1055</v>
      </c>
      <c r="W45" t="s">
        <v>1056</v>
      </c>
      <c r="X45" t="s">
        <v>1057</v>
      </c>
      <c r="Y45" t="s">
        <v>1058</v>
      </c>
      <c r="Z45" t="s">
        <v>1059</v>
      </c>
      <c r="AA45" t="s">
        <v>1060</v>
      </c>
      <c r="AB45" t="s">
        <v>1061</v>
      </c>
      <c r="AC45" t="s">
        <v>1062</v>
      </c>
      <c r="AD45" t="s">
        <v>1063</v>
      </c>
      <c r="AE45" t="s">
        <v>1064</v>
      </c>
      <c r="AF45" t="s">
        <v>74</v>
      </c>
      <c r="AG45">
        <v>69</v>
      </c>
      <c r="AH45">
        <v>1</v>
      </c>
      <c r="AI45">
        <v>1</v>
      </c>
      <c r="AJ45">
        <v>2</v>
      </c>
      <c r="AK45">
        <v>5</v>
      </c>
      <c r="AL45" t="s">
        <v>588</v>
      </c>
      <c r="AM45" t="s">
        <v>589</v>
      </c>
      <c r="AN45" t="s">
        <v>590</v>
      </c>
      <c r="AO45" t="s">
        <v>74</v>
      </c>
      <c r="AP45" t="s">
        <v>1065</v>
      </c>
      <c r="AQ45" t="s">
        <v>74</v>
      </c>
      <c r="AR45" t="s">
        <v>1066</v>
      </c>
      <c r="AS45" t="s">
        <v>1067</v>
      </c>
      <c r="AT45" t="s">
        <v>97</v>
      </c>
      <c r="AU45">
        <v>2023</v>
      </c>
      <c r="AV45">
        <v>10</v>
      </c>
      <c r="AW45">
        <v>9</v>
      </c>
      <c r="AX45" t="s">
        <v>74</v>
      </c>
      <c r="AY45" t="s">
        <v>74</v>
      </c>
      <c r="AZ45" t="s">
        <v>74</v>
      </c>
      <c r="BA45" t="s">
        <v>74</v>
      </c>
      <c r="BB45" t="s">
        <v>74</v>
      </c>
      <c r="BC45" t="s">
        <v>74</v>
      </c>
      <c r="BD45" t="s">
        <v>1068</v>
      </c>
      <c r="BE45" t="s">
        <v>1069</v>
      </c>
      <c r="BF45" t="str">
        <f>HYPERLINK("http://dx.doi.org/10.1029/2023EA003078","http://dx.doi.org/10.1029/2023EA003078")</f>
        <v>http://dx.doi.org/10.1029/2023EA003078</v>
      </c>
      <c r="BG45" t="s">
        <v>74</v>
      </c>
      <c r="BH45" t="s">
        <v>74</v>
      </c>
      <c r="BI45">
        <v>17</v>
      </c>
      <c r="BJ45" t="s">
        <v>1070</v>
      </c>
      <c r="BK45" t="s">
        <v>104</v>
      </c>
      <c r="BL45" t="s">
        <v>1071</v>
      </c>
      <c r="BM45" t="s">
        <v>1072</v>
      </c>
      <c r="BN45" t="s">
        <v>74</v>
      </c>
      <c r="BO45" t="s">
        <v>1073</v>
      </c>
      <c r="BP45" t="s">
        <v>74</v>
      </c>
      <c r="BQ45" t="s">
        <v>74</v>
      </c>
      <c r="BR45" t="s">
        <v>107</v>
      </c>
      <c r="BS45" t="s">
        <v>1074</v>
      </c>
      <c r="BT45" t="str">
        <f>HYPERLINK("https%3A%2F%2Fwww.webofscience.com%2Fwos%2Fwoscc%2Ffull-record%2FWOS:001066800300001","View Full Record in Web of Science")</f>
        <v>View Full Record in Web of Science</v>
      </c>
    </row>
    <row r="46" spans="1:72" x14ac:dyDescent="0.15">
      <c r="A46" t="s">
        <v>72</v>
      </c>
      <c r="B46" t="s">
        <v>1075</v>
      </c>
      <c r="C46" t="s">
        <v>74</v>
      </c>
      <c r="D46" t="s">
        <v>74</v>
      </c>
      <c r="E46" t="s">
        <v>74</v>
      </c>
      <c r="F46" t="s">
        <v>1076</v>
      </c>
      <c r="G46" t="s">
        <v>74</v>
      </c>
      <c r="H46" t="s">
        <v>74</v>
      </c>
      <c r="I46" t="s">
        <v>1077</v>
      </c>
      <c r="J46" t="s">
        <v>776</v>
      </c>
      <c r="K46" t="s">
        <v>74</v>
      </c>
      <c r="L46" t="s">
        <v>74</v>
      </c>
      <c r="M46" t="s">
        <v>78</v>
      </c>
      <c r="N46" t="s">
        <v>79</v>
      </c>
      <c r="O46" t="s">
        <v>74</v>
      </c>
      <c r="P46" t="s">
        <v>74</v>
      </c>
      <c r="Q46" t="s">
        <v>74</v>
      </c>
      <c r="R46" t="s">
        <v>74</v>
      </c>
      <c r="S46" t="s">
        <v>74</v>
      </c>
      <c r="T46" t="s">
        <v>1078</v>
      </c>
      <c r="U46" t="s">
        <v>1079</v>
      </c>
      <c r="V46" t="s">
        <v>1080</v>
      </c>
      <c r="W46" t="s">
        <v>1081</v>
      </c>
      <c r="X46" t="s">
        <v>1082</v>
      </c>
      <c r="Y46" t="s">
        <v>1083</v>
      </c>
      <c r="Z46" t="s">
        <v>1084</v>
      </c>
      <c r="AA46" t="s">
        <v>1085</v>
      </c>
      <c r="AB46" t="s">
        <v>1086</v>
      </c>
      <c r="AC46" t="s">
        <v>1087</v>
      </c>
      <c r="AD46" t="s">
        <v>1088</v>
      </c>
      <c r="AE46" t="s">
        <v>1089</v>
      </c>
      <c r="AF46" t="s">
        <v>74</v>
      </c>
      <c r="AG46">
        <v>73</v>
      </c>
      <c r="AH46">
        <v>0</v>
      </c>
      <c r="AI46">
        <v>0</v>
      </c>
      <c r="AJ46">
        <v>6</v>
      </c>
      <c r="AK46">
        <v>8</v>
      </c>
      <c r="AL46" t="s">
        <v>369</v>
      </c>
      <c r="AM46" t="s">
        <v>370</v>
      </c>
      <c r="AN46" t="s">
        <v>371</v>
      </c>
      <c r="AO46" t="s">
        <v>789</v>
      </c>
      <c r="AP46" t="s">
        <v>790</v>
      </c>
      <c r="AQ46" t="s">
        <v>74</v>
      </c>
      <c r="AR46" t="s">
        <v>791</v>
      </c>
      <c r="AS46" t="s">
        <v>792</v>
      </c>
      <c r="AT46" t="s">
        <v>97</v>
      </c>
      <c r="AU46">
        <v>2023</v>
      </c>
      <c r="AV46">
        <v>24</v>
      </c>
      <c r="AW46">
        <v>18</v>
      </c>
      <c r="AX46" t="s">
        <v>74</v>
      </c>
      <c r="AY46" t="s">
        <v>74</v>
      </c>
      <c r="AZ46" t="s">
        <v>74</v>
      </c>
      <c r="BA46" t="s">
        <v>74</v>
      </c>
      <c r="BB46" t="s">
        <v>74</v>
      </c>
      <c r="BC46" t="s">
        <v>74</v>
      </c>
      <c r="BD46">
        <v>13824</v>
      </c>
      <c r="BE46" t="s">
        <v>1090</v>
      </c>
      <c r="BF46" t="str">
        <f>HYPERLINK("http://dx.doi.org/10.3390/ijms241813824","http://dx.doi.org/10.3390/ijms241813824")</f>
        <v>http://dx.doi.org/10.3390/ijms241813824</v>
      </c>
      <c r="BG46" t="s">
        <v>74</v>
      </c>
      <c r="BH46" t="s">
        <v>74</v>
      </c>
      <c r="BI46">
        <v>19</v>
      </c>
      <c r="BJ46" t="s">
        <v>794</v>
      </c>
      <c r="BK46" t="s">
        <v>104</v>
      </c>
      <c r="BL46" t="s">
        <v>795</v>
      </c>
      <c r="BM46" t="s">
        <v>1091</v>
      </c>
      <c r="BN46">
        <v>37762127</v>
      </c>
      <c r="BO46" t="s">
        <v>181</v>
      </c>
      <c r="BP46" t="s">
        <v>74</v>
      </c>
      <c r="BQ46" t="s">
        <v>74</v>
      </c>
      <c r="BR46" t="s">
        <v>107</v>
      </c>
      <c r="BS46" t="s">
        <v>1092</v>
      </c>
      <c r="BT46" t="str">
        <f>HYPERLINK("https%3A%2F%2Fwww.webofscience.com%2Fwos%2Fwoscc%2Ffull-record%2FWOS:001074076200001","View Full Record in Web of Science")</f>
        <v>View Full Record in Web of Science</v>
      </c>
    </row>
    <row r="47" spans="1:72" x14ac:dyDescent="0.15">
      <c r="A47" t="s">
        <v>72</v>
      </c>
      <c r="B47" t="s">
        <v>1093</v>
      </c>
      <c r="C47" t="s">
        <v>74</v>
      </c>
      <c r="D47" t="s">
        <v>74</v>
      </c>
      <c r="E47" t="s">
        <v>74</v>
      </c>
      <c r="F47" t="s">
        <v>1094</v>
      </c>
      <c r="G47" t="s">
        <v>74</v>
      </c>
      <c r="H47" t="s">
        <v>74</v>
      </c>
      <c r="I47" t="s">
        <v>1095</v>
      </c>
      <c r="J47" t="s">
        <v>1008</v>
      </c>
      <c r="K47" t="s">
        <v>74</v>
      </c>
      <c r="L47" t="s">
        <v>74</v>
      </c>
      <c r="M47" t="s">
        <v>78</v>
      </c>
      <c r="N47" t="s">
        <v>79</v>
      </c>
      <c r="O47" t="s">
        <v>74</v>
      </c>
      <c r="P47" t="s">
        <v>74</v>
      </c>
      <c r="Q47" t="s">
        <v>74</v>
      </c>
      <c r="R47" t="s">
        <v>74</v>
      </c>
      <c r="S47" t="s">
        <v>74</v>
      </c>
      <c r="T47" t="s">
        <v>1096</v>
      </c>
      <c r="U47" t="s">
        <v>1097</v>
      </c>
      <c r="V47" t="s">
        <v>1098</v>
      </c>
      <c r="W47" t="s">
        <v>1099</v>
      </c>
      <c r="X47" t="s">
        <v>1100</v>
      </c>
      <c r="Y47" t="s">
        <v>1101</v>
      </c>
      <c r="Z47" t="s">
        <v>1102</v>
      </c>
      <c r="AA47" t="s">
        <v>74</v>
      </c>
      <c r="AB47" t="s">
        <v>1103</v>
      </c>
      <c r="AC47" t="s">
        <v>1104</v>
      </c>
      <c r="AD47" t="s">
        <v>1105</v>
      </c>
      <c r="AE47" t="s">
        <v>1106</v>
      </c>
      <c r="AF47" t="s">
        <v>74</v>
      </c>
      <c r="AG47">
        <v>89</v>
      </c>
      <c r="AH47">
        <v>0</v>
      </c>
      <c r="AI47">
        <v>0</v>
      </c>
      <c r="AJ47">
        <v>1</v>
      </c>
      <c r="AK47">
        <v>2</v>
      </c>
      <c r="AL47" t="s">
        <v>588</v>
      </c>
      <c r="AM47" t="s">
        <v>589</v>
      </c>
      <c r="AN47" t="s">
        <v>590</v>
      </c>
      <c r="AO47" t="s">
        <v>1020</v>
      </c>
      <c r="AP47" t="s">
        <v>1021</v>
      </c>
      <c r="AQ47" t="s">
        <v>74</v>
      </c>
      <c r="AR47" t="s">
        <v>1022</v>
      </c>
      <c r="AS47" t="s">
        <v>1023</v>
      </c>
      <c r="AT47" t="s">
        <v>97</v>
      </c>
      <c r="AU47">
        <v>2023</v>
      </c>
      <c r="AV47">
        <v>128</v>
      </c>
      <c r="AW47">
        <v>9</v>
      </c>
      <c r="AX47" t="s">
        <v>74</v>
      </c>
      <c r="AY47" t="s">
        <v>74</v>
      </c>
      <c r="AZ47" t="s">
        <v>74</v>
      </c>
      <c r="BA47" t="s">
        <v>74</v>
      </c>
      <c r="BB47" t="s">
        <v>74</v>
      </c>
      <c r="BC47" t="s">
        <v>74</v>
      </c>
      <c r="BD47" t="s">
        <v>1107</v>
      </c>
      <c r="BE47" t="s">
        <v>1108</v>
      </c>
      <c r="BF47" t="str">
        <f>HYPERLINK("http://dx.doi.org/10.1029/2023JC020055","http://dx.doi.org/10.1029/2023JC020055")</f>
        <v>http://dx.doi.org/10.1029/2023JC020055</v>
      </c>
      <c r="BG47" t="s">
        <v>74</v>
      </c>
      <c r="BH47" t="s">
        <v>74</v>
      </c>
      <c r="BI47">
        <v>18</v>
      </c>
      <c r="BJ47" t="s">
        <v>306</v>
      </c>
      <c r="BK47" t="s">
        <v>104</v>
      </c>
      <c r="BL47" t="s">
        <v>306</v>
      </c>
      <c r="BM47" t="s">
        <v>1109</v>
      </c>
      <c r="BN47" t="s">
        <v>74</v>
      </c>
      <c r="BO47" t="s">
        <v>133</v>
      </c>
      <c r="BP47" t="s">
        <v>74</v>
      </c>
      <c r="BQ47" t="s">
        <v>74</v>
      </c>
      <c r="BR47" t="s">
        <v>107</v>
      </c>
      <c r="BS47" t="s">
        <v>1110</v>
      </c>
      <c r="BT47" t="str">
        <f>HYPERLINK("https%3A%2F%2Fwww.webofscience.com%2Fwos%2Fwoscc%2Ffull-record%2FWOS:001066910600001","View Full Record in Web of Science")</f>
        <v>View Full Record in Web of Science</v>
      </c>
    </row>
    <row r="48" spans="1:72" x14ac:dyDescent="0.15">
      <c r="A48" t="s">
        <v>72</v>
      </c>
      <c r="B48" t="s">
        <v>1111</v>
      </c>
      <c r="C48" t="s">
        <v>74</v>
      </c>
      <c r="D48" t="s">
        <v>74</v>
      </c>
      <c r="E48" t="s">
        <v>74</v>
      </c>
      <c r="F48" t="s">
        <v>1112</v>
      </c>
      <c r="G48" t="s">
        <v>74</v>
      </c>
      <c r="H48" t="s">
        <v>74</v>
      </c>
      <c r="I48" t="s">
        <v>1113</v>
      </c>
      <c r="J48" t="s">
        <v>888</v>
      </c>
      <c r="K48" t="s">
        <v>74</v>
      </c>
      <c r="L48" t="s">
        <v>74</v>
      </c>
      <c r="M48" t="s">
        <v>78</v>
      </c>
      <c r="N48" t="s">
        <v>79</v>
      </c>
      <c r="O48" t="s">
        <v>74</v>
      </c>
      <c r="P48" t="s">
        <v>74</v>
      </c>
      <c r="Q48" t="s">
        <v>74</v>
      </c>
      <c r="R48" t="s">
        <v>74</v>
      </c>
      <c r="S48" t="s">
        <v>74</v>
      </c>
      <c r="T48" t="s">
        <v>1114</v>
      </c>
      <c r="U48" t="s">
        <v>1115</v>
      </c>
      <c r="V48" t="s">
        <v>1116</v>
      </c>
      <c r="W48" t="s">
        <v>1117</v>
      </c>
      <c r="X48" t="s">
        <v>1118</v>
      </c>
      <c r="Y48" t="s">
        <v>1119</v>
      </c>
      <c r="Z48" t="s">
        <v>1120</v>
      </c>
      <c r="AA48" t="s">
        <v>74</v>
      </c>
      <c r="AB48" t="s">
        <v>1121</v>
      </c>
      <c r="AC48" t="s">
        <v>1122</v>
      </c>
      <c r="AD48" t="s">
        <v>1123</v>
      </c>
      <c r="AE48" t="s">
        <v>1124</v>
      </c>
      <c r="AF48" t="s">
        <v>74</v>
      </c>
      <c r="AG48">
        <v>52</v>
      </c>
      <c r="AH48">
        <v>0</v>
      </c>
      <c r="AI48">
        <v>0</v>
      </c>
      <c r="AJ48">
        <v>2</v>
      </c>
      <c r="AK48">
        <v>3</v>
      </c>
      <c r="AL48" t="s">
        <v>588</v>
      </c>
      <c r="AM48" t="s">
        <v>589</v>
      </c>
      <c r="AN48" t="s">
        <v>590</v>
      </c>
      <c r="AO48" t="s">
        <v>901</v>
      </c>
      <c r="AP48" t="s">
        <v>902</v>
      </c>
      <c r="AQ48" t="s">
        <v>74</v>
      </c>
      <c r="AR48" t="s">
        <v>903</v>
      </c>
      <c r="AS48" t="s">
        <v>904</v>
      </c>
      <c r="AT48" t="s">
        <v>97</v>
      </c>
      <c r="AU48">
        <v>2023</v>
      </c>
      <c r="AV48">
        <v>128</v>
      </c>
      <c r="AW48">
        <v>9</v>
      </c>
      <c r="AX48" t="s">
        <v>74</v>
      </c>
      <c r="AY48" t="s">
        <v>74</v>
      </c>
      <c r="AZ48" t="s">
        <v>74</v>
      </c>
      <c r="BA48" t="s">
        <v>74</v>
      </c>
      <c r="BB48" t="s">
        <v>74</v>
      </c>
      <c r="BC48" t="s">
        <v>74</v>
      </c>
      <c r="BD48" t="s">
        <v>1125</v>
      </c>
      <c r="BE48" t="s">
        <v>1126</v>
      </c>
      <c r="BF48" t="str">
        <f>HYPERLINK("http://dx.doi.org/10.1029/2022JA031069","http://dx.doi.org/10.1029/2022JA031069")</f>
        <v>http://dx.doi.org/10.1029/2022JA031069</v>
      </c>
      <c r="BG48" t="s">
        <v>74</v>
      </c>
      <c r="BH48" t="s">
        <v>74</v>
      </c>
      <c r="BI48">
        <v>28</v>
      </c>
      <c r="BJ48" t="s">
        <v>845</v>
      </c>
      <c r="BK48" t="s">
        <v>104</v>
      </c>
      <c r="BL48" t="s">
        <v>845</v>
      </c>
      <c r="BM48" t="s">
        <v>1127</v>
      </c>
      <c r="BN48" t="s">
        <v>74</v>
      </c>
      <c r="BO48" t="s">
        <v>1128</v>
      </c>
      <c r="BP48" t="s">
        <v>74</v>
      </c>
      <c r="BQ48" t="s">
        <v>74</v>
      </c>
      <c r="BR48" t="s">
        <v>107</v>
      </c>
      <c r="BS48" t="s">
        <v>1129</v>
      </c>
      <c r="BT48" t="str">
        <f>HYPERLINK("https%3A%2F%2Fwww.webofscience.com%2Fwos%2Fwoscc%2Ffull-record%2FWOS:001066751300001","View Full Record in Web of Science")</f>
        <v>View Full Record in Web of Science</v>
      </c>
    </row>
    <row r="49" spans="1:72" x14ac:dyDescent="0.15">
      <c r="A49" t="s">
        <v>72</v>
      </c>
      <c r="B49" t="s">
        <v>1130</v>
      </c>
      <c r="C49" t="s">
        <v>74</v>
      </c>
      <c r="D49" t="s">
        <v>74</v>
      </c>
      <c r="E49" t="s">
        <v>74</v>
      </c>
      <c r="F49" t="s">
        <v>1131</v>
      </c>
      <c r="G49" t="s">
        <v>74</v>
      </c>
      <c r="H49" t="s">
        <v>74</v>
      </c>
      <c r="I49" t="s">
        <v>1132</v>
      </c>
      <c r="J49" t="s">
        <v>1133</v>
      </c>
      <c r="K49" t="s">
        <v>74</v>
      </c>
      <c r="L49" t="s">
        <v>74</v>
      </c>
      <c r="M49" t="s">
        <v>1134</v>
      </c>
      <c r="N49" t="s">
        <v>869</v>
      </c>
      <c r="O49" t="s">
        <v>74</v>
      </c>
      <c r="P49" t="s">
        <v>74</v>
      </c>
      <c r="Q49" t="s">
        <v>74</v>
      </c>
      <c r="R49" t="s">
        <v>74</v>
      </c>
      <c r="S49" t="s">
        <v>74</v>
      </c>
      <c r="T49" t="s">
        <v>74</v>
      </c>
      <c r="U49" t="s">
        <v>74</v>
      </c>
      <c r="V49" t="s">
        <v>74</v>
      </c>
      <c r="W49" t="s">
        <v>1135</v>
      </c>
      <c r="X49" t="s">
        <v>74</v>
      </c>
      <c r="Y49" t="s">
        <v>1136</v>
      </c>
      <c r="Z49" t="s">
        <v>74</v>
      </c>
      <c r="AA49" t="s">
        <v>74</v>
      </c>
      <c r="AB49" t="s">
        <v>74</v>
      </c>
      <c r="AC49" t="s">
        <v>74</v>
      </c>
      <c r="AD49" t="s">
        <v>74</v>
      </c>
      <c r="AE49" t="s">
        <v>74</v>
      </c>
      <c r="AF49" t="s">
        <v>74</v>
      </c>
      <c r="AG49">
        <v>0</v>
      </c>
      <c r="AH49">
        <v>0</v>
      </c>
      <c r="AI49">
        <v>0</v>
      </c>
      <c r="AJ49">
        <v>0</v>
      </c>
      <c r="AK49">
        <v>0</v>
      </c>
      <c r="AL49" t="s">
        <v>1137</v>
      </c>
      <c r="AM49" t="s">
        <v>1138</v>
      </c>
      <c r="AN49" t="s">
        <v>1139</v>
      </c>
      <c r="AO49" t="s">
        <v>1140</v>
      </c>
      <c r="AP49" t="s">
        <v>1141</v>
      </c>
      <c r="AQ49" t="s">
        <v>74</v>
      </c>
      <c r="AR49" t="s">
        <v>1142</v>
      </c>
      <c r="AS49" t="s">
        <v>1143</v>
      </c>
      <c r="AT49" t="s">
        <v>97</v>
      </c>
      <c r="AU49">
        <v>2023</v>
      </c>
      <c r="AV49">
        <v>148</v>
      </c>
      <c r="AW49">
        <v>19</v>
      </c>
      <c r="AX49" t="s">
        <v>74</v>
      </c>
      <c r="AY49" t="s">
        <v>74</v>
      </c>
      <c r="AZ49" t="s">
        <v>74</v>
      </c>
      <c r="BA49" t="s">
        <v>74</v>
      </c>
      <c r="BB49">
        <v>1266</v>
      </c>
      <c r="BC49">
        <v>1270</v>
      </c>
      <c r="BD49" t="s">
        <v>74</v>
      </c>
      <c r="BE49" t="s">
        <v>1144</v>
      </c>
      <c r="BF49" t="str">
        <f>HYPERLINK("http://dx.doi.org/10.1055/a-2118-1767","http://dx.doi.org/10.1055/a-2118-1767")</f>
        <v>http://dx.doi.org/10.1055/a-2118-1767</v>
      </c>
      <c r="BG49" t="s">
        <v>74</v>
      </c>
      <c r="BH49" t="s">
        <v>74</v>
      </c>
      <c r="BI49">
        <v>5</v>
      </c>
      <c r="BJ49" t="s">
        <v>1145</v>
      </c>
      <c r="BK49" t="s">
        <v>104</v>
      </c>
      <c r="BL49" t="s">
        <v>1146</v>
      </c>
      <c r="BM49" t="s">
        <v>1147</v>
      </c>
      <c r="BN49" t="s">
        <v>74</v>
      </c>
      <c r="BO49" t="s">
        <v>74</v>
      </c>
      <c r="BP49" t="s">
        <v>74</v>
      </c>
      <c r="BQ49" t="s">
        <v>74</v>
      </c>
      <c r="BR49" t="s">
        <v>107</v>
      </c>
      <c r="BS49" t="s">
        <v>1148</v>
      </c>
      <c r="BT49" t="str">
        <f>HYPERLINK("https%3A%2F%2Fwww.webofscience.com%2Fwos%2Fwoscc%2Ffull-record%2FWOS:001069147100017","View Full Record in Web of Science")</f>
        <v>View Full Record in Web of Science</v>
      </c>
    </row>
    <row r="50" spans="1:72" x14ac:dyDescent="0.15">
      <c r="A50" t="s">
        <v>72</v>
      </c>
      <c r="B50" t="s">
        <v>1149</v>
      </c>
      <c r="C50" t="s">
        <v>74</v>
      </c>
      <c r="D50" t="s">
        <v>74</v>
      </c>
      <c r="E50" t="s">
        <v>74</v>
      </c>
      <c r="F50" t="s">
        <v>1150</v>
      </c>
      <c r="G50" t="s">
        <v>74</v>
      </c>
      <c r="H50" t="s">
        <v>74</v>
      </c>
      <c r="I50" t="s">
        <v>1151</v>
      </c>
      <c r="J50" t="s">
        <v>1152</v>
      </c>
      <c r="K50" t="s">
        <v>74</v>
      </c>
      <c r="L50" t="s">
        <v>74</v>
      </c>
      <c r="M50" t="s">
        <v>78</v>
      </c>
      <c r="N50" t="s">
        <v>79</v>
      </c>
      <c r="O50" t="s">
        <v>74</v>
      </c>
      <c r="P50" t="s">
        <v>74</v>
      </c>
      <c r="Q50" t="s">
        <v>74</v>
      </c>
      <c r="R50" t="s">
        <v>74</v>
      </c>
      <c r="S50" t="s">
        <v>74</v>
      </c>
      <c r="T50" t="s">
        <v>1153</v>
      </c>
      <c r="U50" t="s">
        <v>1154</v>
      </c>
      <c r="V50" t="s">
        <v>1155</v>
      </c>
      <c r="W50" t="s">
        <v>1156</v>
      </c>
      <c r="X50" t="s">
        <v>1157</v>
      </c>
      <c r="Y50" t="s">
        <v>1158</v>
      </c>
      <c r="Z50" t="s">
        <v>1159</v>
      </c>
      <c r="AA50" t="s">
        <v>1160</v>
      </c>
      <c r="AB50" t="s">
        <v>1161</v>
      </c>
      <c r="AC50" t="s">
        <v>1162</v>
      </c>
      <c r="AD50" t="s">
        <v>1163</v>
      </c>
      <c r="AE50" t="s">
        <v>1164</v>
      </c>
      <c r="AF50" t="s">
        <v>74</v>
      </c>
      <c r="AG50">
        <v>116</v>
      </c>
      <c r="AH50">
        <v>0</v>
      </c>
      <c r="AI50">
        <v>0</v>
      </c>
      <c r="AJ50">
        <v>4</v>
      </c>
      <c r="AK50">
        <v>6</v>
      </c>
      <c r="AL50" t="s">
        <v>588</v>
      </c>
      <c r="AM50" t="s">
        <v>589</v>
      </c>
      <c r="AN50" t="s">
        <v>590</v>
      </c>
      <c r="AO50" t="s">
        <v>1165</v>
      </c>
      <c r="AP50" t="s">
        <v>1166</v>
      </c>
      <c r="AQ50" t="s">
        <v>74</v>
      </c>
      <c r="AR50" t="s">
        <v>1167</v>
      </c>
      <c r="AS50" t="s">
        <v>1168</v>
      </c>
      <c r="AT50" t="s">
        <v>97</v>
      </c>
      <c r="AU50">
        <v>2023</v>
      </c>
      <c r="AV50">
        <v>128</v>
      </c>
      <c r="AW50">
        <v>9</v>
      </c>
      <c r="AX50" t="s">
        <v>74</v>
      </c>
      <c r="AY50" t="s">
        <v>74</v>
      </c>
      <c r="AZ50" t="s">
        <v>74</v>
      </c>
      <c r="BA50" t="s">
        <v>74</v>
      </c>
      <c r="BB50" t="s">
        <v>74</v>
      </c>
      <c r="BC50" t="s">
        <v>74</v>
      </c>
      <c r="BD50" t="s">
        <v>1169</v>
      </c>
      <c r="BE50" t="s">
        <v>1170</v>
      </c>
      <c r="BF50" t="str">
        <f>HYPERLINK("http://dx.doi.org/10.1029/2023JG007528","http://dx.doi.org/10.1029/2023JG007528")</f>
        <v>http://dx.doi.org/10.1029/2023JG007528</v>
      </c>
      <c r="BG50" t="s">
        <v>74</v>
      </c>
      <c r="BH50" t="s">
        <v>74</v>
      </c>
      <c r="BI50">
        <v>20</v>
      </c>
      <c r="BJ50" t="s">
        <v>1171</v>
      </c>
      <c r="BK50" t="s">
        <v>104</v>
      </c>
      <c r="BL50" t="s">
        <v>248</v>
      </c>
      <c r="BM50" t="s">
        <v>1172</v>
      </c>
      <c r="BN50" t="s">
        <v>74</v>
      </c>
      <c r="BO50" t="s">
        <v>1173</v>
      </c>
      <c r="BP50" t="s">
        <v>74</v>
      </c>
      <c r="BQ50" t="s">
        <v>74</v>
      </c>
      <c r="BR50" t="s">
        <v>107</v>
      </c>
      <c r="BS50" t="s">
        <v>1174</v>
      </c>
      <c r="BT50" t="str">
        <f>HYPERLINK("https%3A%2F%2Fwww.webofscience.com%2Fwos%2Fwoscc%2Ffull-record%2FWOS:001059956800001","View Full Record in Web of Science")</f>
        <v>View Full Record in Web of Science</v>
      </c>
    </row>
    <row r="51" spans="1:72" x14ac:dyDescent="0.15">
      <c r="A51" t="s">
        <v>72</v>
      </c>
      <c r="B51" t="s">
        <v>1175</v>
      </c>
      <c r="C51" t="s">
        <v>74</v>
      </c>
      <c r="D51" t="s">
        <v>74</v>
      </c>
      <c r="E51" t="s">
        <v>74</v>
      </c>
      <c r="F51" t="s">
        <v>1176</v>
      </c>
      <c r="G51" t="s">
        <v>74</v>
      </c>
      <c r="H51" t="s">
        <v>74</v>
      </c>
      <c r="I51" t="s">
        <v>1177</v>
      </c>
      <c r="J51" t="s">
        <v>641</v>
      </c>
      <c r="K51" t="s">
        <v>74</v>
      </c>
      <c r="L51" t="s">
        <v>74</v>
      </c>
      <c r="M51" t="s">
        <v>78</v>
      </c>
      <c r="N51" t="s">
        <v>79</v>
      </c>
      <c r="O51" t="s">
        <v>74</v>
      </c>
      <c r="P51" t="s">
        <v>74</v>
      </c>
      <c r="Q51" t="s">
        <v>74</v>
      </c>
      <c r="R51" t="s">
        <v>74</v>
      </c>
      <c r="S51" t="s">
        <v>74</v>
      </c>
      <c r="T51" t="s">
        <v>1178</v>
      </c>
      <c r="U51" t="s">
        <v>1179</v>
      </c>
      <c r="V51" t="s">
        <v>1180</v>
      </c>
      <c r="W51" t="s">
        <v>1181</v>
      </c>
      <c r="X51" t="s">
        <v>1182</v>
      </c>
      <c r="Y51" t="s">
        <v>1183</v>
      </c>
      <c r="Z51" t="s">
        <v>1184</v>
      </c>
      <c r="AA51" t="s">
        <v>74</v>
      </c>
      <c r="AB51" t="s">
        <v>74</v>
      </c>
      <c r="AC51" t="s">
        <v>1185</v>
      </c>
      <c r="AD51" t="s">
        <v>1186</v>
      </c>
      <c r="AE51" t="s">
        <v>1187</v>
      </c>
      <c r="AF51" t="s">
        <v>74</v>
      </c>
      <c r="AG51">
        <v>43</v>
      </c>
      <c r="AH51">
        <v>1</v>
      </c>
      <c r="AI51">
        <v>1</v>
      </c>
      <c r="AJ51">
        <v>0</v>
      </c>
      <c r="AK51">
        <v>0</v>
      </c>
      <c r="AL51" t="s">
        <v>460</v>
      </c>
      <c r="AM51" t="s">
        <v>461</v>
      </c>
      <c r="AN51" t="s">
        <v>462</v>
      </c>
      <c r="AO51" t="s">
        <v>652</v>
      </c>
      <c r="AP51" t="s">
        <v>74</v>
      </c>
      <c r="AQ51" t="s">
        <v>74</v>
      </c>
      <c r="AR51" t="s">
        <v>653</v>
      </c>
      <c r="AS51" t="s">
        <v>654</v>
      </c>
      <c r="AT51" t="s">
        <v>97</v>
      </c>
      <c r="AU51">
        <v>2023</v>
      </c>
      <c r="AV51">
        <v>13</v>
      </c>
      <c r="AW51">
        <v>9</v>
      </c>
      <c r="AX51" t="s">
        <v>74</v>
      </c>
      <c r="AY51" t="s">
        <v>74</v>
      </c>
      <c r="AZ51" t="s">
        <v>74</v>
      </c>
      <c r="BA51" t="s">
        <v>74</v>
      </c>
      <c r="BB51" t="s">
        <v>74</v>
      </c>
      <c r="BC51" t="s">
        <v>74</v>
      </c>
      <c r="BD51" t="s">
        <v>1188</v>
      </c>
      <c r="BE51" t="s">
        <v>1189</v>
      </c>
      <c r="BF51" t="str">
        <f>HYPERLINK("http://dx.doi.org/10.1002/ece3.10513","http://dx.doi.org/10.1002/ece3.10513")</f>
        <v>http://dx.doi.org/10.1002/ece3.10513</v>
      </c>
      <c r="BG51" t="s">
        <v>74</v>
      </c>
      <c r="BH51" t="s">
        <v>74</v>
      </c>
      <c r="BI51">
        <v>7</v>
      </c>
      <c r="BJ51" t="s">
        <v>657</v>
      </c>
      <c r="BK51" t="s">
        <v>104</v>
      </c>
      <c r="BL51" t="s">
        <v>658</v>
      </c>
      <c r="BM51" t="s">
        <v>1190</v>
      </c>
      <c r="BN51">
        <v>37701022</v>
      </c>
      <c r="BO51" t="s">
        <v>447</v>
      </c>
      <c r="BP51" t="s">
        <v>74</v>
      </c>
      <c r="BQ51" t="s">
        <v>74</v>
      </c>
      <c r="BR51" t="s">
        <v>107</v>
      </c>
      <c r="BS51" t="s">
        <v>1191</v>
      </c>
      <c r="BT51" t="str">
        <f>HYPERLINK("https%3A%2F%2Fwww.webofscience.com%2Fwos%2Fwoscc%2Ffull-record%2FWOS:001064792200001","View Full Record in Web of Science")</f>
        <v>View Full Record in Web of Science</v>
      </c>
    </row>
    <row r="52" spans="1:72" x14ac:dyDescent="0.15">
      <c r="A52" t="s">
        <v>72</v>
      </c>
      <c r="B52" t="s">
        <v>1192</v>
      </c>
      <c r="C52" t="s">
        <v>74</v>
      </c>
      <c r="D52" t="s">
        <v>74</v>
      </c>
      <c r="E52" t="s">
        <v>74</v>
      </c>
      <c r="F52" t="s">
        <v>1193</v>
      </c>
      <c r="G52" t="s">
        <v>74</v>
      </c>
      <c r="H52" t="s">
        <v>74</v>
      </c>
      <c r="I52" t="s">
        <v>1194</v>
      </c>
      <c r="J52" t="s">
        <v>1195</v>
      </c>
      <c r="K52" t="s">
        <v>74</v>
      </c>
      <c r="L52" t="s">
        <v>74</v>
      </c>
      <c r="M52" t="s">
        <v>78</v>
      </c>
      <c r="N52" t="s">
        <v>79</v>
      </c>
      <c r="O52" t="s">
        <v>74</v>
      </c>
      <c r="P52" t="s">
        <v>74</v>
      </c>
      <c r="Q52" t="s">
        <v>74</v>
      </c>
      <c r="R52" t="s">
        <v>74</v>
      </c>
      <c r="S52" t="s">
        <v>74</v>
      </c>
      <c r="T52" t="s">
        <v>1196</v>
      </c>
      <c r="U52" t="s">
        <v>1197</v>
      </c>
      <c r="V52" t="s">
        <v>1198</v>
      </c>
      <c r="W52" t="s">
        <v>1199</v>
      </c>
      <c r="X52" t="s">
        <v>1200</v>
      </c>
      <c r="Y52" t="s">
        <v>1201</v>
      </c>
      <c r="Z52" t="s">
        <v>1202</v>
      </c>
      <c r="AA52" t="s">
        <v>1203</v>
      </c>
      <c r="AB52" t="s">
        <v>1204</v>
      </c>
      <c r="AC52" t="s">
        <v>1205</v>
      </c>
      <c r="AD52" t="s">
        <v>1206</v>
      </c>
      <c r="AE52" t="s">
        <v>1207</v>
      </c>
      <c r="AF52" t="s">
        <v>74</v>
      </c>
      <c r="AG52">
        <v>121</v>
      </c>
      <c r="AH52">
        <v>2</v>
      </c>
      <c r="AI52">
        <v>2</v>
      </c>
      <c r="AJ52">
        <v>14</v>
      </c>
      <c r="AK52">
        <v>20</v>
      </c>
      <c r="AL52" t="s">
        <v>588</v>
      </c>
      <c r="AM52" t="s">
        <v>589</v>
      </c>
      <c r="AN52" t="s">
        <v>590</v>
      </c>
      <c r="AO52" t="s">
        <v>1208</v>
      </c>
      <c r="AP52" t="s">
        <v>1209</v>
      </c>
      <c r="AQ52" t="s">
        <v>74</v>
      </c>
      <c r="AR52" t="s">
        <v>1210</v>
      </c>
      <c r="AS52" t="s">
        <v>1211</v>
      </c>
      <c r="AT52" t="s">
        <v>97</v>
      </c>
      <c r="AU52">
        <v>2023</v>
      </c>
      <c r="AV52">
        <v>37</v>
      </c>
      <c r="AW52">
        <v>9</v>
      </c>
      <c r="AX52" t="s">
        <v>74</v>
      </c>
      <c r="AY52" t="s">
        <v>74</v>
      </c>
      <c r="AZ52" t="s">
        <v>74</v>
      </c>
      <c r="BA52" t="s">
        <v>74</v>
      </c>
      <c r="BB52" t="s">
        <v>74</v>
      </c>
      <c r="BC52" t="s">
        <v>74</v>
      </c>
      <c r="BD52" t="s">
        <v>1212</v>
      </c>
      <c r="BE52" t="s">
        <v>1213</v>
      </c>
      <c r="BF52" t="str">
        <f>HYPERLINK("http://dx.doi.org/10.1029/2022GB007678","http://dx.doi.org/10.1029/2022GB007678")</f>
        <v>http://dx.doi.org/10.1029/2022GB007678</v>
      </c>
      <c r="BG52" t="s">
        <v>74</v>
      </c>
      <c r="BH52" t="s">
        <v>74</v>
      </c>
      <c r="BI52">
        <v>22</v>
      </c>
      <c r="BJ52" t="s">
        <v>1214</v>
      </c>
      <c r="BK52" t="s">
        <v>104</v>
      </c>
      <c r="BL52" t="s">
        <v>1215</v>
      </c>
      <c r="BM52" t="s">
        <v>1216</v>
      </c>
      <c r="BN52" t="s">
        <v>74</v>
      </c>
      <c r="BO52" t="s">
        <v>1217</v>
      </c>
      <c r="BP52" t="s">
        <v>74</v>
      </c>
      <c r="BQ52" t="s">
        <v>74</v>
      </c>
      <c r="BR52" t="s">
        <v>107</v>
      </c>
      <c r="BS52" t="s">
        <v>1218</v>
      </c>
      <c r="BT52" t="str">
        <f>HYPERLINK("https%3A%2F%2Fwww.webofscience.com%2Fwos%2Fwoscc%2Ffull-record%2FWOS:001063865700001","View Full Record in Web of Science")</f>
        <v>View Full Record in Web of Science</v>
      </c>
    </row>
    <row r="53" spans="1:72" x14ac:dyDescent="0.15">
      <c r="A53" t="s">
        <v>72</v>
      </c>
      <c r="B53" t="s">
        <v>1219</v>
      </c>
      <c r="C53" t="s">
        <v>74</v>
      </c>
      <c r="D53" t="s">
        <v>74</v>
      </c>
      <c r="E53" t="s">
        <v>74</v>
      </c>
      <c r="F53" t="s">
        <v>1220</v>
      </c>
      <c r="G53" t="s">
        <v>74</v>
      </c>
      <c r="H53" t="s">
        <v>74</v>
      </c>
      <c r="I53" t="s">
        <v>1221</v>
      </c>
      <c r="J53" t="s">
        <v>1222</v>
      </c>
      <c r="K53" t="s">
        <v>74</v>
      </c>
      <c r="L53" t="s">
        <v>74</v>
      </c>
      <c r="M53" t="s">
        <v>78</v>
      </c>
      <c r="N53" t="s">
        <v>79</v>
      </c>
      <c r="O53" t="s">
        <v>74</v>
      </c>
      <c r="P53" t="s">
        <v>74</v>
      </c>
      <c r="Q53" t="s">
        <v>74</v>
      </c>
      <c r="R53" t="s">
        <v>74</v>
      </c>
      <c r="S53" t="s">
        <v>74</v>
      </c>
      <c r="T53" t="s">
        <v>1223</v>
      </c>
      <c r="U53" t="s">
        <v>1224</v>
      </c>
      <c r="V53" t="s">
        <v>1225</v>
      </c>
      <c r="W53" t="s">
        <v>1226</v>
      </c>
      <c r="X53" t="s">
        <v>1227</v>
      </c>
      <c r="Y53" t="s">
        <v>1228</v>
      </c>
      <c r="Z53" t="s">
        <v>1229</v>
      </c>
      <c r="AA53" t="s">
        <v>74</v>
      </c>
      <c r="AB53" t="s">
        <v>1230</v>
      </c>
      <c r="AC53" t="s">
        <v>1231</v>
      </c>
      <c r="AD53" t="s">
        <v>1232</v>
      </c>
      <c r="AE53" t="s">
        <v>1233</v>
      </c>
      <c r="AF53" t="s">
        <v>74</v>
      </c>
      <c r="AG53">
        <v>78</v>
      </c>
      <c r="AH53">
        <v>2</v>
      </c>
      <c r="AI53">
        <v>2</v>
      </c>
      <c r="AJ53">
        <v>3</v>
      </c>
      <c r="AK53">
        <v>6</v>
      </c>
      <c r="AL53" t="s">
        <v>90</v>
      </c>
      <c r="AM53" t="s">
        <v>91</v>
      </c>
      <c r="AN53" t="s">
        <v>92</v>
      </c>
      <c r="AO53" t="s">
        <v>1234</v>
      </c>
      <c r="AP53" t="s">
        <v>1235</v>
      </c>
      <c r="AQ53" t="s">
        <v>74</v>
      </c>
      <c r="AR53" t="s">
        <v>1236</v>
      </c>
      <c r="AS53" t="s">
        <v>1237</v>
      </c>
      <c r="AT53" t="s">
        <v>97</v>
      </c>
      <c r="AU53">
        <v>2023</v>
      </c>
      <c r="AV53">
        <v>53</v>
      </c>
      <c r="AW53">
        <v>9</v>
      </c>
      <c r="AX53" t="s">
        <v>74</v>
      </c>
      <c r="AY53" t="s">
        <v>74</v>
      </c>
      <c r="AZ53" t="s">
        <v>74</v>
      </c>
      <c r="BA53" t="s">
        <v>74</v>
      </c>
      <c r="BB53">
        <v>2047</v>
      </c>
      <c r="BC53">
        <v>2067</v>
      </c>
      <c r="BD53" t="s">
        <v>74</v>
      </c>
      <c r="BE53" t="s">
        <v>1238</v>
      </c>
      <c r="BF53" t="str">
        <f>HYPERLINK("http://dx.doi.org/10.1175/JPO-D-22-0218.1","http://dx.doi.org/10.1175/JPO-D-22-0218.1")</f>
        <v>http://dx.doi.org/10.1175/JPO-D-22-0218.1</v>
      </c>
      <c r="BG53" t="s">
        <v>74</v>
      </c>
      <c r="BH53" t="s">
        <v>74</v>
      </c>
      <c r="BI53">
        <v>21</v>
      </c>
      <c r="BJ53" t="s">
        <v>306</v>
      </c>
      <c r="BK53" t="s">
        <v>104</v>
      </c>
      <c r="BL53" t="s">
        <v>306</v>
      </c>
      <c r="BM53" t="s">
        <v>1239</v>
      </c>
      <c r="BN53" t="s">
        <v>74</v>
      </c>
      <c r="BO53" t="s">
        <v>74</v>
      </c>
      <c r="BP53" t="s">
        <v>74</v>
      </c>
      <c r="BQ53" t="s">
        <v>74</v>
      </c>
      <c r="BR53" t="s">
        <v>107</v>
      </c>
      <c r="BS53" t="s">
        <v>1240</v>
      </c>
      <c r="BT53" t="str">
        <f>HYPERLINK("https%3A%2F%2Fwww.webofscience.com%2Fwos%2Fwoscc%2Ffull-record%2FWOS:001062436300002","View Full Record in Web of Science")</f>
        <v>View Full Record in Web of Science</v>
      </c>
    </row>
    <row r="54" spans="1:72" x14ac:dyDescent="0.15">
      <c r="A54" t="s">
        <v>72</v>
      </c>
      <c r="B54" t="s">
        <v>1241</v>
      </c>
      <c r="C54" t="s">
        <v>74</v>
      </c>
      <c r="D54" t="s">
        <v>74</v>
      </c>
      <c r="E54" t="s">
        <v>74</v>
      </c>
      <c r="F54" t="s">
        <v>1242</v>
      </c>
      <c r="G54" t="s">
        <v>74</v>
      </c>
      <c r="H54" t="s">
        <v>74</v>
      </c>
      <c r="I54" t="s">
        <v>1243</v>
      </c>
      <c r="J54" t="s">
        <v>1244</v>
      </c>
      <c r="K54" t="s">
        <v>74</v>
      </c>
      <c r="L54" t="s">
        <v>74</v>
      </c>
      <c r="M54" t="s">
        <v>78</v>
      </c>
      <c r="N54" t="s">
        <v>79</v>
      </c>
      <c r="O54" t="s">
        <v>74</v>
      </c>
      <c r="P54" t="s">
        <v>74</v>
      </c>
      <c r="Q54" t="s">
        <v>74</v>
      </c>
      <c r="R54" t="s">
        <v>74</v>
      </c>
      <c r="S54" t="s">
        <v>74</v>
      </c>
      <c r="T54" t="s">
        <v>1245</v>
      </c>
      <c r="U54" t="s">
        <v>1246</v>
      </c>
      <c r="V54" t="s">
        <v>1247</v>
      </c>
      <c r="W54" t="s">
        <v>1248</v>
      </c>
      <c r="X54" t="s">
        <v>1249</v>
      </c>
      <c r="Y54" t="s">
        <v>1250</v>
      </c>
      <c r="Z54" t="s">
        <v>1251</v>
      </c>
      <c r="AA54" t="s">
        <v>74</v>
      </c>
      <c r="AB54" t="s">
        <v>1252</v>
      </c>
      <c r="AC54" t="s">
        <v>1253</v>
      </c>
      <c r="AD54" t="s">
        <v>1254</v>
      </c>
      <c r="AE54" t="s">
        <v>1255</v>
      </c>
      <c r="AF54" t="s">
        <v>74</v>
      </c>
      <c r="AG54">
        <v>62</v>
      </c>
      <c r="AH54">
        <v>0</v>
      </c>
      <c r="AI54">
        <v>0</v>
      </c>
      <c r="AJ54">
        <v>0</v>
      </c>
      <c r="AK54">
        <v>0</v>
      </c>
      <c r="AL54" t="s">
        <v>537</v>
      </c>
      <c r="AM54" t="s">
        <v>538</v>
      </c>
      <c r="AN54" t="s">
        <v>539</v>
      </c>
      <c r="AO54" t="s">
        <v>1256</v>
      </c>
      <c r="AP54" t="s">
        <v>1257</v>
      </c>
      <c r="AQ54" t="s">
        <v>74</v>
      </c>
      <c r="AR54" t="s">
        <v>1258</v>
      </c>
      <c r="AS54" t="s">
        <v>1259</v>
      </c>
      <c r="AT54" t="s">
        <v>1260</v>
      </c>
      <c r="AU54">
        <v>2023</v>
      </c>
      <c r="AV54">
        <v>45</v>
      </c>
      <c r="AW54">
        <v>5</v>
      </c>
      <c r="AX54" t="s">
        <v>74</v>
      </c>
      <c r="AY54" t="s">
        <v>74</v>
      </c>
      <c r="AZ54" t="s">
        <v>74</v>
      </c>
      <c r="BA54" t="s">
        <v>74</v>
      </c>
      <c r="BB54">
        <v>763</v>
      </c>
      <c r="BC54">
        <v>776</v>
      </c>
      <c r="BD54" t="s">
        <v>74</v>
      </c>
      <c r="BE54" t="s">
        <v>1261</v>
      </c>
      <c r="BF54" t="str">
        <f>HYPERLINK("http://dx.doi.org/10.1093/plankt/fbad038","http://dx.doi.org/10.1093/plankt/fbad038")</f>
        <v>http://dx.doi.org/10.1093/plankt/fbad038</v>
      </c>
      <c r="BG54" t="s">
        <v>74</v>
      </c>
      <c r="BH54" t="s">
        <v>932</v>
      </c>
      <c r="BI54">
        <v>14</v>
      </c>
      <c r="BJ54" t="s">
        <v>569</v>
      </c>
      <c r="BK54" t="s">
        <v>104</v>
      </c>
      <c r="BL54" t="s">
        <v>569</v>
      </c>
      <c r="BM54" t="s">
        <v>1262</v>
      </c>
      <c r="BN54" t="s">
        <v>74</v>
      </c>
      <c r="BO54" t="s">
        <v>74</v>
      </c>
      <c r="BP54" t="s">
        <v>74</v>
      </c>
      <c r="BQ54" t="s">
        <v>74</v>
      </c>
      <c r="BR54" t="s">
        <v>107</v>
      </c>
      <c r="BS54" t="s">
        <v>1263</v>
      </c>
      <c r="BT54" t="str">
        <f>HYPERLINK("https%3A%2F%2Fwww.webofscience.com%2Fwos%2Fwoscc%2Ffull-record%2FWOS:001060433600001","View Full Record in Web of Science")</f>
        <v>View Full Record in Web of Science</v>
      </c>
    </row>
    <row r="55" spans="1:72" x14ac:dyDescent="0.15">
      <c r="A55" t="s">
        <v>72</v>
      </c>
      <c r="B55" t="s">
        <v>1264</v>
      </c>
      <c r="C55" t="s">
        <v>74</v>
      </c>
      <c r="D55" t="s">
        <v>74</v>
      </c>
      <c r="E55" t="s">
        <v>74</v>
      </c>
      <c r="F55" t="s">
        <v>1265</v>
      </c>
      <c r="G55" t="s">
        <v>74</v>
      </c>
      <c r="H55" t="s">
        <v>74</v>
      </c>
      <c r="I55" t="s">
        <v>1266</v>
      </c>
      <c r="J55" t="s">
        <v>1195</v>
      </c>
      <c r="K55" t="s">
        <v>74</v>
      </c>
      <c r="L55" t="s">
        <v>74</v>
      </c>
      <c r="M55" t="s">
        <v>78</v>
      </c>
      <c r="N55" t="s">
        <v>79</v>
      </c>
      <c r="O55" t="s">
        <v>74</v>
      </c>
      <c r="P55" t="s">
        <v>74</v>
      </c>
      <c r="Q55" t="s">
        <v>74</v>
      </c>
      <c r="R55" t="s">
        <v>74</v>
      </c>
      <c r="S55" t="s">
        <v>74</v>
      </c>
      <c r="T55" t="s">
        <v>1267</v>
      </c>
      <c r="U55" t="s">
        <v>1268</v>
      </c>
      <c r="V55" t="s">
        <v>1269</v>
      </c>
      <c r="W55" t="s">
        <v>1270</v>
      </c>
      <c r="X55" t="s">
        <v>1271</v>
      </c>
      <c r="Y55" t="s">
        <v>1272</v>
      </c>
      <c r="Z55" t="s">
        <v>1273</v>
      </c>
      <c r="AA55" t="s">
        <v>1274</v>
      </c>
      <c r="AB55" t="s">
        <v>1275</v>
      </c>
      <c r="AC55" t="s">
        <v>1276</v>
      </c>
      <c r="AD55" t="s">
        <v>1277</v>
      </c>
      <c r="AE55" t="s">
        <v>1278</v>
      </c>
      <c r="AF55" t="s">
        <v>74</v>
      </c>
      <c r="AG55">
        <v>117</v>
      </c>
      <c r="AH55">
        <v>1</v>
      </c>
      <c r="AI55">
        <v>1</v>
      </c>
      <c r="AJ55">
        <v>22</v>
      </c>
      <c r="AK55">
        <v>28</v>
      </c>
      <c r="AL55" t="s">
        <v>588</v>
      </c>
      <c r="AM55" t="s">
        <v>589</v>
      </c>
      <c r="AN55" t="s">
        <v>590</v>
      </c>
      <c r="AO55" t="s">
        <v>1208</v>
      </c>
      <c r="AP55" t="s">
        <v>1209</v>
      </c>
      <c r="AQ55" t="s">
        <v>74</v>
      </c>
      <c r="AR55" t="s">
        <v>1210</v>
      </c>
      <c r="AS55" t="s">
        <v>1211</v>
      </c>
      <c r="AT55" t="s">
        <v>97</v>
      </c>
      <c r="AU55">
        <v>2023</v>
      </c>
      <c r="AV55">
        <v>37</v>
      </c>
      <c r="AW55">
        <v>9</v>
      </c>
      <c r="AX55" t="s">
        <v>74</v>
      </c>
      <c r="AY55" t="s">
        <v>74</v>
      </c>
      <c r="AZ55" t="s">
        <v>74</v>
      </c>
      <c r="BA55" t="s">
        <v>74</v>
      </c>
      <c r="BB55" t="s">
        <v>74</v>
      </c>
      <c r="BC55" t="s">
        <v>74</v>
      </c>
      <c r="BD55" t="s">
        <v>1279</v>
      </c>
      <c r="BE55" t="s">
        <v>1280</v>
      </c>
      <c r="BF55" t="str">
        <f>HYPERLINK("http://dx.doi.org/10.1029/2023GB007742","http://dx.doi.org/10.1029/2023GB007742")</f>
        <v>http://dx.doi.org/10.1029/2023GB007742</v>
      </c>
      <c r="BG55" t="s">
        <v>74</v>
      </c>
      <c r="BH55" t="s">
        <v>74</v>
      </c>
      <c r="BI55">
        <v>18</v>
      </c>
      <c r="BJ55" t="s">
        <v>1214</v>
      </c>
      <c r="BK55" t="s">
        <v>104</v>
      </c>
      <c r="BL55" t="s">
        <v>1215</v>
      </c>
      <c r="BM55" t="s">
        <v>1281</v>
      </c>
      <c r="BN55" t="s">
        <v>74</v>
      </c>
      <c r="BO55" t="s">
        <v>1282</v>
      </c>
      <c r="BP55" t="s">
        <v>74</v>
      </c>
      <c r="BQ55" t="s">
        <v>74</v>
      </c>
      <c r="BR55" t="s">
        <v>107</v>
      </c>
      <c r="BS55" t="s">
        <v>1283</v>
      </c>
      <c r="BT55" t="str">
        <f>HYPERLINK("https%3A%2F%2Fwww.webofscience.com%2Fwos%2Fwoscc%2Ffull-record%2FWOS:001064397300001","View Full Record in Web of Science")</f>
        <v>View Full Record in Web of Science</v>
      </c>
    </row>
    <row r="56" spans="1:72" x14ac:dyDescent="0.15">
      <c r="A56" t="s">
        <v>72</v>
      </c>
      <c r="B56" t="s">
        <v>1284</v>
      </c>
      <c r="C56" t="s">
        <v>74</v>
      </c>
      <c r="D56" t="s">
        <v>74</v>
      </c>
      <c r="E56" t="s">
        <v>74</v>
      </c>
      <c r="F56" t="s">
        <v>1285</v>
      </c>
      <c r="G56" t="s">
        <v>74</v>
      </c>
      <c r="H56" t="s">
        <v>74</v>
      </c>
      <c r="I56" t="s">
        <v>1286</v>
      </c>
      <c r="J56" t="s">
        <v>888</v>
      </c>
      <c r="K56" t="s">
        <v>74</v>
      </c>
      <c r="L56" t="s">
        <v>74</v>
      </c>
      <c r="M56" t="s">
        <v>78</v>
      </c>
      <c r="N56" t="s">
        <v>79</v>
      </c>
      <c r="O56" t="s">
        <v>74</v>
      </c>
      <c r="P56" t="s">
        <v>74</v>
      </c>
      <c r="Q56" t="s">
        <v>74</v>
      </c>
      <c r="R56" t="s">
        <v>74</v>
      </c>
      <c r="S56" t="s">
        <v>74</v>
      </c>
      <c r="T56" t="s">
        <v>1287</v>
      </c>
      <c r="U56" t="s">
        <v>1288</v>
      </c>
      <c r="V56" t="s">
        <v>1289</v>
      </c>
      <c r="W56" t="s">
        <v>1290</v>
      </c>
      <c r="X56" t="s">
        <v>917</v>
      </c>
      <c r="Y56" t="s">
        <v>1291</v>
      </c>
      <c r="Z56" t="s">
        <v>1292</v>
      </c>
      <c r="AA56" t="s">
        <v>74</v>
      </c>
      <c r="AB56" t="s">
        <v>1293</v>
      </c>
      <c r="AC56" t="s">
        <v>1294</v>
      </c>
      <c r="AD56" t="s">
        <v>1295</v>
      </c>
      <c r="AE56" t="s">
        <v>1296</v>
      </c>
      <c r="AF56" t="s">
        <v>74</v>
      </c>
      <c r="AG56">
        <v>42</v>
      </c>
      <c r="AH56">
        <v>0</v>
      </c>
      <c r="AI56">
        <v>0</v>
      </c>
      <c r="AJ56">
        <v>1</v>
      </c>
      <c r="AK56">
        <v>1</v>
      </c>
      <c r="AL56" t="s">
        <v>588</v>
      </c>
      <c r="AM56" t="s">
        <v>589</v>
      </c>
      <c r="AN56" t="s">
        <v>590</v>
      </c>
      <c r="AO56" t="s">
        <v>901</v>
      </c>
      <c r="AP56" t="s">
        <v>902</v>
      </c>
      <c r="AQ56" t="s">
        <v>74</v>
      </c>
      <c r="AR56" t="s">
        <v>903</v>
      </c>
      <c r="AS56" t="s">
        <v>904</v>
      </c>
      <c r="AT56" t="s">
        <v>97</v>
      </c>
      <c r="AU56">
        <v>2023</v>
      </c>
      <c r="AV56">
        <v>128</v>
      </c>
      <c r="AW56">
        <v>9</v>
      </c>
      <c r="AX56" t="s">
        <v>74</v>
      </c>
      <c r="AY56" t="s">
        <v>74</v>
      </c>
      <c r="AZ56" t="s">
        <v>74</v>
      </c>
      <c r="BA56" t="s">
        <v>74</v>
      </c>
      <c r="BB56" t="s">
        <v>74</v>
      </c>
      <c r="BC56" t="s">
        <v>74</v>
      </c>
      <c r="BD56" t="s">
        <v>1297</v>
      </c>
      <c r="BE56" t="s">
        <v>1298</v>
      </c>
      <c r="BF56" t="str">
        <f>HYPERLINK("http://dx.doi.org/10.1029/2023JA031885","http://dx.doi.org/10.1029/2023JA031885")</f>
        <v>http://dx.doi.org/10.1029/2023JA031885</v>
      </c>
      <c r="BG56" t="s">
        <v>74</v>
      </c>
      <c r="BH56" t="s">
        <v>74</v>
      </c>
      <c r="BI56">
        <v>13</v>
      </c>
      <c r="BJ56" t="s">
        <v>845</v>
      </c>
      <c r="BK56" t="s">
        <v>104</v>
      </c>
      <c r="BL56" t="s">
        <v>845</v>
      </c>
      <c r="BM56" t="s">
        <v>1299</v>
      </c>
      <c r="BN56" t="s">
        <v>74</v>
      </c>
      <c r="BO56" t="s">
        <v>936</v>
      </c>
      <c r="BP56" t="s">
        <v>74</v>
      </c>
      <c r="BQ56" t="s">
        <v>74</v>
      </c>
      <c r="BR56" t="s">
        <v>107</v>
      </c>
      <c r="BS56" t="s">
        <v>1300</v>
      </c>
      <c r="BT56" t="str">
        <f>HYPERLINK("https%3A%2F%2Fwww.webofscience.com%2Fwos%2Fwoscc%2Ffull-record%2FWOS:001061582800001","View Full Record in Web of Science")</f>
        <v>View Full Record in Web of Science</v>
      </c>
    </row>
    <row r="57" spans="1:72" x14ac:dyDescent="0.15">
      <c r="A57" t="s">
        <v>72</v>
      </c>
      <c r="B57" t="s">
        <v>1301</v>
      </c>
      <c r="C57" t="s">
        <v>74</v>
      </c>
      <c r="D57" t="s">
        <v>74</v>
      </c>
      <c r="E57" t="s">
        <v>74</v>
      </c>
      <c r="F57" t="s">
        <v>1302</v>
      </c>
      <c r="G57" t="s">
        <v>74</v>
      </c>
      <c r="H57" t="s">
        <v>74</v>
      </c>
      <c r="I57" t="s">
        <v>1303</v>
      </c>
      <c r="J57" t="s">
        <v>1304</v>
      </c>
      <c r="K57" t="s">
        <v>74</v>
      </c>
      <c r="L57" t="s">
        <v>74</v>
      </c>
      <c r="M57" t="s">
        <v>78</v>
      </c>
      <c r="N57" t="s">
        <v>79</v>
      </c>
      <c r="O57" t="s">
        <v>74</v>
      </c>
      <c r="P57" t="s">
        <v>74</v>
      </c>
      <c r="Q57" t="s">
        <v>74</v>
      </c>
      <c r="R57" t="s">
        <v>74</v>
      </c>
      <c r="S57" t="s">
        <v>74</v>
      </c>
      <c r="T57" t="s">
        <v>1305</v>
      </c>
      <c r="U57" t="s">
        <v>1306</v>
      </c>
      <c r="V57" t="s">
        <v>1307</v>
      </c>
      <c r="W57" t="s">
        <v>1308</v>
      </c>
      <c r="X57" t="s">
        <v>1309</v>
      </c>
      <c r="Y57" t="s">
        <v>1310</v>
      </c>
      <c r="Z57" t="s">
        <v>1311</v>
      </c>
      <c r="AA57" t="s">
        <v>1312</v>
      </c>
      <c r="AB57" t="s">
        <v>1313</v>
      </c>
      <c r="AC57" t="s">
        <v>1314</v>
      </c>
      <c r="AD57" t="s">
        <v>1315</v>
      </c>
      <c r="AE57" t="s">
        <v>1316</v>
      </c>
      <c r="AF57" t="s">
        <v>74</v>
      </c>
      <c r="AG57">
        <v>97</v>
      </c>
      <c r="AH57">
        <v>1</v>
      </c>
      <c r="AI57">
        <v>1</v>
      </c>
      <c r="AJ57">
        <v>7</v>
      </c>
      <c r="AK57">
        <v>13</v>
      </c>
      <c r="AL57" t="s">
        <v>588</v>
      </c>
      <c r="AM57" t="s">
        <v>589</v>
      </c>
      <c r="AN57" t="s">
        <v>590</v>
      </c>
      <c r="AO57" t="s">
        <v>1317</v>
      </c>
      <c r="AP57" t="s">
        <v>1318</v>
      </c>
      <c r="AQ57" t="s">
        <v>74</v>
      </c>
      <c r="AR57" t="s">
        <v>1319</v>
      </c>
      <c r="AS57" t="s">
        <v>1320</v>
      </c>
      <c r="AT57" t="s">
        <v>97</v>
      </c>
      <c r="AU57">
        <v>2023</v>
      </c>
      <c r="AV57">
        <v>38</v>
      </c>
      <c r="AW57">
        <v>9</v>
      </c>
      <c r="AX57" t="s">
        <v>74</v>
      </c>
      <c r="AY57" t="s">
        <v>74</v>
      </c>
      <c r="AZ57" t="s">
        <v>74</v>
      </c>
      <c r="BA57" t="s">
        <v>74</v>
      </c>
      <c r="BB57" t="s">
        <v>74</v>
      </c>
      <c r="BC57" t="s">
        <v>74</v>
      </c>
      <c r="BD57" t="s">
        <v>1321</v>
      </c>
      <c r="BE57" t="s">
        <v>1322</v>
      </c>
      <c r="BF57" t="str">
        <f>HYPERLINK("http://dx.doi.org/10.1029/2023PA004674","http://dx.doi.org/10.1029/2023PA004674")</f>
        <v>http://dx.doi.org/10.1029/2023PA004674</v>
      </c>
      <c r="BG57" t="s">
        <v>74</v>
      </c>
      <c r="BH57" t="s">
        <v>74</v>
      </c>
      <c r="BI57">
        <v>21</v>
      </c>
      <c r="BJ57" t="s">
        <v>1323</v>
      </c>
      <c r="BK57" t="s">
        <v>104</v>
      </c>
      <c r="BL57" t="s">
        <v>1324</v>
      </c>
      <c r="BM57" t="s">
        <v>1325</v>
      </c>
      <c r="BN57" t="s">
        <v>74</v>
      </c>
      <c r="BO57" t="s">
        <v>549</v>
      </c>
      <c r="BP57" t="s">
        <v>74</v>
      </c>
      <c r="BQ57" t="s">
        <v>74</v>
      </c>
      <c r="BR57" t="s">
        <v>107</v>
      </c>
      <c r="BS57" t="s">
        <v>1326</v>
      </c>
      <c r="BT57" t="str">
        <f>HYPERLINK("https%3A%2F%2Fwww.webofscience.com%2Fwos%2Fwoscc%2Ffull-record%2FWOS:001061251100001","View Full Record in Web of Science")</f>
        <v>View Full Record in Web of Science</v>
      </c>
    </row>
    <row r="58" spans="1:72" x14ac:dyDescent="0.15">
      <c r="A58" t="s">
        <v>72</v>
      </c>
      <c r="B58" t="s">
        <v>1327</v>
      </c>
      <c r="C58" t="s">
        <v>74</v>
      </c>
      <c r="D58" t="s">
        <v>74</v>
      </c>
      <c r="E58" t="s">
        <v>74</v>
      </c>
      <c r="F58" t="s">
        <v>1328</v>
      </c>
      <c r="G58" t="s">
        <v>74</v>
      </c>
      <c r="H58" t="s">
        <v>74</v>
      </c>
      <c r="I58" t="s">
        <v>1329</v>
      </c>
      <c r="J58" t="s">
        <v>1330</v>
      </c>
      <c r="K58" t="s">
        <v>74</v>
      </c>
      <c r="L58" t="s">
        <v>74</v>
      </c>
      <c r="M58" t="s">
        <v>78</v>
      </c>
      <c r="N58" t="s">
        <v>79</v>
      </c>
      <c r="O58" t="s">
        <v>74</v>
      </c>
      <c r="P58" t="s">
        <v>74</v>
      </c>
      <c r="Q58" t="s">
        <v>74</v>
      </c>
      <c r="R58" t="s">
        <v>74</v>
      </c>
      <c r="S58" t="s">
        <v>74</v>
      </c>
      <c r="T58" t="s">
        <v>1331</v>
      </c>
      <c r="U58" t="s">
        <v>1332</v>
      </c>
      <c r="V58" t="s">
        <v>1333</v>
      </c>
      <c r="W58" t="s">
        <v>1334</v>
      </c>
      <c r="X58" t="s">
        <v>1335</v>
      </c>
      <c r="Y58" t="s">
        <v>1336</v>
      </c>
      <c r="Z58" t="s">
        <v>1337</v>
      </c>
      <c r="AA58" t="s">
        <v>1338</v>
      </c>
      <c r="AB58" t="s">
        <v>1339</v>
      </c>
      <c r="AC58" t="s">
        <v>1340</v>
      </c>
      <c r="AD58" t="s">
        <v>1341</v>
      </c>
      <c r="AE58" t="s">
        <v>1342</v>
      </c>
      <c r="AF58" t="s">
        <v>74</v>
      </c>
      <c r="AG58">
        <v>72</v>
      </c>
      <c r="AH58">
        <v>2</v>
      </c>
      <c r="AI58">
        <v>2</v>
      </c>
      <c r="AJ58">
        <v>31</v>
      </c>
      <c r="AK58">
        <v>36</v>
      </c>
      <c r="AL58" t="s">
        <v>1343</v>
      </c>
      <c r="AM58" t="s">
        <v>589</v>
      </c>
      <c r="AN58" t="s">
        <v>1344</v>
      </c>
      <c r="AO58" t="s">
        <v>1345</v>
      </c>
      <c r="AP58" t="s">
        <v>1346</v>
      </c>
      <c r="AQ58" t="s">
        <v>74</v>
      </c>
      <c r="AR58" t="s">
        <v>1347</v>
      </c>
      <c r="AS58" t="s">
        <v>1348</v>
      </c>
      <c r="AT58" t="s">
        <v>544</v>
      </c>
      <c r="AU58">
        <v>2023</v>
      </c>
      <c r="AV58">
        <v>57</v>
      </c>
      <c r="AW58">
        <v>37</v>
      </c>
      <c r="AX58" t="s">
        <v>74</v>
      </c>
      <c r="AY58" t="s">
        <v>74</v>
      </c>
      <c r="AZ58" t="s">
        <v>74</v>
      </c>
      <c r="BA58" t="s">
        <v>74</v>
      </c>
      <c r="BB58">
        <v>13925</v>
      </c>
      <c r="BC58">
        <v>13936</v>
      </c>
      <c r="BD58" t="s">
        <v>74</v>
      </c>
      <c r="BE58" t="s">
        <v>1349</v>
      </c>
      <c r="BF58" t="str">
        <f>HYPERLINK("http://dx.doi.org/10.1021/acs.est.3c01898","http://dx.doi.org/10.1021/acs.est.3c01898")</f>
        <v>http://dx.doi.org/10.1021/acs.est.3c01898</v>
      </c>
      <c r="BG58" t="s">
        <v>74</v>
      </c>
      <c r="BH58" t="s">
        <v>932</v>
      </c>
      <c r="BI58">
        <v>12</v>
      </c>
      <c r="BJ58" t="s">
        <v>1350</v>
      </c>
      <c r="BK58" t="s">
        <v>104</v>
      </c>
      <c r="BL58" t="s">
        <v>1351</v>
      </c>
      <c r="BM58" t="s">
        <v>1352</v>
      </c>
      <c r="BN58">
        <v>37656597</v>
      </c>
      <c r="BO58" t="s">
        <v>1353</v>
      </c>
      <c r="BP58" t="s">
        <v>74</v>
      </c>
      <c r="BQ58" t="s">
        <v>74</v>
      </c>
      <c r="BR58" t="s">
        <v>107</v>
      </c>
      <c r="BS58" t="s">
        <v>1354</v>
      </c>
      <c r="BT58" t="str">
        <f>HYPERLINK("https%3A%2F%2Fwww.webofscience.com%2Fwos%2Fwoscc%2Ffull-record%2FWOS:001061167700001","View Full Record in Web of Science")</f>
        <v>View Full Record in Web of Science</v>
      </c>
    </row>
    <row r="59" spans="1:72" x14ac:dyDescent="0.15">
      <c r="A59" t="s">
        <v>72</v>
      </c>
      <c r="B59" t="s">
        <v>1355</v>
      </c>
      <c r="C59" t="s">
        <v>74</v>
      </c>
      <c r="D59" t="s">
        <v>74</v>
      </c>
      <c r="E59" t="s">
        <v>74</v>
      </c>
      <c r="F59" t="s">
        <v>1356</v>
      </c>
      <c r="G59" t="s">
        <v>74</v>
      </c>
      <c r="H59" t="s">
        <v>74</v>
      </c>
      <c r="I59" t="s">
        <v>1357</v>
      </c>
      <c r="J59" t="s">
        <v>1358</v>
      </c>
      <c r="K59" t="s">
        <v>74</v>
      </c>
      <c r="L59" t="s">
        <v>74</v>
      </c>
      <c r="M59" t="s">
        <v>78</v>
      </c>
      <c r="N59" t="s">
        <v>79</v>
      </c>
      <c r="O59" t="s">
        <v>74</v>
      </c>
      <c r="P59" t="s">
        <v>74</v>
      </c>
      <c r="Q59" t="s">
        <v>74</v>
      </c>
      <c r="R59" t="s">
        <v>74</v>
      </c>
      <c r="S59" t="s">
        <v>74</v>
      </c>
      <c r="T59" t="s">
        <v>1359</v>
      </c>
      <c r="U59" t="s">
        <v>1360</v>
      </c>
      <c r="V59" t="s">
        <v>1361</v>
      </c>
      <c r="W59" t="s">
        <v>1362</v>
      </c>
      <c r="X59" t="s">
        <v>1363</v>
      </c>
      <c r="Y59" t="s">
        <v>1364</v>
      </c>
      <c r="Z59" t="s">
        <v>1365</v>
      </c>
      <c r="AA59" t="s">
        <v>74</v>
      </c>
      <c r="AB59" t="s">
        <v>74</v>
      </c>
      <c r="AC59" t="s">
        <v>1366</v>
      </c>
      <c r="AD59" t="s">
        <v>1232</v>
      </c>
      <c r="AE59" t="s">
        <v>1367</v>
      </c>
      <c r="AF59" t="s">
        <v>74</v>
      </c>
      <c r="AG59">
        <v>41</v>
      </c>
      <c r="AH59">
        <v>0</v>
      </c>
      <c r="AI59">
        <v>0</v>
      </c>
      <c r="AJ59">
        <v>2</v>
      </c>
      <c r="AK59">
        <v>2</v>
      </c>
      <c r="AL59" t="s">
        <v>588</v>
      </c>
      <c r="AM59" t="s">
        <v>589</v>
      </c>
      <c r="AN59" t="s">
        <v>590</v>
      </c>
      <c r="AO59" t="s">
        <v>1368</v>
      </c>
      <c r="AP59" t="s">
        <v>1369</v>
      </c>
      <c r="AQ59" t="s">
        <v>74</v>
      </c>
      <c r="AR59" t="s">
        <v>1370</v>
      </c>
      <c r="AS59" t="s">
        <v>1371</v>
      </c>
      <c r="AT59" t="s">
        <v>97</v>
      </c>
      <c r="AU59">
        <v>2023</v>
      </c>
      <c r="AV59">
        <v>128</v>
      </c>
      <c r="AW59">
        <v>9</v>
      </c>
      <c r="AX59" t="s">
        <v>74</v>
      </c>
      <c r="AY59" t="s">
        <v>74</v>
      </c>
      <c r="AZ59" t="s">
        <v>74</v>
      </c>
      <c r="BA59" t="s">
        <v>74</v>
      </c>
      <c r="BB59" t="s">
        <v>74</v>
      </c>
      <c r="BC59" t="s">
        <v>74</v>
      </c>
      <c r="BD59" t="s">
        <v>1372</v>
      </c>
      <c r="BE59" t="s">
        <v>1373</v>
      </c>
      <c r="BF59" t="str">
        <f>HYPERLINK("http://dx.doi.org/10.1029/2023JB027072","http://dx.doi.org/10.1029/2023JB027072")</f>
        <v>http://dx.doi.org/10.1029/2023JB027072</v>
      </c>
      <c r="BG59" t="s">
        <v>74</v>
      </c>
      <c r="BH59" t="s">
        <v>74</v>
      </c>
      <c r="BI59">
        <v>26</v>
      </c>
      <c r="BJ59" t="s">
        <v>597</v>
      </c>
      <c r="BK59" t="s">
        <v>104</v>
      </c>
      <c r="BL59" t="s">
        <v>597</v>
      </c>
      <c r="BM59" t="s">
        <v>1374</v>
      </c>
      <c r="BN59" t="s">
        <v>74</v>
      </c>
      <c r="BO59" t="s">
        <v>549</v>
      </c>
      <c r="BP59" t="s">
        <v>74</v>
      </c>
      <c r="BQ59" t="s">
        <v>74</v>
      </c>
      <c r="BR59" t="s">
        <v>107</v>
      </c>
      <c r="BS59" t="s">
        <v>1375</v>
      </c>
      <c r="BT59" t="str">
        <f>HYPERLINK("https%3A%2F%2Fwww.webofscience.com%2Fwos%2Fwoscc%2Ffull-record%2FWOS:001060063100001","View Full Record in Web of Science")</f>
        <v>View Full Record in Web of Science</v>
      </c>
    </row>
    <row r="60" spans="1:72" x14ac:dyDescent="0.15">
      <c r="A60" t="s">
        <v>72</v>
      </c>
      <c r="B60" t="s">
        <v>1376</v>
      </c>
      <c r="C60" t="s">
        <v>74</v>
      </c>
      <c r="D60" t="s">
        <v>74</v>
      </c>
      <c r="E60" t="s">
        <v>74</v>
      </c>
      <c r="F60" t="s">
        <v>1377</v>
      </c>
      <c r="G60" t="s">
        <v>74</v>
      </c>
      <c r="H60" t="s">
        <v>74</v>
      </c>
      <c r="I60" t="s">
        <v>1378</v>
      </c>
      <c r="J60" t="s">
        <v>1379</v>
      </c>
      <c r="K60" t="s">
        <v>74</v>
      </c>
      <c r="L60" t="s">
        <v>74</v>
      </c>
      <c r="M60" t="s">
        <v>78</v>
      </c>
      <c r="N60" t="s">
        <v>424</v>
      </c>
      <c r="O60" t="s">
        <v>74</v>
      </c>
      <c r="P60" t="s">
        <v>74</v>
      </c>
      <c r="Q60" t="s">
        <v>74</v>
      </c>
      <c r="R60" t="s">
        <v>74</v>
      </c>
      <c r="S60" t="s">
        <v>74</v>
      </c>
      <c r="T60" t="s">
        <v>1380</v>
      </c>
      <c r="U60" t="s">
        <v>1381</v>
      </c>
      <c r="V60" t="s">
        <v>1382</v>
      </c>
      <c r="W60" t="s">
        <v>1383</v>
      </c>
      <c r="X60" t="s">
        <v>1384</v>
      </c>
      <c r="Y60" t="s">
        <v>1385</v>
      </c>
      <c r="Z60" t="s">
        <v>1386</v>
      </c>
      <c r="AA60" t="s">
        <v>1387</v>
      </c>
      <c r="AB60" t="s">
        <v>1388</v>
      </c>
      <c r="AC60" t="s">
        <v>1389</v>
      </c>
      <c r="AD60" t="s">
        <v>1389</v>
      </c>
      <c r="AE60" t="s">
        <v>1389</v>
      </c>
      <c r="AF60" t="s">
        <v>74</v>
      </c>
      <c r="AG60">
        <v>127</v>
      </c>
      <c r="AH60">
        <v>0</v>
      </c>
      <c r="AI60">
        <v>0</v>
      </c>
      <c r="AJ60">
        <v>14</v>
      </c>
      <c r="AK60">
        <v>17</v>
      </c>
      <c r="AL60" t="s">
        <v>460</v>
      </c>
      <c r="AM60" t="s">
        <v>461</v>
      </c>
      <c r="AN60" t="s">
        <v>462</v>
      </c>
      <c r="AO60" t="s">
        <v>1390</v>
      </c>
      <c r="AP60" t="s">
        <v>1391</v>
      </c>
      <c r="AQ60" t="s">
        <v>74</v>
      </c>
      <c r="AR60" t="s">
        <v>1392</v>
      </c>
      <c r="AS60" t="s">
        <v>1393</v>
      </c>
      <c r="AT60" t="s">
        <v>1394</v>
      </c>
      <c r="AU60">
        <v>2023</v>
      </c>
      <c r="AV60">
        <v>46</v>
      </c>
      <c r="AW60">
        <v>12</v>
      </c>
      <c r="AX60" t="s">
        <v>74</v>
      </c>
      <c r="AY60" t="s">
        <v>74</v>
      </c>
      <c r="AZ60" t="s">
        <v>74</v>
      </c>
      <c r="BA60" t="s">
        <v>74</v>
      </c>
      <c r="BB60">
        <v>1321</v>
      </c>
      <c r="BC60">
        <v>1336</v>
      </c>
      <c r="BD60" t="s">
        <v>74</v>
      </c>
      <c r="BE60" t="s">
        <v>1395</v>
      </c>
      <c r="BF60" t="str">
        <f>HYPERLINK("http://dx.doi.org/10.1111/jfd.13850","http://dx.doi.org/10.1111/jfd.13850")</f>
        <v>http://dx.doi.org/10.1111/jfd.13850</v>
      </c>
      <c r="BG60" t="s">
        <v>74</v>
      </c>
      <c r="BH60" t="s">
        <v>932</v>
      </c>
      <c r="BI60">
        <v>16</v>
      </c>
      <c r="BJ60" t="s">
        <v>1396</v>
      </c>
      <c r="BK60" t="s">
        <v>104</v>
      </c>
      <c r="BL60" t="s">
        <v>1396</v>
      </c>
      <c r="BM60" t="s">
        <v>1397</v>
      </c>
      <c r="BN60">
        <v>37658593</v>
      </c>
      <c r="BO60" t="s">
        <v>74</v>
      </c>
      <c r="BP60" t="s">
        <v>74</v>
      </c>
      <c r="BQ60" t="s">
        <v>74</v>
      </c>
      <c r="BR60" t="s">
        <v>107</v>
      </c>
      <c r="BS60" t="s">
        <v>1398</v>
      </c>
      <c r="BT60" t="str">
        <f>HYPERLINK("https%3A%2F%2Fwww.webofscience.com%2Fwos%2Fwoscc%2Ffull-record%2FWOS:001059838200001","View Full Record in Web of Science")</f>
        <v>View Full Record in Web of Science</v>
      </c>
    </row>
    <row r="61" spans="1:72" x14ac:dyDescent="0.15">
      <c r="A61" t="s">
        <v>72</v>
      </c>
      <c r="B61" t="s">
        <v>1399</v>
      </c>
      <c r="C61" t="s">
        <v>74</v>
      </c>
      <c r="D61" t="s">
        <v>74</v>
      </c>
      <c r="E61" t="s">
        <v>74</v>
      </c>
      <c r="F61" t="s">
        <v>1400</v>
      </c>
      <c r="G61" t="s">
        <v>74</v>
      </c>
      <c r="H61" t="s">
        <v>74</v>
      </c>
      <c r="I61" t="s">
        <v>1401</v>
      </c>
      <c r="J61" t="s">
        <v>708</v>
      </c>
      <c r="K61" t="s">
        <v>74</v>
      </c>
      <c r="L61" t="s">
        <v>74</v>
      </c>
      <c r="M61" t="s">
        <v>78</v>
      </c>
      <c r="N61" t="s">
        <v>79</v>
      </c>
      <c r="O61" t="s">
        <v>74</v>
      </c>
      <c r="P61" t="s">
        <v>74</v>
      </c>
      <c r="Q61" t="s">
        <v>74</v>
      </c>
      <c r="R61" t="s">
        <v>74</v>
      </c>
      <c r="S61" t="s">
        <v>74</v>
      </c>
      <c r="T61" t="s">
        <v>1402</v>
      </c>
      <c r="U61" t="s">
        <v>1403</v>
      </c>
      <c r="V61" t="s">
        <v>1404</v>
      </c>
      <c r="W61" t="s">
        <v>1405</v>
      </c>
      <c r="X61" t="s">
        <v>1406</v>
      </c>
      <c r="Y61" t="s">
        <v>1407</v>
      </c>
      <c r="Z61" t="s">
        <v>1408</v>
      </c>
      <c r="AA61" t="s">
        <v>1409</v>
      </c>
      <c r="AB61" t="s">
        <v>1410</v>
      </c>
      <c r="AC61" t="s">
        <v>1411</v>
      </c>
      <c r="AD61" t="s">
        <v>1411</v>
      </c>
      <c r="AE61" t="s">
        <v>1411</v>
      </c>
      <c r="AF61" t="s">
        <v>74</v>
      </c>
      <c r="AG61">
        <v>41</v>
      </c>
      <c r="AH61">
        <v>0</v>
      </c>
      <c r="AI61">
        <v>0</v>
      </c>
      <c r="AJ61">
        <v>4</v>
      </c>
      <c r="AK61">
        <v>5</v>
      </c>
      <c r="AL61" t="s">
        <v>369</v>
      </c>
      <c r="AM61" t="s">
        <v>370</v>
      </c>
      <c r="AN61" t="s">
        <v>371</v>
      </c>
      <c r="AO61" t="s">
        <v>74</v>
      </c>
      <c r="AP61" t="s">
        <v>720</v>
      </c>
      <c r="AQ61" t="s">
        <v>74</v>
      </c>
      <c r="AR61" t="s">
        <v>721</v>
      </c>
      <c r="AS61" t="s">
        <v>722</v>
      </c>
      <c r="AT61" t="s">
        <v>97</v>
      </c>
      <c r="AU61">
        <v>2023</v>
      </c>
      <c r="AV61">
        <v>15</v>
      </c>
      <c r="AW61">
        <v>17</v>
      </c>
      <c r="AX61" t="s">
        <v>74</v>
      </c>
      <c r="AY61" t="s">
        <v>74</v>
      </c>
      <c r="AZ61" t="s">
        <v>74</v>
      </c>
      <c r="BA61" t="s">
        <v>74</v>
      </c>
      <c r="BB61" t="s">
        <v>74</v>
      </c>
      <c r="BC61" t="s">
        <v>74</v>
      </c>
      <c r="BD61">
        <v>4244</v>
      </c>
      <c r="BE61" t="s">
        <v>1412</v>
      </c>
      <c r="BF61" t="str">
        <f>HYPERLINK("http://dx.doi.org/10.3390/rs15174244","http://dx.doi.org/10.3390/rs15174244")</f>
        <v>http://dx.doi.org/10.3390/rs15174244</v>
      </c>
      <c r="BG61" t="s">
        <v>74</v>
      </c>
      <c r="BH61" t="s">
        <v>74</v>
      </c>
      <c r="BI61">
        <v>21</v>
      </c>
      <c r="BJ61" t="s">
        <v>724</v>
      </c>
      <c r="BK61" t="s">
        <v>104</v>
      </c>
      <c r="BL61" t="s">
        <v>725</v>
      </c>
      <c r="BM61" t="s">
        <v>1413</v>
      </c>
      <c r="BN61" t="s">
        <v>74</v>
      </c>
      <c r="BO61" t="s">
        <v>206</v>
      </c>
      <c r="BP61" t="s">
        <v>74</v>
      </c>
      <c r="BQ61" t="s">
        <v>74</v>
      </c>
      <c r="BR61" t="s">
        <v>107</v>
      </c>
      <c r="BS61" t="s">
        <v>1414</v>
      </c>
      <c r="BT61" t="str">
        <f>HYPERLINK("https%3A%2F%2Fwww.webofscience.com%2Fwos%2Fwoscc%2Ffull-record%2FWOS:001062225600001","View Full Record in Web of Science")</f>
        <v>View Full Record in Web of Science</v>
      </c>
    </row>
    <row r="62" spans="1:72" x14ac:dyDescent="0.15">
      <c r="A62" t="s">
        <v>72</v>
      </c>
      <c r="B62" t="s">
        <v>1415</v>
      </c>
      <c r="C62" t="s">
        <v>74</v>
      </c>
      <c r="D62" t="s">
        <v>74</v>
      </c>
      <c r="E62" t="s">
        <v>74</v>
      </c>
      <c r="F62" t="s">
        <v>1416</v>
      </c>
      <c r="G62" t="s">
        <v>74</v>
      </c>
      <c r="H62" t="s">
        <v>74</v>
      </c>
      <c r="I62" t="s">
        <v>1417</v>
      </c>
      <c r="J62" t="s">
        <v>1418</v>
      </c>
      <c r="K62" t="s">
        <v>74</v>
      </c>
      <c r="L62" t="s">
        <v>74</v>
      </c>
      <c r="M62" t="s">
        <v>78</v>
      </c>
      <c r="N62" t="s">
        <v>424</v>
      </c>
      <c r="O62" t="s">
        <v>74</v>
      </c>
      <c r="P62" t="s">
        <v>74</v>
      </c>
      <c r="Q62" t="s">
        <v>74</v>
      </c>
      <c r="R62" t="s">
        <v>74</v>
      </c>
      <c r="S62" t="s">
        <v>74</v>
      </c>
      <c r="T62" t="s">
        <v>1419</v>
      </c>
      <c r="U62" t="s">
        <v>1420</v>
      </c>
      <c r="V62" t="s">
        <v>1421</v>
      </c>
      <c r="W62" t="s">
        <v>1422</v>
      </c>
      <c r="X62" t="s">
        <v>1423</v>
      </c>
      <c r="Y62" t="s">
        <v>1424</v>
      </c>
      <c r="Z62" t="s">
        <v>1425</v>
      </c>
      <c r="AA62" t="s">
        <v>1426</v>
      </c>
      <c r="AB62" t="s">
        <v>1427</v>
      </c>
      <c r="AC62" t="s">
        <v>1428</v>
      </c>
      <c r="AD62" t="s">
        <v>1429</v>
      </c>
      <c r="AE62" t="s">
        <v>1430</v>
      </c>
      <c r="AF62" t="s">
        <v>74</v>
      </c>
      <c r="AG62">
        <v>52</v>
      </c>
      <c r="AH62">
        <v>0</v>
      </c>
      <c r="AI62">
        <v>0</v>
      </c>
      <c r="AJ62">
        <v>4</v>
      </c>
      <c r="AK62">
        <v>5</v>
      </c>
      <c r="AL62" t="s">
        <v>369</v>
      </c>
      <c r="AM62" t="s">
        <v>370</v>
      </c>
      <c r="AN62" t="s">
        <v>371</v>
      </c>
      <c r="AO62" t="s">
        <v>74</v>
      </c>
      <c r="AP62" t="s">
        <v>1431</v>
      </c>
      <c r="AQ62" t="s">
        <v>74</v>
      </c>
      <c r="AR62" t="s">
        <v>1418</v>
      </c>
      <c r="AS62" t="s">
        <v>1432</v>
      </c>
      <c r="AT62" t="s">
        <v>97</v>
      </c>
      <c r="AU62">
        <v>2023</v>
      </c>
      <c r="AV62">
        <v>16</v>
      </c>
      <c r="AW62">
        <v>17</v>
      </c>
      <c r="AX62" t="s">
        <v>74</v>
      </c>
      <c r="AY62" t="s">
        <v>74</v>
      </c>
      <c r="AZ62" t="s">
        <v>74</v>
      </c>
      <c r="BA62" t="s">
        <v>74</v>
      </c>
      <c r="BB62" t="s">
        <v>74</v>
      </c>
      <c r="BC62" t="s">
        <v>74</v>
      </c>
      <c r="BD62">
        <v>6201</v>
      </c>
      <c r="BE62" t="s">
        <v>1433</v>
      </c>
      <c r="BF62" t="str">
        <f>HYPERLINK("http://dx.doi.org/10.3390/en16176201","http://dx.doi.org/10.3390/en16176201")</f>
        <v>http://dx.doi.org/10.3390/en16176201</v>
      </c>
      <c r="BG62" t="s">
        <v>74</v>
      </c>
      <c r="BH62" t="s">
        <v>74</v>
      </c>
      <c r="BI62">
        <v>18</v>
      </c>
      <c r="BJ62" t="s">
        <v>1434</v>
      </c>
      <c r="BK62" t="s">
        <v>104</v>
      </c>
      <c r="BL62" t="s">
        <v>1434</v>
      </c>
      <c r="BM62" t="s">
        <v>1435</v>
      </c>
      <c r="BN62" t="s">
        <v>74</v>
      </c>
      <c r="BO62" t="s">
        <v>181</v>
      </c>
      <c r="BP62" t="s">
        <v>74</v>
      </c>
      <c r="BQ62" t="s">
        <v>74</v>
      </c>
      <c r="BR62" t="s">
        <v>107</v>
      </c>
      <c r="BS62" t="s">
        <v>1436</v>
      </c>
      <c r="BT62" t="str">
        <f>HYPERLINK("https%3A%2F%2Fwww.webofscience.com%2Fwos%2Fwoscc%2Ffull-record%2FWOS:001061062100001","View Full Record in Web of Science")</f>
        <v>View Full Record in Web of Science</v>
      </c>
    </row>
    <row r="63" spans="1:72" x14ac:dyDescent="0.15">
      <c r="A63" t="s">
        <v>72</v>
      </c>
      <c r="B63" t="s">
        <v>1437</v>
      </c>
      <c r="C63" t="s">
        <v>74</v>
      </c>
      <c r="D63" t="s">
        <v>74</v>
      </c>
      <c r="E63" t="s">
        <v>74</v>
      </c>
      <c r="F63" t="s">
        <v>1438</v>
      </c>
      <c r="G63" t="s">
        <v>74</v>
      </c>
      <c r="H63" t="s">
        <v>74</v>
      </c>
      <c r="I63" t="s">
        <v>1439</v>
      </c>
      <c r="J63" t="s">
        <v>1440</v>
      </c>
      <c r="K63" t="s">
        <v>74</v>
      </c>
      <c r="L63" t="s">
        <v>74</v>
      </c>
      <c r="M63" t="s">
        <v>78</v>
      </c>
      <c r="N63" t="s">
        <v>79</v>
      </c>
      <c r="O63" t="s">
        <v>74</v>
      </c>
      <c r="P63" t="s">
        <v>74</v>
      </c>
      <c r="Q63" t="s">
        <v>74</v>
      </c>
      <c r="R63" t="s">
        <v>74</v>
      </c>
      <c r="S63" t="s">
        <v>74</v>
      </c>
      <c r="T63" t="s">
        <v>1441</v>
      </c>
      <c r="U63" t="s">
        <v>1442</v>
      </c>
      <c r="V63" t="s">
        <v>1443</v>
      </c>
      <c r="W63" t="s">
        <v>1444</v>
      </c>
      <c r="X63" t="s">
        <v>1445</v>
      </c>
      <c r="Y63" t="s">
        <v>1446</v>
      </c>
      <c r="Z63" t="s">
        <v>1447</v>
      </c>
      <c r="AA63" t="s">
        <v>1448</v>
      </c>
      <c r="AB63" t="s">
        <v>1449</v>
      </c>
      <c r="AC63" t="s">
        <v>1450</v>
      </c>
      <c r="AD63" t="s">
        <v>1451</v>
      </c>
      <c r="AE63" t="s">
        <v>1452</v>
      </c>
      <c r="AF63" t="s">
        <v>74</v>
      </c>
      <c r="AG63">
        <v>45</v>
      </c>
      <c r="AH63">
        <v>1</v>
      </c>
      <c r="AI63">
        <v>1</v>
      </c>
      <c r="AJ63">
        <v>3</v>
      </c>
      <c r="AK63">
        <v>3</v>
      </c>
      <c r="AL63" t="s">
        <v>369</v>
      </c>
      <c r="AM63" t="s">
        <v>370</v>
      </c>
      <c r="AN63" t="s">
        <v>371</v>
      </c>
      <c r="AO63" t="s">
        <v>74</v>
      </c>
      <c r="AP63" t="s">
        <v>1453</v>
      </c>
      <c r="AQ63" t="s">
        <v>74</v>
      </c>
      <c r="AR63" t="s">
        <v>1454</v>
      </c>
      <c r="AS63" t="s">
        <v>1455</v>
      </c>
      <c r="AT63" t="s">
        <v>97</v>
      </c>
      <c r="AU63">
        <v>2023</v>
      </c>
      <c r="AV63">
        <v>23</v>
      </c>
      <c r="AW63">
        <v>17</v>
      </c>
      <c r="AX63" t="s">
        <v>74</v>
      </c>
      <c r="AY63" t="s">
        <v>74</v>
      </c>
      <c r="AZ63" t="s">
        <v>74</v>
      </c>
      <c r="BA63" t="s">
        <v>74</v>
      </c>
      <c r="BB63" t="s">
        <v>74</v>
      </c>
      <c r="BC63" t="s">
        <v>74</v>
      </c>
      <c r="BD63">
        <v>7594</v>
      </c>
      <c r="BE63" t="s">
        <v>1456</v>
      </c>
      <c r="BF63" t="str">
        <f>HYPERLINK("http://dx.doi.org/10.3390/s23177594","http://dx.doi.org/10.3390/s23177594")</f>
        <v>http://dx.doi.org/10.3390/s23177594</v>
      </c>
      <c r="BG63" t="s">
        <v>74</v>
      </c>
      <c r="BH63" t="s">
        <v>74</v>
      </c>
      <c r="BI63">
        <v>25</v>
      </c>
      <c r="BJ63" t="s">
        <v>1457</v>
      </c>
      <c r="BK63" t="s">
        <v>104</v>
      </c>
      <c r="BL63" t="s">
        <v>1458</v>
      </c>
      <c r="BM63" t="s">
        <v>1459</v>
      </c>
      <c r="BN63">
        <v>37688049</v>
      </c>
      <c r="BO63" t="s">
        <v>821</v>
      </c>
      <c r="BP63" t="s">
        <v>74</v>
      </c>
      <c r="BQ63" t="s">
        <v>74</v>
      </c>
      <c r="BR63" t="s">
        <v>107</v>
      </c>
      <c r="BS63" t="s">
        <v>1460</v>
      </c>
      <c r="BT63" t="str">
        <f>HYPERLINK("https%3A%2F%2Fwww.webofscience.com%2Fwos%2Fwoscc%2Ffull-record%2FWOS:001062128100001","View Full Record in Web of Science")</f>
        <v>View Full Record in Web of Science</v>
      </c>
    </row>
    <row r="64" spans="1:72" x14ac:dyDescent="0.15">
      <c r="A64" t="s">
        <v>72</v>
      </c>
      <c r="B64" t="s">
        <v>1461</v>
      </c>
      <c r="C64" t="s">
        <v>74</v>
      </c>
      <c r="D64" t="s">
        <v>74</v>
      </c>
      <c r="E64" t="s">
        <v>74</v>
      </c>
      <c r="F64" t="s">
        <v>1462</v>
      </c>
      <c r="G64" t="s">
        <v>74</v>
      </c>
      <c r="H64" t="s">
        <v>74</v>
      </c>
      <c r="I64" t="s">
        <v>1463</v>
      </c>
      <c r="J64" t="s">
        <v>1464</v>
      </c>
      <c r="K64" t="s">
        <v>74</v>
      </c>
      <c r="L64" t="s">
        <v>74</v>
      </c>
      <c r="M64" t="s">
        <v>78</v>
      </c>
      <c r="N64" t="s">
        <v>424</v>
      </c>
      <c r="O64" t="s">
        <v>74</v>
      </c>
      <c r="P64" t="s">
        <v>74</v>
      </c>
      <c r="Q64" t="s">
        <v>74</v>
      </c>
      <c r="R64" t="s">
        <v>74</v>
      </c>
      <c r="S64" t="s">
        <v>74</v>
      </c>
      <c r="T64" t="s">
        <v>1465</v>
      </c>
      <c r="U64" t="s">
        <v>1466</v>
      </c>
      <c r="V64" t="s">
        <v>1467</v>
      </c>
      <c r="W64" t="s">
        <v>1468</v>
      </c>
      <c r="X64" t="s">
        <v>1469</v>
      </c>
      <c r="Y64" t="s">
        <v>1470</v>
      </c>
      <c r="Z64" t="s">
        <v>1471</v>
      </c>
      <c r="AA64" t="s">
        <v>1472</v>
      </c>
      <c r="AB64" t="s">
        <v>1473</v>
      </c>
      <c r="AC64" t="s">
        <v>1474</v>
      </c>
      <c r="AD64" t="s">
        <v>1475</v>
      </c>
      <c r="AE64" t="s">
        <v>1476</v>
      </c>
      <c r="AF64" t="s">
        <v>74</v>
      </c>
      <c r="AG64">
        <v>240</v>
      </c>
      <c r="AH64">
        <v>1</v>
      </c>
      <c r="AI64">
        <v>1</v>
      </c>
      <c r="AJ64">
        <v>39</v>
      </c>
      <c r="AK64">
        <v>46</v>
      </c>
      <c r="AL64" t="s">
        <v>1477</v>
      </c>
      <c r="AM64" t="s">
        <v>1478</v>
      </c>
      <c r="AN64" t="s">
        <v>1479</v>
      </c>
      <c r="AO64" t="s">
        <v>1480</v>
      </c>
      <c r="AP64" t="s">
        <v>1481</v>
      </c>
      <c r="AQ64" t="s">
        <v>74</v>
      </c>
      <c r="AR64" t="s">
        <v>1464</v>
      </c>
      <c r="AS64" t="s">
        <v>1482</v>
      </c>
      <c r="AT64" t="s">
        <v>97</v>
      </c>
      <c r="AU64">
        <v>2023</v>
      </c>
      <c r="AV64">
        <v>13</v>
      </c>
      <c r="AW64">
        <v>9</v>
      </c>
      <c r="AX64" t="s">
        <v>74</v>
      </c>
      <c r="AY64" t="s">
        <v>74</v>
      </c>
      <c r="AZ64" t="s">
        <v>74</v>
      </c>
      <c r="BA64" t="s">
        <v>74</v>
      </c>
      <c r="BB64" t="s">
        <v>74</v>
      </c>
      <c r="BC64" t="s">
        <v>74</v>
      </c>
      <c r="BD64">
        <v>316</v>
      </c>
      <c r="BE64" t="s">
        <v>1483</v>
      </c>
      <c r="BF64" t="str">
        <f>HYPERLINK("http://dx.doi.org/10.1007/s13205-023-03733-6","http://dx.doi.org/10.1007/s13205-023-03733-6")</f>
        <v>http://dx.doi.org/10.1007/s13205-023-03733-6</v>
      </c>
      <c r="BG64" t="s">
        <v>74</v>
      </c>
      <c r="BH64" t="s">
        <v>74</v>
      </c>
      <c r="BI64">
        <v>21</v>
      </c>
      <c r="BJ64" t="s">
        <v>1484</v>
      </c>
      <c r="BK64" t="s">
        <v>104</v>
      </c>
      <c r="BL64" t="s">
        <v>1484</v>
      </c>
      <c r="BM64" t="s">
        <v>1485</v>
      </c>
      <c r="BN64">
        <v>37637002</v>
      </c>
      <c r="BO64" t="s">
        <v>74</v>
      </c>
      <c r="BP64" t="s">
        <v>74</v>
      </c>
      <c r="BQ64" t="s">
        <v>74</v>
      </c>
      <c r="BR64" t="s">
        <v>107</v>
      </c>
      <c r="BS64" t="s">
        <v>1486</v>
      </c>
      <c r="BT64" t="str">
        <f>HYPERLINK("https%3A%2F%2Fwww.webofscience.com%2Fwos%2Fwoscc%2Ffull-record%2FWOS:001054692300001","View Full Record in Web of Science")</f>
        <v>View Full Record in Web of Science</v>
      </c>
    </row>
    <row r="65" spans="1:72" x14ac:dyDescent="0.15">
      <c r="A65" t="s">
        <v>72</v>
      </c>
      <c r="B65" t="s">
        <v>1487</v>
      </c>
      <c r="C65" t="s">
        <v>74</v>
      </c>
      <c r="D65" t="s">
        <v>74</v>
      </c>
      <c r="E65" t="s">
        <v>74</v>
      </c>
      <c r="F65" t="s">
        <v>1488</v>
      </c>
      <c r="G65" t="s">
        <v>74</v>
      </c>
      <c r="H65" t="s">
        <v>74</v>
      </c>
      <c r="I65" t="s">
        <v>1489</v>
      </c>
      <c r="J65" t="s">
        <v>1490</v>
      </c>
      <c r="K65" t="s">
        <v>74</v>
      </c>
      <c r="L65" t="s">
        <v>74</v>
      </c>
      <c r="M65" t="s">
        <v>78</v>
      </c>
      <c r="N65" t="s">
        <v>79</v>
      </c>
      <c r="O65" t="s">
        <v>74</v>
      </c>
      <c r="P65" t="s">
        <v>74</v>
      </c>
      <c r="Q65" t="s">
        <v>74</v>
      </c>
      <c r="R65" t="s">
        <v>74</v>
      </c>
      <c r="S65" t="s">
        <v>74</v>
      </c>
      <c r="T65" t="s">
        <v>1491</v>
      </c>
      <c r="U65" t="s">
        <v>1492</v>
      </c>
      <c r="V65" t="s">
        <v>1493</v>
      </c>
      <c r="W65" t="s">
        <v>1494</v>
      </c>
      <c r="X65" t="s">
        <v>1495</v>
      </c>
      <c r="Y65" t="s">
        <v>1496</v>
      </c>
      <c r="Z65" t="s">
        <v>1497</v>
      </c>
      <c r="AA65" t="s">
        <v>1498</v>
      </c>
      <c r="AB65" t="s">
        <v>1499</v>
      </c>
      <c r="AC65" t="s">
        <v>1500</v>
      </c>
      <c r="AD65" t="s">
        <v>1501</v>
      </c>
      <c r="AE65" t="s">
        <v>1502</v>
      </c>
      <c r="AF65" t="s">
        <v>74</v>
      </c>
      <c r="AG65">
        <v>81</v>
      </c>
      <c r="AH65">
        <v>0</v>
      </c>
      <c r="AI65">
        <v>0</v>
      </c>
      <c r="AJ65">
        <v>10</v>
      </c>
      <c r="AK65">
        <v>15</v>
      </c>
      <c r="AL65" t="s">
        <v>588</v>
      </c>
      <c r="AM65" t="s">
        <v>589</v>
      </c>
      <c r="AN65" t="s">
        <v>590</v>
      </c>
      <c r="AO65" t="s">
        <v>1503</v>
      </c>
      <c r="AP65" t="s">
        <v>1504</v>
      </c>
      <c r="AQ65" t="s">
        <v>74</v>
      </c>
      <c r="AR65" t="s">
        <v>1505</v>
      </c>
      <c r="AS65" t="s">
        <v>1506</v>
      </c>
      <c r="AT65" t="s">
        <v>97</v>
      </c>
      <c r="AU65">
        <v>2023</v>
      </c>
      <c r="AV65">
        <v>128</v>
      </c>
      <c r="AW65">
        <v>9</v>
      </c>
      <c r="AX65" t="s">
        <v>74</v>
      </c>
      <c r="AY65" t="s">
        <v>74</v>
      </c>
      <c r="AZ65" t="s">
        <v>74</v>
      </c>
      <c r="BA65" t="s">
        <v>74</v>
      </c>
      <c r="BB65" t="s">
        <v>74</v>
      </c>
      <c r="BC65" t="s">
        <v>74</v>
      </c>
      <c r="BD65" t="s">
        <v>1507</v>
      </c>
      <c r="BE65" t="s">
        <v>1508</v>
      </c>
      <c r="BF65" t="str">
        <f>HYPERLINK("http://dx.doi.org/10.1029/2023JF007286","http://dx.doi.org/10.1029/2023JF007286")</f>
        <v>http://dx.doi.org/10.1029/2023JF007286</v>
      </c>
      <c r="BG65" t="s">
        <v>74</v>
      </c>
      <c r="BH65" t="s">
        <v>74</v>
      </c>
      <c r="BI65">
        <v>17</v>
      </c>
      <c r="BJ65" t="s">
        <v>155</v>
      </c>
      <c r="BK65" t="s">
        <v>104</v>
      </c>
      <c r="BL65" t="s">
        <v>156</v>
      </c>
      <c r="BM65" t="s">
        <v>1509</v>
      </c>
      <c r="BN65" t="s">
        <v>74</v>
      </c>
      <c r="BO65" t="s">
        <v>74</v>
      </c>
      <c r="BP65" t="s">
        <v>74</v>
      </c>
      <c r="BQ65" t="s">
        <v>74</v>
      </c>
      <c r="BR65" t="s">
        <v>107</v>
      </c>
      <c r="BS65" t="s">
        <v>1510</v>
      </c>
      <c r="BT65" t="str">
        <f>HYPERLINK("https%3A%2F%2Fwww.webofscience.com%2Fwos%2Fwoscc%2Ffull-record%2FWOS:001060106400001","View Full Record in Web of Science")</f>
        <v>View Full Record in Web of Science</v>
      </c>
    </row>
    <row r="66" spans="1:72" x14ac:dyDescent="0.15">
      <c r="A66" t="s">
        <v>72</v>
      </c>
      <c r="B66" t="s">
        <v>1511</v>
      </c>
      <c r="C66" t="s">
        <v>74</v>
      </c>
      <c r="D66" t="s">
        <v>74</v>
      </c>
      <c r="E66" t="s">
        <v>74</v>
      </c>
      <c r="F66" t="s">
        <v>1512</v>
      </c>
      <c r="G66" t="s">
        <v>74</v>
      </c>
      <c r="H66" t="s">
        <v>74</v>
      </c>
      <c r="I66" t="s">
        <v>1513</v>
      </c>
      <c r="J66" t="s">
        <v>1514</v>
      </c>
      <c r="K66" t="s">
        <v>74</v>
      </c>
      <c r="L66" t="s">
        <v>74</v>
      </c>
      <c r="M66" t="s">
        <v>78</v>
      </c>
      <c r="N66" t="s">
        <v>79</v>
      </c>
      <c r="O66" t="s">
        <v>74</v>
      </c>
      <c r="P66" t="s">
        <v>74</v>
      </c>
      <c r="Q66" t="s">
        <v>74</v>
      </c>
      <c r="R66" t="s">
        <v>74</v>
      </c>
      <c r="S66" t="s">
        <v>74</v>
      </c>
      <c r="T66" t="s">
        <v>1515</v>
      </c>
      <c r="U66" t="s">
        <v>1516</v>
      </c>
      <c r="V66" t="s">
        <v>1517</v>
      </c>
      <c r="W66" t="s">
        <v>1518</v>
      </c>
      <c r="X66" t="s">
        <v>1519</v>
      </c>
      <c r="Y66" t="s">
        <v>1520</v>
      </c>
      <c r="Z66" t="s">
        <v>1521</v>
      </c>
      <c r="AA66" t="s">
        <v>1522</v>
      </c>
      <c r="AB66" t="s">
        <v>1523</v>
      </c>
      <c r="AC66" t="s">
        <v>1524</v>
      </c>
      <c r="AD66" t="s">
        <v>1525</v>
      </c>
      <c r="AE66" t="s">
        <v>1526</v>
      </c>
      <c r="AF66" t="s">
        <v>74</v>
      </c>
      <c r="AG66">
        <v>86</v>
      </c>
      <c r="AH66">
        <v>0</v>
      </c>
      <c r="AI66">
        <v>0</v>
      </c>
      <c r="AJ66">
        <v>8</v>
      </c>
      <c r="AK66">
        <v>10</v>
      </c>
      <c r="AL66" t="s">
        <v>1527</v>
      </c>
      <c r="AM66" t="s">
        <v>1528</v>
      </c>
      <c r="AN66" t="s">
        <v>1529</v>
      </c>
      <c r="AO66" t="s">
        <v>1530</v>
      </c>
      <c r="AP66" t="s">
        <v>74</v>
      </c>
      <c r="AQ66" t="s">
        <v>74</v>
      </c>
      <c r="AR66" t="s">
        <v>1531</v>
      </c>
      <c r="AS66" t="s">
        <v>1532</v>
      </c>
      <c r="AT66" t="s">
        <v>544</v>
      </c>
      <c r="AU66">
        <v>2023</v>
      </c>
      <c r="AV66">
        <v>11</v>
      </c>
      <c r="AW66">
        <v>1</v>
      </c>
      <c r="AX66" t="s">
        <v>74</v>
      </c>
      <c r="AY66" t="s">
        <v>74</v>
      </c>
      <c r="AZ66" t="s">
        <v>74</v>
      </c>
      <c r="BA66" t="s">
        <v>74</v>
      </c>
      <c r="BB66" t="s">
        <v>74</v>
      </c>
      <c r="BC66" t="s">
        <v>74</v>
      </c>
      <c r="BD66">
        <v>55</v>
      </c>
      <c r="BE66" t="s">
        <v>1533</v>
      </c>
      <c r="BF66" t="str">
        <f>HYPERLINK("http://dx.doi.org/10.1186/s40462-023-00411-3","http://dx.doi.org/10.1186/s40462-023-00411-3")</f>
        <v>http://dx.doi.org/10.1186/s40462-023-00411-3</v>
      </c>
      <c r="BG66" t="s">
        <v>74</v>
      </c>
      <c r="BH66" t="s">
        <v>74</v>
      </c>
      <c r="BI66">
        <v>12</v>
      </c>
      <c r="BJ66" t="s">
        <v>1534</v>
      </c>
      <c r="BK66" t="s">
        <v>104</v>
      </c>
      <c r="BL66" t="s">
        <v>1535</v>
      </c>
      <c r="BM66" t="s">
        <v>1536</v>
      </c>
      <c r="BN66">
        <v>37658459</v>
      </c>
      <c r="BO66" t="s">
        <v>821</v>
      </c>
      <c r="BP66" t="s">
        <v>74</v>
      </c>
      <c r="BQ66" t="s">
        <v>74</v>
      </c>
      <c r="BR66" t="s">
        <v>107</v>
      </c>
      <c r="BS66" t="s">
        <v>1537</v>
      </c>
      <c r="BT66" t="str">
        <f>HYPERLINK("https%3A%2F%2Fwww.webofscience.com%2Fwos%2Fwoscc%2Ffull-record%2FWOS:001058844100001","View Full Record in Web of Science")</f>
        <v>View Full Record in Web of Science</v>
      </c>
    </row>
    <row r="67" spans="1:72" x14ac:dyDescent="0.15">
      <c r="A67" t="s">
        <v>72</v>
      </c>
      <c r="B67" t="s">
        <v>1538</v>
      </c>
      <c r="C67" t="s">
        <v>74</v>
      </c>
      <c r="D67" t="s">
        <v>74</v>
      </c>
      <c r="E67" t="s">
        <v>74</v>
      </c>
      <c r="F67" t="s">
        <v>1539</v>
      </c>
      <c r="G67" t="s">
        <v>74</v>
      </c>
      <c r="H67" t="s">
        <v>74</v>
      </c>
      <c r="I67" t="s">
        <v>1540</v>
      </c>
      <c r="J67" t="s">
        <v>1304</v>
      </c>
      <c r="K67" t="s">
        <v>74</v>
      </c>
      <c r="L67" t="s">
        <v>74</v>
      </c>
      <c r="M67" t="s">
        <v>78</v>
      </c>
      <c r="N67" t="s">
        <v>79</v>
      </c>
      <c r="O67" t="s">
        <v>74</v>
      </c>
      <c r="P67" t="s">
        <v>74</v>
      </c>
      <c r="Q67" t="s">
        <v>74</v>
      </c>
      <c r="R67" t="s">
        <v>74</v>
      </c>
      <c r="S67" t="s">
        <v>74</v>
      </c>
      <c r="T67" t="s">
        <v>1541</v>
      </c>
      <c r="U67" t="s">
        <v>1542</v>
      </c>
      <c r="V67" t="s">
        <v>1543</v>
      </c>
      <c r="W67" t="s">
        <v>1544</v>
      </c>
      <c r="X67" t="s">
        <v>1545</v>
      </c>
      <c r="Y67" t="s">
        <v>1546</v>
      </c>
      <c r="Z67" t="s">
        <v>74</v>
      </c>
      <c r="AA67" t="s">
        <v>1547</v>
      </c>
      <c r="AB67" t="s">
        <v>1548</v>
      </c>
      <c r="AC67" t="s">
        <v>1549</v>
      </c>
      <c r="AD67" t="s">
        <v>1550</v>
      </c>
      <c r="AE67" t="s">
        <v>1551</v>
      </c>
      <c r="AF67" t="s">
        <v>74</v>
      </c>
      <c r="AG67">
        <v>136</v>
      </c>
      <c r="AH67">
        <v>0</v>
      </c>
      <c r="AI67">
        <v>0</v>
      </c>
      <c r="AJ67">
        <v>9</v>
      </c>
      <c r="AK67">
        <v>11</v>
      </c>
      <c r="AL67" t="s">
        <v>588</v>
      </c>
      <c r="AM67" t="s">
        <v>589</v>
      </c>
      <c r="AN67" t="s">
        <v>590</v>
      </c>
      <c r="AO67" t="s">
        <v>1317</v>
      </c>
      <c r="AP67" t="s">
        <v>1318</v>
      </c>
      <c r="AQ67" t="s">
        <v>74</v>
      </c>
      <c r="AR67" t="s">
        <v>1319</v>
      </c>
      <c r="AS67" t="s">
        <v>1320</v>
      </c>
      <c r="AT67" t="s">
        <v>97</v>
      </c>
      <c r="AU67">
        <v>2023</v>
      </c>
      <c r="AV67">
        <v>38</v>
      </c>
      <c r="AW67">
        <v>9</v>
      </c>
      <c r="AX67" t="s">
        <v>74</v>
      </c>
      <c r="AY67" t="s">
        <v>74</v>
      </c>
      <c r="AZ67" t="s">
        <v>74</v>
      </c>
      <c r="BA67" t="s">
        <v>74</v>
      </c>
      <c r="BB67" t="s">
        <v>74</v>
      </c>
      <c r="BC67" t="s">
        <v>74</v>
      </c>
      <c r="BD67" t="s">
        <v>1552</v>
      </c>
      <c r="BE67" t="s">
        <v>1553</v>
      </c>
      <c r="BF67" t="str">
        <f>HYPERLINK("http://dx.doi.org/10.1029/2022PA004588","http://dx.doi.org/10.1029/2022PA004588")</f>
        <v>http://dx.doi.org/10.1029/2022PA004588</v>
      </c>
      <c r="BG67" t="s">
        <v>74</v>
      </c>
      <c r="BH67" t="s">
        <v>74</v>
      </c>
      <c r="BI67">
        <v>20</v>
      </c>
      <c r="BJ67" t="s">
        <v>1323</v>
      </c>
      <c r="BK67" t="s">
        <v>104</v>
      </c>
      <c r="BL67" t="s">
        <v>1324</v>
      </c>
      <c r="BM67" t="s">
        <v>1554</v>
      </c>
      <c r="BN67" t="s">
        <v>74</v>
      </c>
      <c r="BO67" t="s">
        <v>1555</v>
      </c>
      <c r="BP67" t="s">
        <v>74</v>
      </c>
      <c r="BQ67" t="s">
        <v>74</v>
      </c>
      <c r="BR67" t="s">
        <v>107</v>
      </c>
      <c r="BS67" t="s">
        <v>1556</v>
      </c>
      <c r="BT67" t="str">
        <f>HYPERLINK("https%3A%2F%2Fwww.webofscience.com%2Fwos%2Fwoscc%2Ffull-record%2FWOS:001057733600001","View Full Record in Web of Science")</f>
        <v>View Full Record in Web of Science</v>
      </c>
    </row>
    <row r="68" spans="1:72" x14ac:dyDescent="0.15">
      <c r="A68" t="s">
        <v>72</v>
      </c>
      <c r="B68" t="s">
        <v>1557</v>
      </c>
      <c r="C68" t="s">
        <v>74</v>
      </c>
      <c r="D68" t="s">
        <v>74</v>
      </c>
      <c r="E68" t="s">
        <v>74</v>
      </c>
      <c r="F68" t="s">
        <v>1558</v>
      </c>
      <c r="G68" t="s">
        <v>74</v>
      </c>
      <c r="H68" t="s">
        <v>74</v>
      </c>
      <c r="I68" t="s">
        <v>1559</v>
      </c>
      <c r="J68" t="s">
        <v>1195</v>
      </c>
      <c r="K68" t="s">
        <v>74</v>
      </c>
      <c r="L68" t="s">
        <v>74</v>
      </c>
      <c r="M68" t="s">
        <v>78</v>
      </c>
      <c r="N68" t="s">
        <v>79</v>
      </c>
      <c r="O68" t="s">
        <v>74</v>
      </c>
      <c r="P68" t="s">
        <v>74</v>
      </c>
      <c r="Q68" t="s">
        <v>74</v>
      </c>
      <c r="R68" t="s">
        <v>74</v>
      </c>
      <c r="S68" t="s">
        <v>74</v>
      </c>
      <c r="T68" t="s">
        <v>1560</v>
      </c>
      <c r="U68" t="s">
        <v>1561</v>
      </c>
      <c r="V68" t="s">
        <v>1562</v>
      </c>
      <c r="W68" t="s">
        <v>1563</v>
      </c>
      <c r="X68" t="s">
        <v>1564</v>
      </c>
      <c r="Y68" t="s">
        <v>1565</v>
      </c>
      <c r="Z68" t="s">
        <v>1566</v>
      </c>
      <c r="AA68" t="s">
        <v>1567</v>
      </c>
      <c r="AB68" t="s">
        <v>1568</v>
      </c>
      <c r="AC68" t="s">
        <v>1569</v>
      </c>
      <c r="AD68" t="s">
        <v>1570</v>
      </c>
      <c r="AE68" t="s">
        <v>1571</v>
      </c>
      <c r="AF68" t="s">
        <v>74</v>
      </c>
      <c r="AG68">
        <v>62</v>
      </c>
      <c r="AH68">
        <v>1</v>
      </c>
      <c r="AI68">
        <v>1</v>
      </c>
      <c r="AJ68">
        <v>1</v>
      </c>
      <c r="AK68">
        <v>4</v>
      </c>
      <c r="AL68" t="s">
        <v>588</v>
      </c>
      <c r="AM68" t="s">
        <v>589</v>
      </c>
      <c r="AN68" t="s">
        <v>590</v>
      </c>
      <c r="AO68" t="s">
        <v>1208</v>
      </c>
      <c r="AP68" t="s">
        <v>1209</v>
      </c>
      <c r="AQ68" t="s">
        <v>74</v>
      </c>
      <c r="AR68" t="s">
        <v>1210</v>
      </c>
      <c r="AS68" t="s">
        <v>1211</v>
      </c>
      <c r="AT68" t="s">
        <v>97</v>
      </c>
      <c r="AU68">
        <v>2023</v>
      </c>
      <c r="AV68">
        <v>37</v>
      </c>
      <c r="AW68">
        <v>9</v>
      </c>
      <c r="AX68" t="s">
        <v>74</v>
      </c>
      <c r="AY68" t="s">
        <v>74</v>
      </c>
      <c r="AZ68" t="s">
        <v>74</v>
      </c>
      <c r="BA68" t="s">
        <v>74</v>
      </c>
      <c r="BB68" t="s">
        <v>74</v>
      </c>
      <c r="BC68" t="s">
        <v>74</v>
      </c>
      <c r="BD68" t="s">
        <v>1572</v>
      </c>
      <c r="BE68" t="s">
        <v>1573</v>
      </c>
      <c r="BF68" t="str">
        <f>HYPERLINK("http://dx.doi.org/10.1029/2022GB007510","http://dx.doi.org/10.1029/2022GB007510")</f>
        <v>http://dx.doi.org/10.1029/2022GB007510</v>
      </c>
      <c r="BG68" t="s">
        <v>74</v>
      </c>
      <c r="BH68" t="s">
        <v>74</v>
      </c>
      <c r="BI68">
        <v>16</v>
      </c>
      <c r="BJ68" t="s">
        <v>1214</v>
      </c>
      <c r="BK68" t="s">
        <v>104</v>
      </c>
      <c r="BL68" t="s">
        <v>1215</v>
      </c>
      <c r="BM68" t="s">
        <v>1574</v>
      </c>
      <c r="BN68" t="s">
        <v>74</v>
      </c>
      <c r="BO68" t="s">
        <v>549</v>
      </c>
      <c r="BP68" t="s">
        <v>74</v>
      </c>
      <c r="BQ68" t="s">
        <v>74</v>
      </c>
      <c r="BR68" t="s">
        <v>107</v>
      </c>
      <c r="BS68" t="s">
        <v>1575</v>
      </c>
      <c r="BT68" t="str">
        <f>HYPERLINK("https%3A%2F%2Fwww.webofscience.com%2Fwos%2Fwoscc%2Ffull-record%2FWOS:001056494600001","View Full Record in Web of Science")</f>
        <v>View Full Record in Web of Science</v>
      </c>
    </row>
    <row r="69" spans="1:72" x14ac:dyDescent="0.15">
      <c r="A69" t="s">
        <v>72</v>
      </c>
      <c r="B69" t="s">
        <v>1219</v>
      </c>
      <c r="C69" t="s">
        <v>74</v>
      </c>
      <c r="D69" t="s">
        <v>74</v>
      </c>
      <c r="E69" t="s">
        <v>74</v>
      </c>
      <c r="F69" t="s">
        <v>1220</v>
      </c>
      <c r="G69" t="s">
        <v>74</v>
      </c>
      <c r="H69" t="s">
        <v>74</v>
      </c>
      <c r="I69" t="s">
        <v>1576</v>
      </c>
      <c r="J69" t="s">
        <v>1222</v>
      </c>
      <c r="K69" t="s">
        <v>74</v>
      </c>
      <c r="L69" t="s">
        <v>74</v>
      </c>
      <c r="M69" t="s">
        <v>78</v>
      </c>
      <c r="N69" t="s">
        <v>79</v>
      </c>
      <c r="O69" t="s">
        <v>74</v>
      </c>
      <c r="P69" t="s">
        <v>74</v>
      </c>
      <c r="Q69" t="s">
        <v>74</v>
      </c>
      <c r="R69" t="s">
        <v>74</v>
      </c>
      <c r="S69" t="s">
        <v>74</v>
      </c>
      <c r="T69" t="s">
        <v>1223</v>
      </c>
      <c r="U69" t="s">
        <v>1577</v>
      </c>
      <c r="V69" t="s">
        <v>1578</v>
      </c>
      <c r="W69" t="s">
        <v>1226</v>
      </c>
      <c r="X69" t="s">
        <v>1227</v>
      </c>
      <c r="Y69" t="s">
        <v>1228</v>
      </c>
      <c r="Z69" t="s">
        <v>1229</v>
      </c>
      <c r="AA69" t="s">
        <v>74</v>
      </c>
      <c r="AB69" t="s">
        <v>1579</v>
      </c>
      <c r="AC69" t="s">
        <v>1580</v>
      </c>
      <c r="AD69" t="s">
        <v>1581</v>
      </c>
      <c r="AE69" t="s">
        <v>1582</v>
      </c>
      <c r="AF69" t="s">
        <v>74</v>
      </c>
      <c r="AG69">
        <v>32</v>
      </c>
      <c r="AH69">
        <v>2</v>
      </c>
      <c r="AI69">
        <v>2</v>
      </c>
      <c r="AJ69">
        <v>6</v>
      </c>
      <c r="AK69">
        <v>7</v>
      </c>
      <c r="AL69" t="s">
        <v>90</v>
      </c>
      <c r="AM69" t="s">
        <v>91</v>
      </c>
      <c r="AN69" t="s">
        <v>92</v>
      </c>
      <c r="AO69" t="s">
        <v>1234</v>
      </c>
      <c r="AP69" t="s">
        <v>1235</v>
      </c>
      <c r="AQ69" t="s">
        <v>74</v>
      </c>
      <c r="AR69" t="s">
        <v>1236</v>
      </c>
      <c r="AS69" t="s">
        <v>1237</v>
      </c>
      <c r="AT69" t="s">
        <v>97</v>
      </c>
      <c r="AU69">
        <v>2023</v>
      </c>
      <c r="AV69">
        <v>53</v>
      </c>
      <c r="AW69">
        <v>9</v>
      </c>
      <c r="AX69" t="s">
        <v>74</v>
      </c>
      <c r="AY69" t="s">
        <v>74</v>
      </c>
      <c r="AZ69" t="s">
        <v>74</v>
      </c>
      <c r="BA69" t="s">
        <v>74</v>
      </c>
      <c r="BB69">
        <v>2069</v>
      </c>
      <c r="BC69">
        <v>2088</v>
      </c>
      <c r="BD69" t="s">
        <v>74</v>
      </c>
      <c r="BE69" t="s">
        <v>1583</v>
      </c>
      <c r="BF69" t="str">
        <f>HYPERLINK("http://dx.doi.org/10.1175/JPO-D-22-0219.1","http://dx.doi.org/10.1175/JPO-D-22-0219.1")</f>
        <v>http://dx.doi.org/10.1175/JPO-D-22-0219.1</v>
      </c>
      <c r="BG69" t="s">
        <v>74</v>
      </c>
      <c r="BH69" t="s">
        <v>74</v>
      </c>
      <c r="BI69">
        <v>20</v>
      </c>
      <c r="BJ69" t="s">
        <v>306</v>
      </c>
      <c r="BK69" t="s">
        <v>104</v>
      </c>
      <c r="BL69" t="s">
        <v>306</v>
      </c>
      <c r="BM69" t="s">
        <v>1584</v>
      </c>
      <c r="BN69" t="s">
        <v>74</v>
      </c>
      <c r="BO69" t="s">
        <v>74</v>
      </c>
      <c r="BP69" t="s">
        <v>74</v>
      </c>
      <c r="BQ69" t="s">
        <v>74</v>
      </c>
      <c r="BR69" t="s">
        <v>107</v>
      </c>
      <c r="BS69" t="s">
        <v>1585</v>
      </c>
      <c r="BT69" t="str">
        <f>HYPERLINK("https%3A%2F%2Fwww.webofscience.com%2Fwos%2Fwoscc%2Ffull-record%2FWOS:001058847700001","View Full Record in Web of Science")</f>
        <v>View Full Record in Web of Science</v>
      </c>
    </row>
    <row r="70" spans="1:72" x14ac:dyDescent="0.15">
      <c r="A70" t="s">
        <v>72</v>
      </c>
      <c r="B70" t="s">
        <v>1586</v>
      </c>
      <c r="C70" t="s">
        <v>74</v>
      </c>
      <c r="D70" t="s">
        <v>74</v>
      </c>
      <c r="E70" t="s">
        <v>74</v>
      </c>
      <c r="F70" t="s">
        <v>1587</v>
      </c>
      <c r="G70" t="s">
        <v>74</v>
      </c>
      <c r="H70" t="s">
        <v>74</v>
      </c>
      <c r="I70" t="s">
        <v>1588</v>
      </c>
      <c r="J70" t="s">
        <v>575</v>
      </c>
      <c r="K70" t="s">
        <v>74</v>
      </c>
      <c r="L70" t="s">
        <v>74</v>
      </c>
      <c r="M70" t="s">
        <v>78</v>
      </c>
      <c r="N70" t="s">
        <v>424</v>
      </c>
      <c r="O70" t="s">
        <v>74</v>
      </c>
      <c r="P70" t="s">
        <v>74</v>
      </c>
      <c r="Q70" t="s">
        <v>74</v>
      </c>
      <c r="R70" t="s">
        <v>74</v>
      </c>
      <c r="S70" t="s">
        <v>74</v>
      </c>
      <c r="T70" t="s">
        <v>1589</v>
      </c>
      <c r="U70" t="s">
        <v>1590</v>
      </c>
      <c r="V70" t="s">
        <v>1591</v>
      </c>
      <c r="W70" t="s">
        <v>1592</v>
      </c>
      <c r="X70" t="s">
        <v>1593</v>
      </c>
      <c r="Y70" t="s">
        <v>1594</v>
      </c>
      <c r="Z70" t="s">
        <v>1595</v>
      </c>
      <c r="AA70" t="s">
        <v>1596</v>
      </c>
      <c r="AB70" t="s">
        <v>1597</v>
      </c>
      <c r="AC70" t="s">
        <v>1598</v>
      </c>
      <c r="AD70" t="s">
        <v>1599</v>
      </c>
      <c r="AE70" t="s">
        <v>1600</v>
      </c>
      <c r="AF70" t="s">
        <v>74</v>
      </c>
      <c r="AG70">
        <v>366</v>
      </c>
      <c r="AH70">
        <v>3</v>
      </c>
      <c r="AI70">
        <v>3</v>
      </c>
      <c r="AJ70">
        <v>6</v>
      </c>
      <c r="AK70">
        <v>8</v>
      </c>
      <c r="AL70" t="s">
        <v>588</v>
      </c>
      <c r="AM70" t="s">
        <v>589</v>
      </c>
      <c r="AN70" t="s">
        <v>590</v>
      </c>
      <c r="AO70" t="s">
        <v>591</v>
      </c>
      <c r="AP70" t="s">
        <v>592</v>
      </c>
      <c r="AQ70" t="s">
        <v>74</v>
      </c>
      <c r="AR70" t="s">
        <v>593</v>
      </c>
      <c r="AS70" t="s">
        <v>594</v>
      </c>
      <c r="AT70" t="s">
        <v>97</v>
      </c>
      <c r="AU70">
        <v>2023</v>
      </c>
      <c r="AV70">
        <v>61</v>
      </c>
      <c r="AW70">
        <v>3</v>
      </c>
      <c r="AX70" t="s">
        <v>74</v>
      </c>
      <c r="AY70" t="s">
        <v>74</v>
      </c>
      <c r="AZ70" t="s">
        <v>74</v>
      </c>
      <c r="BA70" t="s">
        <v>74</v>
      </c>
      <c r="BB70" t="s">
        <v>74</v>
      </c>
      <c r="BC70" t="s">
        <v>74</v>
      </c>
      <c r="BD70" t="s">
        <v>1601</v>
      </c>
      <c r="BE70" t="s">
        <v>1602</v>
      </c>
      <c r="BF70" t="str">
        <f>HYPERLINK("http://dx.doi.org/10.1029/2021RG000767","http://dx.doi.org/10.1029/2021RG000767")</f>
        <v>http://dx.doi.org/10.1029/2021RG000767</v>
      </c>
      <c r="BG70" t="s">
        <v>74</v>
      </c>
      <c r="BH70" t="s">
        <v>74</v>
      </c>
      <c r="BI70">
        <v>59</v>
      </c>
      <c r="BJ70" t="s">
        <v>597</v>
      </c>
      <c r="BK70" t="s">
        <v>104</v>
      </c>
      <c r="BL70" t="s">
        <v>597</v>
      </c>
      <c r="BM70" t="s">
        <v>1603</v>
      </c>
      <c r="BN70" t="s">
        <v>74</v>
      </c>
      <c r="BO70" t="s">
        <v>1604</v>
      </c>
      <c r="BP70" t="s">
        <v>74</v>
      </c>
      <c r="BQ70" t="s">
        <v>74</v>
      </c>
      <c r="BR70" t="s">
        <v>107</v>
      </c>
      <c r="BS70" t="s">
        <v>1605</v>
      </c>
      <c r="BT70" t="str">
        <f>HYPERLINK("https%3A%2F%2Fwww.webofscience.com%2Fwos%2Fwoscc%2Ffull-record%2FWOS:001058749300001","View Full Record in Web of Science")</f>
        <v>View Full Record in Web of Science</v>
      </c>
    </row>
    <row r="71" spans="1:72" x14ac:dyDescent="0.15">
      <c r="A71" t="s">
        <v>72</v>
      </c>
      <c r="B71" t="s">
        <v>1606</v>
      </c>
      <c r="C71" t="s">
        <v>74</v>
      </c>
      <c r="D71" t="s">
        <v>74</v>
      </c>
      <c r="E71" t="s">
        <v>74</v>
      </c>
      <c r="F71" t="s">
        <v>1607</v>
      </c>
      <c r="G71" t="s">
        <v>74</v>
      </c>
      <c r="H71" t="s">
        <v>74</v>
      </c>
      <c r="I71" t="s">
        <v>1608</v>
      </c>
      <c r="J71" t="s">
        <v>211</v>
      </c>
      <c r="K71" t="s">
        <v>74</v>
      </c>
      <c r="L71" t="s">
        <v>74</v>
      </c>
      <c r="M71" t="s">
        <v>78</v>
      </c>
      <c r="N71" t="s">
        <v>79</v>
      </c>
      <c r="O71" t="s">
        <v>74</v>
      </c>
      <c r="P71" t="s">
        <v>74</v>
      </c>
      <c r="Q71" t="s">
        <v>74</v>
      </c>
      <c r="R71" t="s">
        <v>74</v>
      </c>
      <c r="S71" t="s">
        <v>74</v>
      </c>
      <c r="T71" t="s">
        <v>1609</v>
      </c>
      <c r="U71" t="s">
        <v>1610</v>
      </c>
      <c r="V71" t="s">
        <v>1611</v>
      </c>
      <c r="W71" t="s">
        <v>1612</v>
      </c>
      <c r="X71" t="s">
        <v>1613</v>
      </c>
      <c r="Y71" t="s">
        <v>1614</v>
      </c>
      <c r="Z71" t="s">
        <v>1615</v>
      </c>
      <c r="AA71" t="s">
        <v>1616</v>
      </c>
      <c r="AB71" t="s">
        <v>1617</v>
      </c>
      <c r="AC71" t="s">
        <v>1618</v>
      </c>
      <c r="AD71" t="s">
        <v>1619</v>
      </c>
      <c r="AE71" t="s">
        <v>1620</v>
      </c>
      <c r="AF71" t="s">
        <v>74</v>
      </c>
      <c r="AG71">
        <v>56</v>
      </c>
      <c r="AH71">
        <v>4</v>
      </c>
      <c r="AI71">
        <v>4</v>
      </c>
      <c r="AJ71">
        <v>1</v>
      </c>
      <c r="AK71">
        <v>4</v>
      </c>
      <c r="AL71" t="s">
        <v>90</v>
      </c>
      <c r="AM71" t="s">
        <v>91</v>
      </c>
      <c r="AN71" t="s">
        <v>92</v>
      </c>
      <c r="AO71" t="s">
        <v>222</v>
      </c>
      <c r="AP71" t="s">
        <v>223</v>
      </c>
      <c r="AQ71" t="s">
        <v>74</v>
      </c>
      <c r="AR71" t="s">
        <v>224</v>
      </c>
      <c r="AS71" t="s">
        <v>225</v>
      </c>
      <c r="AT71" t="s">
        <v>97</v>
      </c>
      <c r="AU71">
        <v>2023</v>
      </c>
      <c r="AV71">
        <v>36</v>
      </c>
      <c r="AW71">
        <v>18</v>
      </c>
      <c r="AX71" t="s">
        <v>74</v>
      </c>
      <c r="AY71" t="s">
        <v>74</v>
      </c>
      <c r="AZ71" t="s">
        <v>74</v>
      </c>
      <c r="BA71" t="s">
        <v>74</v>
      </c>
      <c r="BB71">
        <v>6465</v>
      </c>
      <c r="BC71">
        <v>6479</v>
      </c>
      <c r="BD71" t="s">
        <v>74</v>
      </c>
      <c r="BE71" t="s">
        <v>1621</v>
      </c>
      <c r="BF71" t="str">
        <f>HYPERLINK("http://dx.doi.org/10.1175/JCLI-D-22-0858.1","http://dx.doi.org/10.1175/JCLI-D-22-0858.1")</f>
        <v>http://dx.doi.org/10.1175/JCLI-D-22-0858.1</v>
      </c>
      <c r="BG71" t="s">
        <v>74</v>
      </c>
      <c r="BH71" t="s">
        <v>74</v>
      </c>
      <c r="BI71">
        <v>15</v>
      </c>
      <c r="BJ71" t="s">
        <v>103</v>
      </c>
      <c r="BK71" t="s">
        <v>104</v>
      </c>
      <c r="BL71" t="s">
        <v>103</v>
      </c>
      <c r="BM71" t="s">
        <v>1622</v>
      </c>
      <c r="BN71" t="s">
        <v>74</v>
      </c>
      <c r="BO71" t="s">
        <v>883</v>
      </c>
      <c r="BP71" t="s">
        <v>74</v>
      </c>
      <c r="BQ71" t="s">
        <v>74</v>
      </c>
      <c r="BR71" t="s">
        <v>107</v>
      </c>
      <c r="BS71" t="s">
        <v>1623</v>
      </c>
      <c r="BT71" t="str">
        <f>HYPERLINK("https%3A%2F%2Fwww.webofscience.com%2Fwos%2Fwoscc%2Ffull-record%2FWOS:001055258000001","View Full Record in Web of Science")</f>
        <v>View Full Record in Web of Science</v>
      </c>
    </row>
    <row r="72" spans="1:72" x14ac:dyDescent="0.15">
      <c r="A72" t="s">
        <v>72</v>
      </c>
      <c r="B72" t="s">
        <v>1624</v>
      </c>
      <c r="C72" t="s">
        <v>74</v>
      </c>
      <c r="D72" t="s">
        <v>74</v>
      </c>
      <c r="E72" t="s">
        <v>74</v>
      </c>
      <c r="F72" t="s">
        <v>1625</v>
      </c>
      <c r="G72" t="s">
        <v>74</v>
      </c>
      <c r="H72" t="s">
        <v>74</v>
      </c>
      <c r="I72" t="s">
        <v>1626</v>
      </c>
      <c r="J72" t="s">
        <v>211</v>
      </c>
      <c r="K72" t="s">
        <v>74</v>
      </c>
      <c r="L72" t="s">
        <v>74</v>
      </c>
      <c r="M72" t="s">
        <v>78</v>
      </c>
      <c r="N72" t="s">
        <v>79</v>
      </c>
      <c r="O72" t="s">
        <v>74</v>
      </c>
      <c r="P72" t="s">
        <v>74</v>
      </c>
      <c r="Q72" t="s">
        <v>74</v>
      </c>
      <c r="R72" t="s">
        <v>74</v>
      </c>
      <c r="S72" t="s">
        <v>74</v>
      </c>
      <c r="T72" t="s">
        <v>1627</v>
      </c>
      <c r="U72" t="s">
        <v>1628</v>
      </c>
      <c r="V72" t="s">
        <v>1629</v>
      </c>
      <c r="W72" t="s">
        <v>1630</v>
      </c>
      <c r="X72" t="s">
        <v>1631</v>
      </c>
      <c r="Y72" t="s">
        <v>1632</v>
      </c>
      <c r="Z72" t="s">
        <v>1633</v>
      </c>
      <c r="AA72" t="s">
        <v>1634</v>
      </c>
      <c r="AB72" t="s">
        <v>1635</v>
      </c>
      <c r="AC72" t="s">
        <v>1636</v>
      </c>
      <c r="AD72" t="s">
        <v>1637</v>
      </c>
      <c r="AE72" t="s">
        <v>1638</v>
      </c>
      <c r="AF72" t="s">
        <v>74</v>
      </c>
      <c r="AG72">
        <v>68</v>
      </c>
      <c r="AH72">
        <v>0</v>
      </c>
      <c r="AI72">
        <v>0</v>
      </c>
      <c r="AJ72">
        <v>3</v>
      </c>
      <c r="AK72">
        <v>7</v>
      </c>
      <c r="AL72" t="s">
        <v>90</v>
      </c>
      <c r="AM72" t="s">
        <v>91</v>
      </c>
      <c r="AN72" t="s">
        <v>92</v>
      </c>
      <c r="AO72" t="s">
        <v>222</v>
      </c>
      <c r="AP72" t="s">
        <v>223</v>
      </c>
      <c r="AQ72" t="s">
        <v>74</v>
      </c>
      <c r="AR72" t="s">
        <v>224</v>
      </c>
      <c r="AS72" t="s">
        <v>225</v>
      </c>
      <c r="AT72" t="s">
        <v>97</v>
      </c>
      <c r="AU72">
        <v>2023</v>
      </c>
      <c r="AV72">
        <v>36</v>
      </c>
      <c r="AW72">
        <v>18</v>
      </c>
      <c r="AX72" t="s">
        <v>74</v>
      </c>
      <c r="AY72" t="s">
        <v>74</v>
      </c>
      <c r="AZ72" t="s">
        <v>74</v>
      </c>
      <c r="BA72" t="s">
        <v>74</v>
      </c>
      <c r="BB72">
        <v>6177</v>
      </c>
      <c r="BC72">
        <v>6193</v>
      </c>
      <c r="BD72" t="s">
        <v>74</v>
      </c>
      <c r="BE72" t="s">
        <v>1639</v>
      </c>
      <c r="BF72" t="str">
        <f>HYPERLINK("http://dx.doi.org/10.1175/JCLI-D-22-0692.1","http://dx.doi.org/10.1175/JCLI-D-22-0692.1")</f>
        <v>http://dx.doi.org/10.1175/JCLI-D-22-0692.1</v>
      </c>
      <c r="BG72" t="s">
        <v>74</v>
      </c>
      <c r="BH72" t="s">
        <v>74</v>
      </c>
      <c r="BI72">
        <v>17</v>
      </c>
      <c r="BJ72" t="s">
        <v>103</v>
      </c>
      <c r="BK72" t="s">
        <v>104</v>
      </c>
      <c r="BL72" t="s">
        <v>103</v>
      </c>
      <c r="BM72" t="s">
        <v>1640</v>
      </c>
      <c r="BN72" t="s">
        <v>74</v>
      </c>
      <c r="BO72" t="s">
        <v>1641</v>
      </c>
      <c r="BP72" t="s">
        <v>74</v>
      </c>
      <c r="BQ72" t="s">
        <v>74</v>
      </c>
      <c r="BR72" t="s">
        <v>107</v>
      </c>
      <c r="BS72" t="s">
        <v>1642</v>
      </c>
      <c r="BT72" t="str">
        <f>HYPERLINK("https%3A%2F%2Fwww.webofscience.com%2Fwos%2Fwoscc%2Ffull-record%2FWOS:001053963000001","View Full Record in Web of Science")</f>
        <v>View Full Record in Web of Science</v>
      </c>
    </row>
    <row r="73" spans="1:72" x14ac:dyDescent="0.15">
      <c r="A73" t="s">
        <v>72</v>
      </c>
      <c r="B73" t="s">
        <v>1643</v>
      </c>
      <c r="C73" t="s">
        <v>74</v>
      </c>
      <c r="D73" t="s">
        <v>74</v>
      </c>
      <c r="E73" t="s">
        <v>74</v>
      </c>
      <c r="F73" t="s">
        <v>1644</v>
      </c>
      <c r="G73" t="s">
        <v>74</v>
      </c>
      <c r="H73" t="s">
        <v>74</v>
      </c>
      <c r="I73" t="s">
        <v>1645</v>
      </c>
      <c r="J73" t="s">
        <v>211</v>
      </c>
      <c r="K73" t="s">
        <v>74</v>
      </c>
      <c r="L73" t="s">
        <v>74</v>
      </c>
      <c r="M73" t="s">
        <v>78</v>
      </c>
      <c r="N73" t="s">
        <v>79</v>
      </c>
      <c r="O73" t="s">
        <v>74</v>
      </c>
      <c r="P73" t="s">
        <v>74</v>
      </c>
      <c r="Q73" t="s">
        <v>74</v>
      </c>
      <c r="R73" t="s">
        <v>74</v>
      </c>
      <c r="S73" t="s">
        <v>74</v>
      </c>
      <c r="T73" t="s">
        <v>1646</v>
      </c>
      <c r="U73" t="s">
        <v>1647</v>
      </c>
      <c r="V73" t="s">
        <v>1648</v>
      </c>
      <c r="W73" t="s">
        <v>1649</v>
      </c>
      <c r="X73" t="s">
        <v>1650</v>
      </c>
      <c r="Y73" t="s">
        <v>1651</v>
      </c>
      <c r="Z73" t="s">
        <v>1652</v>
      </c>
      <c r="AA73" t="s">
        <v>74</v>
      </c>
      <c r="AB73" t="s">
        <v>1653</v>
      </c>
      <c r="AC73" t="s">
        <v>1654</v>
      </c>
      <c r="AD73" t="s">
        <v>1581</v>
      </c>
      <c r="AE73" t="s">
        <v>1655</v>
      </c>
      <c r="AF73" t="s">
        <v>74</v>
      </c>
      <c r="AG73">
        <v>43</v>
      </c>
      <c r="AH73">
        <v>0</v>
      </c>
      <c r="AI73">
        <v>0</v>
      </c>
      <c r="AJ73">
        <v>1</v>
      </c>
      <c r="AK73">
        <v>1</v>
      </c>
      <c r="AL73" t="s">
        <v>90</v>
      </c>
      <c r="AM73" t="s">
        <v>91</v>
      </c>
      <c r="AN73" t="s">
        <v>92</v>
      </c>
      <c r="AO73" t="s">
        <v>222</v>
      </c>
      <c r="AP73" t="s">
        <v>223</v>
      </c>
      <c r="AQ73" t="s">
        <v>74</v>
      </c>
      <c r="AR73" t="s">
        <v>224</v>
      </c>
      <c r="AS73" t="s">
        <v>225</v>
      </c>
      <c r="AT73" t="s">
        <v>97</v>
      </c>
      <c r="AU73">
        <v>2023</v>
      </c>
      <c r="AV73">
        <v>36</v>
      </c>
      <c r="AW73">
        <v>18</v>
      </c>
      <c r="AX73" t="s">
        <v>74</v>
      </c>
      <c r="AY73" t="s">
        <v>74</v>
      </c>
      <c r="AZ73" t="s">
        <v>74</v>
      </c>
      <c r="BA73" t="s">
        <v>74</v>
      </c>
      <c r="BB73">
        <v>6195</v>
      </c>
      <c r="BC73">
        <v>6212</v>
      </c>
      <c r="BD73" t="s">
        <v>74</v>
      </c>
      <c r="BE73" t="s">
        <v>1656</v>
      </c>
      <c r="BF73" t="str">
        <f>HYPERLINK("http://dx.doi.org/10.1175/JCLI-D-22-0416.1","http://dx.doi.org/10.1175/JCLI-D-22-0416.1")</f>
        <v>http://dx.doi.org/10.1175/JCLI-D-22-0416.1</v>
      </c>
      <c r="BG73" t="s">
        <v>74</v>
      </c>
      <c r="BH73" t="s">
        <v>74</v>
      </c>
      <c r="BI73">
        <v>18</v>
      </c>
      <c r="BJ73" t="s">
        <v>103</v>
      </c>
      <c r="BK73" t="s">
        <v>104</v>
      </c>
      <c r="BL73" t="s">
        <v>103</v>
      </c>
      <c r="BM73" t="s">
        <v>1657</v>
      </c>
      <c r="BN73" t="s">
        <v>74</v>
      </c>
      <c r="BO73" t="s">
        <v>133</v>
      </c>
      <c r="BP73" t="s">
        <v>74</v>
      </c>
      <c r="BQ73" t="s">
        <v>74</v>
      </c>
      <c r="BR73" t="s">
        <v>107</v>
      </c>
      <c r="BS73" t="s">
        <v>1658</v>
      </c>
      <c r="BT73" t="str">
        <f>HYPERLINK("https%3A%2F%2Fwww.webofscience.com%2Fwos%2Fwoscc%2Ffull-record%2FWOS:001053947200001","View Full Record in Web of Science")</f>
        <v>View Full Record in Web of Science</v>
      </c>
    </row>
    <row r="74" spans="1:72" x14ac:dyDescent="0.15">
      <c r="A74" t="s">
        <v>72</v>
      </c>
      <c r="B74" t="s">
        <v>1659</v>
      </c>
      <c r="C74" t="s">
        <v>74</v>
      </c>
      <c r="D74" t="s">
        <v>74</v>
      </c>
      <c r="E74" t="s">
        <v>74</v>
      </c>
      <c r="F74" t="s">
        <v>1660</v>
      </c>
      <c r="G74" t="s">
        <v>74</v>
      </c>
      <c r="H74" t="s">
        <v>74</v>
      </c>
      <c r="I74" t="s">
        <v>1661</v>
      </c>
      <c r="J74" t="s">
        <v>1662</v>
      </c>
      <c r="K74" t="s">
        <v>74</v>
      </c>
      <c r="L74" t="s">
        <v>74</v>
      </c>
      <c r="M74" t="s">
        <v>78</v>
      </c>
      <c r="N74" t="s">
        <v>79</v>
      </c>
      <c r="O74" t="s">
        <v>74</v>
      </c>
      <c r="P74" t="s">
        <v>74</v>
      </c>
      <c r="Q74" t="s">
        <v>74</v>
      </c>
      <c r="R74" t="s">
        <v>74</v>
      </c>
      <c r="S74" t="s">
        <v>74</v>
      </c>
      <c r="T74" t="s">
        <v>74</v>
      </c>
      <c r="U74" t="s">
        <v>1663</v>
      </c>
      <c r="V74" t="s">
        <v>1664</v>
      </c>
      <c r="W74" t="s">
        <v>1665</v>
      </c>
      <c r="X74" t="s">
        <v>1666</v>
      </c>
      <c r="Y74" t="s">
        <v>1667</v>
      </c>
      <c r="Z74" t="s">
        <v>1668</v>
      </c>
      <c r="AA74" t="s">
        <v>1669</v>
      </c>
      <c r="AB74" t="s">
        <v>1670</v>
      </c>
      <c r="AC74" t="s">
        <v>1671</v>
      </c>
      <c r="AD74" t="s">
        <v>1672</v>
      </c>
      <c r="AE74" t="s">
        <v>1673</v>
      </c>
      <c r="AF74" t="s">
        <v>74</v>
      </c>
      <c r="AG74">
        <v>108</v>
      </c>
      <c r="AH74">
        <v>1</v>
      </c>
      <c r="AI74">
        <v>1</v>
      </c>
      <c r="AJ74">
        <v>0</v>
      </c>
      <c r="AK74">
        <v>3</v>
      </c>
      <c r="AL74" t="s">
        <v>298</v>
      </c>
      <c r="AM74" t="s">
        <v>299</v>
      </c>
      <c r="AN74" t="s">
        <v>300</v>
      </c>
      <c r="AO74" t="s">
        <v>1674</v>
      </c>
      <c r="AP74" t="s">
        <v>1675</v>
      </c>
      <c r="AQ74" t="s">
        <v>74</v>
      </c>
      <c r="AR74" t="s">
        <v>1676</v>
      </c>
      <c r="AS74" t="s">
        <v>1677</v>
      </c>
      <c r="AT74" t="s">
        <v>97</v>
      </c>
      <c r="AU74">
        <v>2023</v>
      </c>
      <c r="AV74">
        <v>43</v>
      </c>
      <c r="AW74">
        <v>3</v>
      </c>
      <c r="AX74" t="s">
        <v>74</v>
      </c>
      <c r="AY74" t="s">
        <v>74</v>
      </c>
      <c r="AZ74" t="s">
        <v>74</v>
      </c>
      <c r="BA74" t="s">
        <v>74</v>
      </c>
      <c r="BB74" t="s">
        <v>74</v>
      </c>
      <c r="BC74" t="s">
        <v>74</v>
      </c>
      <c r="BD74">
        <v>11</v>
      </c>
      <c r="BE74" t="s">
        <v>1678</v>
      </c>
      <c r="BF74" t="str">
        <f>HYPERLINK("http://dx.doi.org/10.1007/s00367-023-00753-2","http://dx.doi.org/10.1007/s00367-023-00753-2")</f>
        <v>http://dx.doi.org/10.1007/s00367-023-00753-2</v>
      </c>
      <c r="BG74" t="s">
        <v>74</v>
      </c>
      <c r="BH74" t="s">
        <v>74</v>
      </c>
      <c r="BI74">
        <v>15</v>
      </c>
      <c r="BJ74" t="s">
        <v>1679</v>
      </c>
      <c r="BK74" t="s">
        <v>104</v>
      </c>
      <c r="BL74" t="s">
        <v>1680</v>
      </c>
      <c r="BM74" t="s">
        <v>1681</v>
      </c>
      <c r="BN74" t="s">
        <v>74</v>
      </c>
      <c r="BO74" t="s">
        <v>418</v>
      </c>
      <c r="BP74" t="s">
        <v>74</v>
      </c>
      <c r="BQ74" t="s">
        <v>74</v>
      </c>
      <c r="BR74" t="s">
        <v>107</v>
      </c>
      <c r="BS74" t="s">
        <v>1682</v>
      </c>
      <c r="BT74" t="str">
        <f>HYPERLINK("https%3A%2F%2Fwww.webofscience.com%2Fwos%2Fwoscc%2Ffull-record%2FWOS:001027094400001","View Full Record in Web of Science")</f>
        <v>View Full Record in Web of Science</v>
      </c>
    </row>
    <row r="75" spans="1:72" x14ac:dyDescent="0.15">
      <c r="A75" t="s">
        <v>72</v>
      </c>
      <c r="B75" t="s">
        <v>1683</v>
      </c>
      <c r="C75" t="s">
        <v>74</v>
      </c>
      <c r="D75" t="s">
        <v>74</v>
      </c>
      <c r="E75" t="s">
        <v>74</v>
      </c>
      <c r="F75" t="s">
        <v>1684</v>
      </c>
      <c r="G75" t="s">
        <v>74</v>
      </c>
      <c r="H75" t="s">
        <v>74</v>
      </c>
      <c r="I75" t="s">
        <v>1685</v>
      </c>
      <c r="J75" t="s">
        <v>1686</v>
      </c>
      <c r="K75" t="s">
        <v>74</v>
      </c>
      <c r="L75" t="s">
        <v>74</v>
      </c>
      <c r="M75" t="s">
        <v>78</v>
      </c>
      <c r="N75" t="s">
        <v>79</v>
      </c>
      <c r="O75" t="s">
        <v>74</v>
      </c>
      <c r="P75" t="s">
        <v>74</v>
      </c>
      <c r="Q75" t="s">
        <v>74</v>
      </c>
      <c r="R75" t="s">
        <v>74</v>
      </c>
      <c r="S75" t="s">
        <v>74</v>
      </c>
      <c r="T75" t="s">
        <v>1687</v>
      </c>
      <c r="U75" t="s">
        <v>1688</v>
      </c>
      <c r="V75" t="s">
        <v>1689</v>
      </c>
      <c r="W75" t="s">
        <v>1690</v>
      </c>
      <c r="X75" t="s">
        <v>1691</v>
      </c>
      <c r="Y75" t="s">
        <v>1692</v>
      </c>
      <c r="Z75" t="s">
        <v>1693</v>
      </c>
      <c r="AA75" t="s">
        <v>1694</v>
      </c>
      <c r="AB75" t="s">
        <v>1695</v>
      </c>
      <c r="AC75" t="s">
        <v>1696</v>
      </c>
      <c r="AD75" t="s">
        <v>1697</v>
      </c>
      <c r="AE75" t="s">
        <v>1698</v>
      </c>
      <c r="AF75" t="s">
        <v>74</v>
      </c>
      <c r="AG75">
        <v>82</v>
      </c>
      <c r="AH75">
        <v>1</v>
      </c>
      <c r="AI75">
        <v>1</v>
      </c>
      <c r="AJ75">
        <v>2</v>
      </c>
      <c r="AK75">
        <v>15</v>
      </c>
      <c r="AL75" t="s">
        <v>1699</v>
      </c>
      <c r="AM75" t="s">
        <v>1700</v>
      </c>
      <c r="AN75" t="s">
        <v>1701</v>
      </c>
      <c r="AO75" t="s">
        <v>1702</v>
      </c>
      <c r="AP75" t="s">
        <v>1703</v>
      </c>
      <c r="AQ75" t="s">
        <v>74</v>
      </c>
      <c r="AR75" t="s">
        <v>1704</v>
      </c>
      <c r="AS75" t="s">
        <v>1705</v>
      </c>
      <c r="AT75" t="s">
        <v>544</v>
      </c>
      <c r="AU75">
        <v>2023</v>
      </c>
      <c r="AV75">
        <v>42</v>
      </c>
      <c r="AW75">
        <v>3</v>
      </c>
      <c r="AX75" t="s">
        <v>74</v>
      </c>
      <c r="AY75" t="s">
        <v>74</v>
      </c>
      <c r="AZ75" t="s">
        <v>74</v>
      </c>
      <c r="BA75" t="s">
        <v>74</v>
      </c>
      <c r="BB75">
        <v>229</v>
      </c>
      <c r="BC75">
        <v>246</v>
      </c>
      <c r="BD75" t="s">
        <v>74</v>
      </c>
      <c r="BE75" t="s">
        <v>1706</v>
      </c>
      <c r="BF75" t="str">
        <f>HYPERLINK("http://dx.doi.org/10.1086/725676","http://dx.doi.org/10.1086/725676")</f>
        <v>http://dx.doi.org/10.1086/725676</v>
      </c>
      <c r="BG75" t="s">
        <v>74</v>
      </c>
      <c r="BH75" t="s">
        <v>932</v>
      </c>
      <c r="BI75">
        <v>18</v>
      </c>
      <c r="BJ75" t="s">
        <v>1707</v>
      </c>
      <c r="BK75" t="s">
        <v>104</v>
      </c>
      <c r="BL75" t="s">
        <v>1002</v>
      </c>
      <c r="BM75" t="s">
        <v>1708</v>
      </c>
      <c r="BN75" t="s">
        <v>74</v>
      </c>
      <c r="BO75" t="s">
        <v>74</v>
      </c>
      <c r="BP75" t="s">
        <v>74</v>
      </c>
      <c r="BQ75" t="s">
        <v>74</v>
      </c>
      <c r="BR75" t="s">
        <v>107</v>
      </c>
      <c r="BS75" t="s">
        <v>1709</v>
      </c>
      <c r="BT75" t="str">
        <f>HYPERLINK("https%3A%2F%2Fwww.webofscience.com%2Fwos%2Fwoscc%2Ffull-record%2FWOS:000995055300001","View Full Record in Web of Science")</f>
        <v>View Full Record in Web of Science</v>
      </c>
    </row>
    <row r="76" spans="1:72" x14ac:dyDescent="0.15">
      <c r="A76" t="s">
        <v>72</v>
      </c>
      <c r="B76" t="s">
        <v>1710</v>
      </c>
      <c r="C76" t="s">
        <v>74</v>
      </c>
      <c r="D76" t="s">
        <v>74</v>
      </c>
      <c r="E76" t="s">
        <v>74</v>
      </c>
      <c r="F76" t="s">
        <v>1711</v>
      </c>
      <c r="G76" t="s">
        <v>74</v>
      </c>
      <c r="H76" t="s">
        <v>74</v>
      </c>
      <c r="I76" t="s">
        <v>1712</v>
      </c>
      <c r="J76" t="s">
        <v>1713</v>
      </c>
      <c r="K76" t="s">
        <v>74</v>
      </c>
      <c r="L76" t="s">
        <v>74</v>
      </c>
      <c r="M76" t="s">
        <v>78</v>
      </c>
      <c r="N76" t="s">
        <v>79</v>
      </c>
      <c r="O76" t="s">
        <v>74</v>
      </c>
      <c r="P76" t="s">
        <v>74</v>
      </c>
      <c r="Q76" t="s">
        <v>74</v>
      </c>
      <c r="R76" t="s">
        <v>74</v>
      </c>
      <c r="S76" t="s">
        <v>74</v>
      </c>
      <c r="T76" t="s">
        <v>1714</v>
      </c>
      <c r="U76" t="s">
        <v>1715</v>
      </c>
      <c r="V76" t="s">
        <v>1716</v>
      </c>
      <c r="W76" t="s">
        <v>1717</v>
      </c>
      <c r="X76" t="s">
        <v>1718</v>
      </c>
      <c r="Y76" t="s">
        <v>1719</v>
      </c>
      <c r="Z76" t="s">
        <v>1720</v>
      </c>
      <c r="AA76" t="s">
        <v>1721</v>
      </c>
      <c r="AB76" t="s">
        <v>1722</v>
      </c>
      <c r="AC76" t="s">
        <v>1723</v>
      </c>
      <c r="AD76" t="s">
        <v>367</v>
      </c>
      <c r="AE76" t="s">
        <v>1724</v>
      </c>
      <c r="AF76" t="s">
        <v>74</v>
      </c>
      <c r="AG76">
        <v>43</v>
      </c>
      <c r="AH76">
        <v>2</v>
      </c>
      <c r="AI76">
        <v>2</v>
      </c>
      <c r="AJ76">
        <v>10</v>
      </c>
      <c r="AK76">
        <v>29</v>
      </c>
      <c r="AL76" t="s">
        <v>510</v>
      </c>
      <c r="AM76" t="s">
        <v>511</v>
      </c>
      <c r="AN76" t="s">
        <v>512</v>
      </c>
      <c r="AO76" t="s">
        <v>74</v>
      </c>
      <c r="AP76" t="s">
        <v>1725</v>
      </c>
      <c r="AQ76" t="s">
        <v>74</v>
      </c>
      <c r="AR76" t="s">
        <v>1726</v>
      </c>
      <c r="AS76" t="s">
        <v>1727</v>
      </c>
      <c r="AT76" t="s">
        <v>97</v>
      </c>
      <c r="AU76">
        <v>2023</v>
      </c>
      <c r="AV76">
        <v>12</v>
      </c>
      <c r="AW76">
        <v>5</v>
      </c>
      <c r="AX76" t="s">
        <v>74</v>
      </c>
      <c r="AY76" t="s">
        <v>74</v>
      </c>
      <c r="AZ76" t="s">
        <v>74</v>
      </c>
      <c r="BA76" t="s">
        <v>74</v>
      </c>
      <c r="BB76">
        <v>1772</v>
      </c>
      <c r="BC76">
        <v>1778</v>
      </c>
      <c r="BD76" t="s">
        <v>74</v>
      </c>
      <c r="BE76" t="s">
        <v>1728</v>
      </c>
      <c r="BF76" t="str">
        <f>HYPERLINK("http://dx.doi.org/10.1016/j.fshw.2023.02.028","http://dx.doi.org/10.1016/j.fshw.2023.02.028")</f>
        <v>http://dx.doi.org/10.1016/j.fshw.2023.02.028</v>
      </c>
      <c r="BG76" t="s">
        <v>74</v>
      </c>
      <c r="BH76" t="s">
        <v>74</v>
      </c>
      <c r="BI76">
        <v>7</v>
      </c>
      <c r="BJ76" t="s">
        <v>1729</v>
      </c>
      <c r="BK76" t="s">
        <v>104</v>
      </c>
      <c r="BL76" t="s">
        <v>1729</v>
      </c>
      <c r="BM76" t="s">
        <v>1730</v>
      </c>
      <c r="BN76" t="s">
        <v>74</v>
      </c>
      <c r="BO76" t="s">
        <v>206</v>
      </c>
      <c r="BP76" t="s">
        <v>74</v>
      </c>
      <c r="BQ76" t="s">
        <v>74</v>
      </c>
      <c r="BR76" t="s">
        <v>107</v>
      </c>
      <c r="BS76" t="s">
        <v>1731</v>
      </c>
      <c r="BT76" t="str">
        <f>HYPERLINK("https%3A%2F%2Fwww.webofscience.com%2Fwos%2Fwoscc%2Ffull-record%2FWOS:000971652900001","View Full Record in Web of Science")</f>
        <v>View Full Record in Web of Science</v>
      </c>
    </row>
    <row r="77" spans="1:72" x14ac:dyDescent="0.15">
      <c r="A77" t="s">
        <v>72</v>
      </c>
      <c r="B77" t="s">
        <v>1732</v>
      </c>
      <c r="C77" t="s">
        <v>74</v>
      </c>
      <c r="D77" t="s">
        <v>74</v>
      </c>
      <c r="E77" t="s">
        <v>74</v>
      </c>
      <c r="F77" t="s">
        <v>1733</v>
      </c>
      <c r="G77" t="s">
        <v>74</v>
      </c>
      <c r="H77" t="s">
        <v>74</v>
      </c>
      <c r="I77" t="s">
        <v>1734</v>
      </c>
      <c r="J77" t="s">
        <v>1735</v>
      </c>
      <c r="K77" t="s">
        <v>74</v>
      </c>
      <c r="L77" t="s">
        <v>74</v>
      </c>
      <c r="M77" t="s">
        <v>78</v>
      </c>
      <c r="N77" t="s">
        <v>79</v>
      </c>
      <c r="O77" t="s">
        <v>74</v>
      </c>
      <c r="P77" t="s">
        <v>74</v>
      </c>
      <c r="Q77" t="s">
        <v>74</v>
      </c>
      <c r="R77" t="s">
        <v>74</v>
      </c>
      <c r="S77" t="s">
        <v>74</v>
      </c>
      <c r="T77" t="s">
        <v>1736</v>
      </c>
      <c r="U77" t="s">
        <v>1737</v>
      </c>
      <c r="V77" t="s">
        <v>1738</v>
      </c>
      <c r="W77" t="s">
        <v>1739</v>
      </c>
      <c r="X77" t="s">
        <v>1740</v>
      </c>
      <c r="Y77" t="s">
        <v>1741</v>
      </c>
      <c r="Z77" t="s">
        <v>1742</v>
      </c>
      <c r="AA77" t="s">
        <v>1743</v>
      </c>
      <c r="AB77" t="s">
        <v>1744</v>
      </c>
      <c r="AC77" t="s">
        <v>1745</v>
      </c>
      <c r="AD77" t="s">
        <v>1746</v>
      </c>
      <c r="AE77" t="s">
        <v>1747</v>
      </c>
      <c r="AF77" t="s">
        <v>74</v>
      </c>
      <c r="AG77">
        <v>36</v>
      </c>
      <c r="AH77">
        <v>0</v>
      </c>
      <c r="AI77">
        <v>0</v>
      </c>
      <c r="AJ77">
        <v>1</v>
      </c>
      <c r="AK77">
        <v>4</v>
      </c>
      <c r="AL77" t="s">
        <v>1748</v>
      </c>
      <c r="AM77" t="s">
        <v>1749</v>
      </c>
      <c r="AN77" t="s">
        <v>1750</v>
      </c>
      <c r="AO77" t="s">
        <v>1751</v>
      </c>
      <c r="AP77" t="s">
        <v>1752</v>
      </c>
      <c r="AQ77" t="s">
        <v>74</v>
      </c>
      <c r="AR77" t="s">
        <v>1753</v>
      </c>
      <c r="AS77" t="s">
        <v>1754</v>
      </c>
      <c r="AT77" t="s">
        <v>97</v>
      </c>
      <c r="AU77">
        <v>2023</v>
      </c>
      <c r="AV77">
        <v>23</v>
      </c>
      <c r="AW77">
        <v>9</v>
      </c>
      <c r="AX77" t="s">
        <v>74</v>
      </c>
      <c r="AY77" t="s">
        <v>74</v>
      </c>
      <c r="AZ77" t="s">
        <v>74</v>
      </c>
      <c r="BA77" t="s">
        <v>74</v>
      </c>
      <c r="BB77" t="s">
        <v>74</v>
      </c>
      <c r="BC77" t="s">
        <v>74</v>
      </c>
      <c r="BD77" t="s">
        <v>1755</v>
      </c>
      <c r="BE77" t="s">
        <v>1756</v>
      </c>
      <c r="BF77" t="str">
        <f>HYPERLINK("http://dx.doi.org/10.4194/TRJFAS23271","http://dx.doi.org/10.4194/TRJFAS23271")</f>
        <v>http://dx.doi.org/10.4194/TRJFAS23271</v>
      </c>
      <c r="BG77" t="s">
        <v>74</v>
      </c>
      <c r="BH77" t="s">
        <v>74</v>
      </c>
      <c r="BI77">
        <v>7</v>
      </c>
      <c r="BJ77" t="s">
        <v>1757</v>
      </c>
      <c r="BK77" t="s">
        <v>104</v>
      </c>
      <c r="BL77" t="s">
        <v>1757</v>
      </c>
      <c r="BM77" t="s">
        <v>1758</v>
      </c>
      <c r="BN77" t="s">
        <v>74</v>
      </c>
      <c r="BO77" t="s">
        <v>206</v>
      </c>
      <c r="BP77" t="s">
        <v>74</v>
      </c>
      <c r="BQ77" t="s">
        <v>74</v>
      </c>
      <c r="BR77" t="s">
        <v>107</v>
      </c>
      <c r="BS77" t="s">
        <v>1759</v>
      </c>
      <c r="BT77" t="str">
        <f>HYPERLINK("https%3A%2F%2Fwww.webofscience.com%2Fwos%2Fwoscc%2Ffull-record%2FWOS:000945998600001","View Full Record in Web of Science")</f>
        <v>View Full Record in Web of Science</v>
      </c>
    </row>
    <row r="78" spans="1:72" x14ac:dyDescent="0.15">
      <c r="A78" t="s">
        <v>72</v>
      </c>
      <c r="B78" t="s">
        <v>1760</v>
      </c>
      <c r="C78" t="s">
        <v>74</v>
      </c>
      <c r="D78" t="s">
        <v>74</v>
      </c>
      <c r="E78" t="s">
        <v>74</v>
      </c>
      <c r="F78" t="s">
        <v>1761</v>
      </c>
      <c r="G78" t="s">
        <v>74</v>
      </c>
      <c r="H78" t="s">
        <v>74</v>
      </c>
      <c r="I78" t="s">
        <v>1762</v>
      </c>
      <c r="J78" t="s">
        <v>1763</v>
      </c>
      <c r="K78" t="s">
        <v>74</v>
      </c>
      <c r="L78" t="s">
        <v>74</v>
      </c>
      <c r="M78" t="s">
        <v>78</v>
      </c>
      <c r="N78" t="s">
        <v>79</v>
      </c>
      <c r="O78" t="s">
        <v>74</v>
      </c>
      <c r="P78" t="s">
        <v>74</v>
      </c>
      <c r="Q78" t="s">
        <v>74</v>
      </c>
      <c r="R78" t="s">
        <v>74</v>
      </c>
      <c r="S78" t="s">
        <v>74</v>
      </c>
      <c r="T78" t="s">
        <v>74</v>
      </c>
      <c r="U78" t="s">
        <v>1764</v>
      </c>
      <c r="V78" t="s">
        <v>1765</v>
      </c>
      <c r="W78" t="s">
        <v>1766</v>
      </c>
      <c r="X78" t="s">
        <v>1767</v>
      </c>
      <c r="Y78" t="s">
        <v>1768</v>
      </c>
      <c r="Z78" t="s">
        <v>1769</v>
      </c>
      <c r="AA78" t="s">
        <v>1770</v>
      </c>
      <c r="AB78" t="s">
        <v>1771</v>
      </c>
      <c r="AC78" t="s">
        <v>1772</v>
      </c>
      <c r="AD78" t="s">
        <v>1773</v>
      </c>
      <c r="AE78" t="s">
        <v>1774</v>
      </c>
      <c r="AF78" t="s">
        <v>74</v>
      </c>
      <c r="AG78">
        <v>59</v>
      </c>
      <c r="AH78">
        <v>1</v>
      </c>
      <c r="AI78">
        <v>1</v>
      </c>
      <c r="AJ78">
        <v>1</v>
      </c>
      <c r="AK78">
        <v>1</v>
      </c>
      <c r="AL78" t="s">
        <v>1775</v>
      </c>
      <c r="AM78" t="s">
        <v>1776</v>
      </c>
      <c r="AN78" t="s">
        <v>1777</v>
      </c>
      <c r="AO78" t="s">
        <v>1778</v>
      </c>
      <c r="AP78" t="s">
        <v>1779</v>
      </c>
      <c r="AQ78" t="s">
        <v>74</v>
      </c>
      <c r="AR78" t="s">
        <v>1763</v>
      </c>
      <c r="AS78" t="s">
        <v>1780</v>
      </c>
      <c r="AT78" t="s">
        <v>1781</v>
      </c>
      <c r="AU78">
        <v>2023</v>
      </c>
      <c r="AV78">
        <v>17</v>
      </c>
      <c r="AW78">
        <v>9</v>
      </c>
      <c r="AX78" t="s">
        <v>74</v>
      </c>
      <c r="AY78" t="s">
        <v>74</v>
      </c>
      <c r="AZ78" t="s">
        <v>74</v>
      </c>
      <c r="BA78" t="s">
        <v>74</v>
      </c>
      <c r="BB78">
        <v>3667</v>
      </c>
      <c r="BC78">
        <v>3694</v>
      </c>
      <c r="BD78" t="s">
        <v>74</v>
      </c>
      <c r="BE78" t="s">
        <v>1782</v>
      </c>
      <c r="BF78" t="str">
        <f>HYPERLINK("http://dx.doi.org/10.5194/tc-17-3667-2023","http://dx.doi.org/10.5194/tc-17-3667-2023")</f>
        <v>http://dx.doi.org/10.5194/tc-17-3667-2023</v>
      </c>
      <c r="BG78" t="s">
        <v>74</v>
      </c>
      <c r="BH78" t="s">
        <v>74</v>
      </c>
      <c r="BI78">
        <v>28</v>
      </c>
      <c r="BJ78" t="s">
        <v>1783</v>
      </c>
      <c r="BK78" t="s">
        <v>104</v>
      </c>
      <c r="BL78" t="s">
        <v>1784</v>
      </c>
      <c r="BM78" t="s">
        <v>1785</v>
      </c>
      <c r="BN78" t="s">
        <v>74</v>
      </c>
      <c r="BO78" t="s">
        <v>771</v>
      </c>
      <c r="BP78" t="s">
        <v>74</v>
      </c>
      <c r="BQ78" t="s">
        <v>74</v>
      </c>
      <c r="BR78" t="s">
        <v>107</v>
      </c>
      <c r="BS78" t="s">
        <v>1786</v>
      </c>
      <c r="BT78" t="str">
        <f>HYPERLINK("https%3A%2F%2Fwww.webofscience.com%2Fwos%2Fwoscc%2Ffull-record%2FWOS:001168960200001","View Full Record in Web of Science")</f>
        <v>View Full Record in Web of Science</v>
      </c>
    </row>
    <row r="79" spans="1:72" x14ac:dyDescent="0.15">
      <c r="A79" t="s">
        <v>72</v>
      </c>
      <c r="B79" t="s">
        <v>1787</v>
      </c>
      <c r="C79" t="s">
        <v>74</v>
      </c>
      <c r="D79" t="s">
        <v>74</v>
      </c>
      <c r="E79" t="s">
        <v>74</v>
      </c>
      <c r="F79" t="s">
        <v>1788</v>
      </c>
      <c r="G79" t="s">
        <v>74</v>
      </c>
      <c r="H79" t="s">
        <v>74</v>
      </c>
      <c r="I79" t="s">
        <v>1789</v>
      </c>
      <c r="J79" t="s">
        <v>1790</v>
      </c>
      <c r="K79" t="s">
        <v>74</v>
      </c>
      <c r="L79" t="s">
        <v>74</v>
      </c>
      <c r="M79" t="s">
        <v>78</v>
      </c>
      <c r="N79" t="s">
        <v>79</v>
      </c>
      <c r="O79" t="s">
        <v>74</v>
      </c>
      <c r="P79" t="s">
        <v>74</v>
      </c>
      <c r="Q79" t="s">
        <v>74</v>
      </c>
      <c r="R79" t="s">
        <v>74</v>
      </c>
      <c r="S79" t="s">
        <v>74</v>
      </c>
      <c r="T79" t="s">
        <v>1791</v>
      </c>
      <c r="U79" t="s">
        <v>1792</v>
      </c>
      <c r="V79" t="s">
        <v>1793</v>
      </c>
      <c r="W79" t="s">
        <v>1794</v>
      </c>
      <c r="X79" t="s">
        <v>1795</v>
      </c>
      <c r="Y79" t="s">
        <v>1796</v>
      </c>
      <c r="Z79" t="s">
        <v>1797</v>
      </c>
      <c r="AA79" t="s">
        <v>1798</v>
      </c>
      <c r="AB79" t="s">
        <v>1799</v>
      </c>
      <c r="AC79" t="s">
        <v>1800</v>
      </c>
      <c r="AD79" t="s">
        <v>1801</v>
      </c>
      <c r="AE79" t="s">
        <v>1802</v>
      </c>
      <c r="AF79" t="s">
        <v>74</v>
      </c>
      <c r="AG79">
        <v>84</v>
      </c>
      <c r="AH79">
        <v>0</v>
      </c>
      <c r="AI79">
        <v>0</v>
      </c>
      <c r="AJ79">
        <v>2</v>
      </c>
      <c r="AK79">
        <v>2</v>
      </c>
      <c r="AL79" t="s">
        <v>1803</v>
      </c>
      <c r="AM79" t="s">
        <v>1804</v>
      </c>
      <c r="AN79" t="s">
        <v>1805</v>
      </c>
      <c r="AO79" t="s">
        <v>1806</v>
      </c>
      <c r="AP79" t="s">
        <v>1807</v>
      </c>
      <c r="AQ79" t="s">
        <v>74</v>
      </c>
      <c r="AR79" t="s">
        <v>1808</v>
      </c>
      <c r="AS79" t="s">
        <v>1809</v>
      </c>
      <c r="AT79" t="s">
        <v>1810</v>
      </c>
      <c r="AU79">
        <v>2023</v>
      </c>
      <c r="AV79">
        <v>35</v>
      </c>
      <c r="AW79">
        <v>5</v>
      </c>
      <c r="AX79" t="s">
        <v>74</v>
      </c>
      <c r="AY79" t="s">
        <v>74</v>
      </c>
      <c r="AZ79" t="s">
        <v>74</v>
      </c>
      <c r="BA79" t="s">
        <v>74</v>
      </c>
      <c r="BB79">
        <v>345</v>
      </c>
      <c r="BC79">
        <v>358</v>
      </c>
      <c r="BD79" t="s">
        <v>74</v>
      </c>
      <c r="BE79" t="s">
        <v>1811</v>
      </c>
      <c r="BF79" t="str">
        <f>HYPERLINK("http://dx.doi.org/10.1017/S0954102023000196","http://dx.doi.org/10.1017/S0954102023000196")</f>
        <v>http://dx.doi.org/10.1017/S0954102023000196</v>
      </c>
      <c r="BG79" t="s">
        <v>74</v>
      </c>
      <c r="BH79" t="s">
        <v>1812</v>
      </c>
      <c r="BI79">
        <v>14</v>
      </c>
      <c r="BJ79" t="s">
        <v>1813</v>
      </c>
      <c r="BK79" t="s">
        <v>104</v>
      </c>
      <c r="BL79" t="s">
        <v>1814</v>
      </c>
      <c r="BM79" t="s">
        <v>1815</v>
      </c>
      <c r="BN79" t="s">
        <v>74</v>
      </c>
      <c r="BO79" t="s">
        <v>1217</v>
      </c>
      <c r="BP79" t="s">
        <v>74</v>
      </c>
      <c r="BQ79" t="s">
        <v>74</v>
      </c>
      <c r="BR79" t="s">
        <v>107</v>
      </c>
      <c r="BS79" t="s">
        <v>1816</v>
      </c>
      <c r="BT79" t="str">
        <f>HYPERLINK("https%3A%2F%2Fwww.webofscience.com%2Fwos%2Fwoscc%2Ffull-record%2FWOS:001098577100001","View Full Record in Web of Science")</f>
        <v>View Full Record in Web of Science</v>
      </c>
    </row>
    <row r="80" spans="1:72" x14ac:dyDescent="0.15">
      <c r="A80" t="s">
        <v>72</v>
      </c>
      <c r="B80" t="s">
        <v>1817</v>
      </c>
      <c r="C80" t="s">
        <v>74</v>
      </c>
      <c r="D80" t="s">
        <v>74</v>
      </c>
      <c r="E80" t="s">
        <v>74</v>
      </c>
      <c r="F80" t="s">
        <v>1818</v>
      </c>
      <c r="G80" t="s">
        <v>74</v>
      </c>
      <c r="H80" t="s">
        <v>74</v>
      </c>
      <c r="I80" t="s">
        <v>1819</v>
      </c>
      <c r="J80" t="s">
        <v>1820</v>
      </c>
      <c r="K80" t="s">
        <v>74</v>
      </c>
      <c r="L80" t="s">
        <v>74</v>
      </c>
      <c r="M80" t="s">
        <v>78</v>
      </c>
      <c r="N80" t="s">
        <v>79</v>
      </c>
      <c r="O80" t="s">
        <v>74</v>
      </c>
      <c r="P80" t="s">
        <v>74</v>
      </c>
      <c r="Q80" t="s">
        <v>74</v>
      </c>
      <c r="R80" t="s">
        <v>74</v>
      </c>
      <c r="S80" t="s">
        <v>74</v>
      </c>
      <c r="T80" t="s">
        <v>1821</v>
      </c>
      <c r="U80" t="s">
        <v>1822</v>
      </c>
      <c r="V80" t="s">
        <v>1823</v>
      </c>
      <c r="W80" t="s">
        <v>1824</v>
      </c>
      <c r="X80" t="s">
        <v>1825</v>
      </c>
      <c r="Y80" t="s">
        <v>1826</v>
      </c>
      <c r="Z80" t="s">
        <v>1827</v>
      </c>
      <c r="AA80" t="s">
        <v>1828</v>
      </c>
      <c r="AB80" t="s">
        <v>1829</v>
      </c>
      <c r="AC80" t="s">
        <v>1830</v>
      </c>
      <c r="AD80" t="s">
        <v>1831</v>
      </c>
      <c r="AE80" t="s">
        <v>1832</v>
      </c>
      <c r="AF80" t="s">
        <v>74</v>
      </c>
      <c r="AG80">
        <v>77</v>
      </c>
      <c r="AH80">
        <v>1</v>
      </c>
      <c r="AI80">
        <v>1</v>
      </c>
      <c r="AJ80">
        <v>3</v>
      </c>
      <c r="AK80">
        <v>3</v>
      </c>
      <c r="AL80" t="s">
        <v>994</v>
      </c>
      <c r="AM80" t="s">
        <v>995</v>
      </c>
      <c r="AN80" t="s">
        <v>996</v>
      </c>
      <c r="AO80" t="s">
        <v>74</v>
      </c>
      <c r="AP80" t="s">
        <v>1833</v>
      </c>
      <c r="AQ80" t="s">
        <v>74</v>
      </c>
      <c r="AR80" t="s">
        <v>1834</v>
      </c>
      <c r="AS80" t="s">
        <v>1835</v>
      </c>
      <c r="AT80" t="s">
        <v>1781</v>
      </c>
      <c r="AU80">
        <v>2023</v>
      </c>
      <c r="AV80">
        <v>14</v>
      </c>
      <c r="AW80" t="s">
        <v>74</v>
      </c>
      <c r="AX80" t="s">
        <v>74</v>
      </c>
      <c r="AY80" t="s">
        <v>74</v>
      </c>
      <c r="AZ80" t="s">
        <v>74</v>
      </c>
      <c r="BA80" t="s">
        <v>74</v>
      </c>
      <c r="BB80" t="s">
        <v>74</v>
      </c>
      <c r="BC80" t="s">
        <v>74</v>
      </c>
      <c r="BD80">
        <v>1241826</v>
      </c>
      <c r="BE80" t="s">
        <v>1836</v>
      </c>
      <c r="BF80" t="str">
        <f>HYPERLINK("http://dx.doi.org/10.3389/fmicb.2023.1241826","http://dx.doi.org/10.3389/fmicb.2023.1241826")</f>
        <v>http://dx.doi.org/10.3389/fmicb.2023.1241826</v>
      </c>
      <c r="BG80" t="s">
        <v>74</v>
      </c>
      <c r="BH80" t="s">
        <v>74</v>
      </c>
      <c r="BI80">
        <v>21</v>
      </c>
      <c r="BJ80" t="s">
        <v>702</v>
      </c>
      <c r="BK80" t="s">
        <v>104</v>
      </c>
      <c r="BL80" t="s">
        <v>702</v>
      </c>
      <c r="BM80" t="s">
        <v>1837</v>
      </c>
      <c r="BN80">
        <v>37720158</v>
      </c>
      <c r="BO80" t="s">
        <v>821</v>
      </c>
      <c r="BP80" t="s">
        <v>74</v>
      </c>
      <c r="BQ80" t="s">
        <v>74</v>
      </c>
      <c r="BR80" t="s">
        <v>107</v>
      </c>
      <c r="BS80" t="s">
        <v>1838</v>
      </c>
      <c r="BT80" t="str">
        <f>HYPERLINK("https%3A%2F%2Fwww.webofscience.com%2Fwos%2Fwoscc%2Ffull-record%2FWOS:001081511600001","View Full Record in Web of Science")</f>
        <v>View Full Record in Web of Science</v>
      </c>
    </row>
    <row r="81" spans="1:72" x14ac:dyDescent="0.15">
      <c r="A81" t="s">
        <v>72</v>
      </c>
      <c r="B81" t="s">
        <v>1839</v>
      </c>
      <c r="C81" t="s">
        <v>74</v>
      </c>
      <c r="D81" t="s">
        <v>74</v>
      </c>
      <c r="E81" t="s">
        <v>74</v>
      </c>
      <c r="F81" t="s">
        <v>1840</v>
      </c>
      <c r="G81" t="s">
        <v>74</v>
      </c>
      <c r="H81" t="s">
        <v>74</v>
      </c>
      <c r="I81" t="s">
        <v>1841</v>
      </c>
      <c r="J81" t="s">
        <v>1842</v>
      </c>
      <c r="K81" t="s">
        <v>74</v>
      </c>
      <c r="L81" t="s">
        <v>74</v>
      </c>
      <c r="M81" t="s">
        <v>78</v>
      </c>
      <c r="N81" t="s">
        <v>424</v>
      </c>
      <c r="O81" t="s">
        <v>74</v>
      </c>
      <c r="P81" t="s">
        <v>74</v>
      </c>
      <c r="Q81" t="s">
        <v>74</v>
      </c>
      <c r="R81" t="s">
        <v>74</v>
      </c>
      <c r="S81" t="s">
        <v>74</v>
      </c>
      <c r="T81" t="s">
        <v>1843</v>
      </c>
      <c r="U81" t="s">
        <v>1844</v>
      </c>
      <c r="V81" t="s">
        <v>1845</v>
      </c>
      <c r="W81" t="s">
        <v>1846</v>
      </c>
      <c r="X81" t="s">
        <v>1847</v>
      </c>
      <c r="Y81" t="s">
        <v>1848</v>
      </c>
      <c r="Z81" t="s">
        <v>1849</v>
      </c>
      <c r="AA81" t="s">
        <v>1850</v>
      </c>
      <c r="AB81" t="s">
        <v>1851</v>
      </c>
      <c r="AC81" t="s">
        <v>1852</v>
      </c>
      <c r="AD81" t="s">
        <v>1853</v>
      </c>
      <c r="AE81" t="s">
        <v>1854</v>
      </c>
      <c r="AF81" t="s">
        <v>74</v>
      </c>
      <c r="AG81">
        <v>139</v>
      </c>
      <c r="AH81">
        <v>0</v>
      </c>
      <c r="AI81">
        <v>0</v>
      </c>
      <c r="AJ81">
        <v>24</v>
      </c>
      <c r="AK81">
        <v>24</v>
      </c>
      <c r="AL81" t="s">
        <v>172</v>
      </c>
      <c r="AM81" t="s">
        <v>173</v>
      </c>
      <c r="AN81" t="s">
        <v>174</v>
      </c>
      <c r="AO81" t="s">
        <v>1855</v>
      </c>
      <c r="AP81" t="s">
        <v>1856</v>
      </c>
      <c r="AQ81" t="s">
        <v>74</v>
      </c>
      <c r="AR81" t="s">
        <v>1857</v>
      </c>
      <c r="AS81" t="s">
        <v>1858</v>
      </c>
      <c r="AT81" t="s">
        <v>1859</v>
      </c>
      <c r="AU81">
        <v>2024</v>
      </c>
      <c r="AV81">
        <v>193</v>
      </c>
      <c r="AW81" t="s">
        <v>74</v>
      </c>
      <c r="AX81" t="s">
        <v>74</v>
      </c>
      <c r="AY81" t="s">
        <v>74</v>
      </c>
      <c r="AZ81" t="s">
        <v>74</v>
      </c>
      <c r="BA81" t="s">
        <v>74</v>
      </c>
      <c r="BB81" t="s">
        <v>74</v>
      </c>
      <c r="BC81" t="s">
        <v>74</v>
      </c>
      <c r="BD81">
        <v>105110</v>
      </c>
      <c r="BE81" t="s">
        <v>1860</v>
      </c>
      <c r="BF81" t="str">
        <f>HYPERLINK("http://dx.doi.org/10.1016/j.apsoil.2023.105110","http://dx.doi.org/10.1016/j.apsoil.2023.105110")</f>
        <v>http://dx.doi.org/10.1016/j.apsoil.2023.105110</v>
      </c>
      <c r="BG81" t="s">
        <v>74</v>
      </c>
      <c r="BH81" t="s">
        <v>1812</v>
      </c>
      <c r="BI81">
        <v>10</v>
      </c>
      <c r="BJ81" t="s">
        <v>1861</v>
      </c>
      <c r="BK81" t="s">
        <v>104</v>
      </c>
      <c r="BL81" t="s">
        <v>1862</v>
      </c>
      <c r="BM81" t="s">
        <v>1863</v>
      </c>
      <c r="BN81" t="s">
        <v>74</v>
      </c>
      <c r="BO81" t="s">
        <v>133</v>
      </c>
      <c r="BP81" t="s">
        <v>74</v>
      </c>
      <c r="BQ81" t="s">
        <v>74</v>
      </c>
      <c r="BR81" t="s">
        <v>107</v>
      </c>
      <c r="BS81" t="s">
        <v>1864</v>
      </c>
      <c r="BT81" t="str">
        <f>HYPERLINK("https%3A%2F%2Fwww.webofscience.com%2Fwos%2Fwoscc%2Ffull-record%2FWOS:001080324400001","View Full Record in Web of Science")</f>
        <v>View Full Record in Web of Science</v>
      </c>
    </row>
    <row r="82" spans="1:72" x14ac:dyDescent="0.15">
      <c r="A82" t="s">
        <v>72</v>
      </c>
      <c r="B82" t="s">
        <v>1865</v>
      </c>
      <c r="C82" t="s">
        <v>74</v>
      </c>
      <c r="D82" t="s">
        <v>74</v>
      </c>
      <c r="E82" t="s">
        <v>74</v>
      </c>
      <c r="F82" t="s">
        <v>1866</v>
      </c>
      <c r="G82" t="s">
        <v>74</v>
      </c>
      <c r="H82" t="s">
        <v>74</v>
      </c>
      <c r="I82" t="s">
        <v>1867</v>
      </c>
      <c r="J82" t="s">
        <v>1868</v>
      </c>
      <c r="K82" t="s">
        <v>74</v>
      </c>
      <c r="L82" t="s">
        <v>74</v>
      </c>
      <c r="M82" t="s">
        <v>78</v>
      </c>
      <c r="N82" t="s">
        <v>869</v>
      </c>
      <c r="O82" t="s">
        <v>74</v>
      </c>
      <c r="P82" t="s">
        <v>74</v>
      </c>
      <c r="Q82" t="s">
        <v>74</v>
      </c>
      <c r="R82" t="s">
        <v>74</v>
      </c>
      <c r="S82" t="s">
        <v>74</v>
      </c>
      <c r="T82" t="s">
        <v>1869</v>
      </c>
      <c r="U82" t="s">
        <v>74</v>
      </c>
      <c r="V82" t="s">
        <v>1870</v>
      </c>
      <c r="W82" t="s">
        <v>1871</v>
      </c>
      <c r="X82" t="s">
        <v>1872</v>
      </c>
      <c r="Y82" t="s">
        <v>1873</v>
      </c>
      <c r="Z82" t="s">
        <v>1874</v>
      </c>
      <c r="AA82" t="s">
        <v>1875</v>
      </c>
      <c r="AB82" t="s">
        <v>1876</v>
      </c>
      <c r="AC82" t="s">
        <v>74</v>
      </c>
      <c r="AD82" t="s">
        <v>74</v>
      </c>
      <c r="AE82" t="s">
        <v>74</v>
      </c>
      <c r="AF82" t="s">
        <v>74</v>
      </c>
      <c r="AG82">
        <v>12</v>
      </c>
      <c r="AH82">
        <v>3</v>
      </c>
      <c r="AI82">
        <v>3</v>
      </c>
      <c r="AJ82">
        <v>6</v>
      </c>
      <c r="AK82">
        <v>6</v>
      </c>
      <c r="AL82" t="s">
        <v>146</v>
      </c>
      <c r="AM82" t="s">
        <v>147</v>
      </c>
      <c r="AN82" t="s">
        <v>148</v>
      </c>
      <c r="AO82" t="s">
        <v>1877</v>
      </c>
      <c r="AP82" t="s">
        <v>1878</v>
      </c>
      <c r="AQ82" t="s">
        <v>74</v>
      </c>
      <c r="AR82" t="s">
        <v>1868</v>
      </c>
      <c r="AS82" t="s">
        <v>1879</v>
      </c>
      <c r="AT82" t="s">
        <v>1781</v>
      </c>
      <c r="AU82">
        <v>2023</v>
      </c>
      <c r="AV82">
        <v>620</v>
      </c>
      <c r="AW82">
        <v>7976</v>
      </c>
      <c r="AX82" t="s">
        <v>74</v>
      </c>
      <c r="AY82" t="s">
        <v>74</v>
      </c>
      <c r="AZ82" t="s">
        <v>74</v>
      </c>
      <c r="BA82" t="s">
        <v>74</v>
      </c>
      <c r="BB82">
        <v>947</v>
      </c>
      <c r="BC82">
        <v>949</v>
      </c>
      <c r="BD82" t="s">
        <v>74</v>
      </c>
      <c r="BE82" t="s">
        <v>1880</v>
      </c>
      <c r="BF82" t="str">
        <f>HYPERLINK("http://dx.doi.org/10.1038/d41586-023-02649-8","http://dx.doi.org/10.1038/d41586-023-02649-8")</f>
        <v>http://dx.doi.org/10.1038/d41586-023-02649-8</v>
      </c>
      <c r="BG82" t="s">
        <v>74</v>
      </c>
      <c r="BH82" t="s">
        <v>74</v>
      </c>
      <c r="BI82">
        <v>3</v>
      </c>
      <c r="BJ82" t="s">
        <v>1881</v>
      </c>
      <c r="BK82" t="s">
        <v>104</v>
      </c>
      <c r="BL82" t="s">
        <v>1882</v>
      </c>
      <c r="BM82" t="s">
        <v>1883</v>
      </c>
      <c r="BN82">
        <v>37644203</v>
      </c>
      <c r="BO82" t="s">
        <v>74</v>
      </c>
      <c r="BP82" t="s">
        <v>74</v>
      </c>
      <c r="BQ82" t="s">
        <v>74</v>
      </c>
      <c r="BR82" t="s">
        <v>107</v>
      </c>
      <c r="BS82" t="s">
        <v>1884</v>
      </c>
      <c r="BT82" t="str">
        <f>HYPERLINK("https%3A%2F%2Fwww.webofscience.com%2Fwos%2Fwoscc%2Ffull-record%2FWOS:001074287700008","View Full Record in Web of Science")</f>
        <v>View Full Record in Web of Science</v>
      </c>
    </row>
    <row r="83" spans="1:72" x14ac:dyDescent="0.15">
      <c r="A83" t="s">
        <v>72</v>
      </c>
      <c r="B83" t="s">
        <v>1885</v>
      </c>
      <c r="C83" t="s">
        <v>74</v>
      </c>
      <c r="D83" t="s">
        <v>74</v>
      </c>
      <c r="E83" t="s">
        <v>74</v>
      </c>
      <c r="F83" t="s">
        <v>1886</v>
      </c>
      <c r="G83" t="s">
        <v>74</v>
      </c>
      <c r="H83" t="s">
        <v>74</v>
      </c>
      <c r="I83" t="s">
        <v>1887</v>
      </c>
      <c r="J83" t="s">
        <v>1888</v>
      </c>
      <c r="K83" t="s">
        <v>74</v>
      </c>
      <c r="L83" t="s">
        <v>74</v>
      </c>
      <c r="M83" t="s">
        <v>78</v>
      </c>
      <c r="N83" t="s">
        <v>79</v>
      </c>
      <c r="O83" t="s">
        <v>74</v>
      </c>
      <c r="P83" t="s">
        <v>74</v>
      </c>
      <c r="Q83" t="s">
        <v>74</v>
      </c>
      <c r="R83" t="s">
        <v>74</v>
      </c>
      <c r="S83" t="s">
        <v>74</v>
      </c>
      <c r="T83" t="s">
        <v>1889</v>
      </c>
      <c r="U83" t="s">
        <v>1890</v>
      </c>
      <c r="V83" t="s">
        <v>1891</v>
      </c>
      <c r="W83" t="s">
        <v>1892</v>
      </c>
      <c r="X83" t="s">
        <v>1893</v>
      </c>
      <c r="Y83" t="s">
        <v>1894</v>
      </c>
      <c r="Z83" t="s">
        <v>1895</v>
      </c>
      <c r="AA83" t="s">
        <v>74</v>
      </c>
      <c r="AB83" t="s">
        <v>74</v>
      </c>
      <c r="AC83" t="s">
        <v>1896</v>
      </c>
      <c r="AD83" t="s">
        <v>1897</v>
      </c>
      <c r="AE83" t="s">
        <v>1898</v>
      </c>
      <c r="AF83" t="s">
        <v>74</v>
      </c>
      <c r="AG83">
        <v>28</v>
      </c>
      <c r="AH83">
        <v>0</v>
      </c>
      <c r="AI83">
        <v>0</v>
      </c>
      <c r="AJ83">
        <v>5</v>
      </c>
      <c r="AK83">
        <v>8</v>
      </c>
      <c r="AL83" t="s">
        <v>172</v>
      </c>
      <c r="AM83" t="s">
        <v>173</v>
      </c>
      <c r="AN83" t="s">
        <v>174</v>
      </c>
      <c r="AO83" t="s">
        <v>1899</v>
      </c>
      <c r="AP83" t="s">
        <v>1900</v>
      </c>
      <c r="AQ83" t="s">
        <v>74</v>
      </c>
      <c r="AR83" t="s">
        <v>1901</v>
      </c>
      <c r="AS83" t="s">
        <v>1902</v>
      </c>
      <c r="AT83" t="s">
        <v>1810</v>
      </c>
      <c r="AU83">
        <v>2023</v>
      </c>
      <c r="AV83">
        <v>154</v>
      </c>
      <c r="AW83" t="s">
        <v>74</v>
      </c>
      <c r="AX83" t="s">
        <v>74</v>
      </c>
      <c r="AY83" t="s">
        <v>74</v>
      </c>
      <c r="AZ83" t="s">
        <v>74</v>
      </c>
      <c r="BA83" t="s">
        <v>74</v>
      </c>
      <c r="BB83" t="s">
        <v>74</v>
      </c>
      <c r="BC83" t="s">
        <v>74</v>
      </c>
      <c r="BD83">
        <v>110889</v>
      </c>
      <c r="BE83" t="s">
        <v>1903</v>
      </c>
      <c r="BF83" t="str">
        <f>HYPERLINK("http://dx.doi.org/10.1016/j.ecolind.2023.110889","http://dx.doi.org/10.1016/j.ecolind.2023.110889")</f>
        <v>http://dx.doi.org/10.1016/j.ecolind.2023.110889</v>
      </c>
      <c r="BG83" t="s">
        <v>74</v>
      </c>
      <c r="BH83" t="s">
        <v>1812</v>
      </c>
      <c r="BI83">
        <v>11</v>
      </c>
      <c r="BJ83" t="s">
        <v>1904</v>
      </c>
      <c r="BK83" t="s">
        <v>104</v>
      </c>
      <c r="BL83" t="s">
        <v>1905</v>
      </c>
      <c r="BM83" t="s">
        <v>1906</v>
      </c>
      <c r="BN83" t="s">
        <v>74</v>
      </c>
      <c r="BO83" t="s">
        <v>206</v>
      </c>
      <c r="BP83" t="s">
        <v>74</v>
      </c>
      <c r="BQ83" t="s">
        <v>74</v>
      </c>
      <c r="BR83" t="s">
        <v>107</v>
      </c>
      <c r="BS83" t="s">
        <v>1907</v>
      </c>
      <c r="BT83" t="str">
        <f>HYPERLINK("https%3A%2F%2Fwww.webofscience.com%2Fwos%2Fwoscc%2Ffull-record%2FWOS:001070633200001","View Full Record in Web of Science")</f>
        <v>View Full Record in Web of Science</v>
      </c>
    </row>
    <row r="84" spans="1:72" x14ac:dyDescent="0.15">
      <c r="A84" t="s">
        <v>72</v>
      </c>
      <c r="B84" t="s">
        <v>1908</v>
      </c>
      <c r="C84" t="s">
        <v>74</v>
      </c>
      <c r="D84" t="s">
        <v>74</v>
      </c>
      <c r="E84" t="s">
        <v>74</v>
      </c>
      <c r="F84" t="s">
        <v>1909</v>
      </c>
      <c r="G84" t="s">
        <v>74</v>
      </c>
      <c r="H84" t="s">
        <v>74</v>
      </c>
      <c r="I84" t="s">
        <v>1910</v>
      </c>
      <c r="J84" t="s">
        <v>1790</v>
      </c>
      <c r="K84" t="s">
        <v>74</v>
      </c>
      <c r="L84" t="s">
        <v>74</v>
      </c>
      <c r="M84" t="s">
        <v>78</v>
      </c>
      <c r="N84" t="s">
        <v>1911</v>
      </c>
      <c r="O84" t="s">
        <v>74</v>
      </c>
      <c r="P84" t="s">
        <v>74</v>
      </c>
      <c r="Q84" t="s">
        <v>74</v>
      </c>
      <c r="R84" t="s">
        <v>74</v>
      </c>
      <c r="S84" t="s">
        <v>74</v>
      </c>
      <c r="T84" t="s">
        <v>1912</v>
      </c>
      <c r="U84" t="s">
        <v>1913</v>
      </c>
      <c r="V84" t="s">
        <v>1914</v>
      </c>
      <c r="W84" t="s">
        <v>1915</v>
      </c>
      <c r="X84" t="s">
        <v>1916</v>
      </c>
      <c r="Y84" t="s">
        <v>1917</v>
      </c>
      <c r="Z84" t="s">
        <v>1918</v>
      </c>
      <c r="AA84" t="s">
        <v>1919</v>
      </c>
      <c r="AB84" t="s">
        <v>1920</v>
      </c>
      <c r="AC84" t="s">
        <v>1921</v>
      </c>
      <c r="AD84" t="s">
        <v>1922</v>
      </c>
      <c r="AE84" t="s">
        <v>1923</v>
      </c>
      <c r="AF84" t="s">
        <v>74</v>
      </c>
      <c r="AG84">
        <v>89</v>
      </c>
      <c r="AH84">
        <v>4</v>
      </c>
      <c r="AI84">
        <v>4</v>
      </c>
      <c r="AJ84">
        <v>3</v>
      </c>
      <c r="AK84">
        <v>3</v>
      </c>
      <c r="AL84" t="s">
        <v>1803</v>
      </c>
      <c r="AM84" t="s">
        <v>299</v>
      </c>
      <c r="AN84" t="s">
        <v>1924</v>
      </c>
      <c r="AO84" t="s">
        <v>1806</v>
      </c>
      <c r="AP84" t="s">
        <v>1807</v>
      </c>
      <c r="AQ84" t="s">
        <v>74</v>
      </c>
      <c r="AR84" t="s">
        <v>1808</v>
      </c>
      <c r="AS84" t="s">
        <v>1809</v>
      </c>
      <c r="AT84" t="s">
        <v>1925</v>
      </c>
      <c r="AU84">
        <v>2023</v>
      </c>
      <c r="AV84" t="s">
        <v>74</v>
      </c>
      <c r="AW84" t="s">
        <v>74</v>
      </c>
      <c r="AX84" t="s">
        <v>74</v>
      </c>
      <c r="AY84" t="s">
        <v>74</v>
      </c>
      <c r="AZ84" t="s">
        <v>74</v>
      </c>
      <c r="BA84" t="s">
        <v>74</v>
      </c>
      <c r="BB84" t="s">
        <v>74</v>
      </c>
      <c r="BC84" t="s">
        <v>74</v>
      </c>
      <c r="BD84" t="s">
        <v>74</v>
      </c>
      <c r="BE84" t="s">
        <v>1926</v>
      </c>
      <c r="BF84" t="str">
        <f>HYPERLINK("http://dx.doi.org/10.1017/S0954102023000147","http://dx.doi.org/10.1017/S0954102023000147")</f>
        <v>http://dx.doi.org/10.1017/S0954102023000147</v>
      </c>
      <c r="BG84" t="s">
        <v>74</v>
      </c>
      <c r="BH84" t="s">
        <v>1812</v>
      </c>
      <c r="BI84">
        <v>14</v>
      </c>
      <c r="BJ84" t="s">
        <v>1813</v>
      </c>
      <c r="BK84" t="s">
        <v>104</v>
      </c>
      <c r="BL84" t="s">
        <v>1814</v>
      </c>
      <c r="BM84" t="s">
        <v>1927</v>
      </c>
      <c r="BN84" t="s">
        <v>74</v>
      </c>
      <c r="BO84" t="s">
        <v>74</v>
      </c>
      <c r="BP84" t="s">
        <v>74</v>
      </c>
      <c r="BQ84" t="s">
        <v>74</v>
      </c>
      <c r="BR84" t="s">
        <v>107</v>
      </c>
      <c r="BS84" t="s">
        <v>1928</v>
      </c>
      <c r="BT84" t="str">
        <f>HYPERLINK("https%3A%2F%2Fwww.webofscience.com%2Fwos%2Fwoscc%2Ffull-record%2FWOS:001062419100001","View Full Record in Web of Science")</f>
        <v>View Full Record in Web of Science</v>
      </c>
    </row>
    <row r="85" spans="1:72" x14ac:dyDescent="0.15">
      <c r="A85" t="s">
        <v>72</v>
      </c>
      <c r="B85" t="s">
        <v>1929</v>
      </c>
      <c r="C85" t="s">
        <v>74</v>
      </c>
      <c r="D85" t="s">
        <v>74</v>
      </c>
      <c r="E85" t="s">
        <v>74</v>
      </c>
      <c r="F85" t="s">
        <v>1930</v>
      </c>
      <c r="G85" t="s">
        <v>74</v>
      </c>
      <c r="H85" t="s">
        <v>74</v>
      </c>
      <c r="I85" t="s">
        <v>1931</v>
      </c>
      <c r="J85" t="s">
        <v>1790</v>
      </c>
      <c r="K85" t="s">
        <v>74</v>
      </c>
      <c r="L85" t="s">
        <v>74</v>
      </c>
      <c r="M85" t="s">
        <v>78</v>
      </c>
      <c r="N85" t="s">
        <v>1911</v>
      </c>
      <c r="O85" t="s">
        <v>74</v>
      </c>
      <c r="P85" t="s">
        <v>74</v>
      </c>
      <c r="Q85" t="s">
        <v>74</v>
      </c>
      <c r="R85" t="s">
        <v>74</v>
      </c>
      <c r="S85" t="s">
        <v>74</v>
      </c>
      <c r="T85" t="s">
        <v>1932</v>
      </c>
      <c r="U85" t="s">
        <v>1933</v>
      </c>
      <c r="V85" t="s">
        <v>1934</v>
      </c>
      <c r="W85" t="s">
        <v>1935</v>
      </c>
      <c r="X85" t="s">
        <v>1936</v>
      </c>
      <c r="Y85" t="s">
        <v>1937</v>
      </c>
      <c r="Z85" t="s">
        <v>1938</v>
      </c>
      <c r="AA85" t="s">
        <v>1939</v>
      </c>
      <c r="AB85" t="s">
        <v>1940</v>
      </c>
      <c r="AC85" t="s">
        <v>1941</v>
      </c>
      <c r="AD85" t="s">
        <v>1941</v>
      </c>
      <c r="AE85" t="s">
        <v>1942</v>
      </c>
      <c r="AF85" t="s">
        <v>74</v>
      </c>
      <c r="AG85">
        <v>62</v>
      </c>
      <c r="AH85">
        <v>0</v>
      </c>
      <c r="AI85">
        <v>0</v>
      </c>
      <c r="AJ85">
        <v>1</v>
      </c>
      <c r="AK85">
        <v>1</v>
      </c>
      <c r="AL85" t="s">
        <v>1803</v>
      </c>
      <c r="AM85" t="s">
        <v>299</v>
      </c>
      <c r="AN85" t="s">
        <v>1924</v>
      </c>
      <c r="AO85" t="s">
        <v>1806</v>
      </c>
      <c r="AP85" t="s">
        <v>1807</v>
      </c>
      <c r="AQ85" t="s">
        <v>74</v>
      </c>
      <c r="AR85" t="s">
        <v>1808</v>
      </c>
      <c r="AS85" t="s">
        <v>1809</v>
      </c>
      <c r="AT85" t="s">
        <v>1925</v>
      </c>
      <c r="AU85">
        <v>2023</v>
      </c>
      <c r="AV85" t="s">
        <v>74</v>
      </c>
      <c r="AW85" t="s">
        <v>74</v>
      </c>
      <c r="AX85" t="s">
        <v>74</v>
      </c>
      <c r="AY85" t="s">
        <v>74</v>
      </c>
      <c r="AZ85" t="s">
        <v>74</v>
      </c>
      <c r="BA85" t="s">
        <v>74</v>
      </c>
      <c r="BB85" t="s">
        <v>74</v>
      </c>
      <c r="BC85" t="s">
        <v>74</v>
      </c>
      <c r="BD85" t="s">
        <v>74</v>
      </c>
      <c r="BE85" t="s">
        <v>1943</v>
      </c>
      <c r="BF85" t="str">
        <f>HYPERLINK("http://dx.doi.org/10.1017/S0954102023000159","http://dx.doi.org/10.1017/S0954102023000159")</f>
        <v>http://dx.doi.org/10.1017/S0954102023000159</v>
      </c>
      <c r="BG85" t="s">
        <v>74</v>
      </c>
      <c r="BH85" t="s">
        <v>1812</v>
      </c>
      <c r="BI85">
        <v>13</v>
      </c>
      <c r="BJ85" t="s">
        <v>1813</v>
      </c>
      <c r="BK85" t="s">
        <v>104</v>
      </c>
      <c r="BL85" t="s">
        <v>1814</v>
      </c>
      <c r="BM85" t="s">
        <v>1944</v>
      </c>
      <c r="BN85" t="s">
        <v>74</v>
      </c>
      <c r="BO85" t="s">
        <v>74</v>
      </c>
      <c r="BP85" t="s">
        <v>74</v>
      </c>
      <c r="BQ85" t="s">
        <v>74</v>
      </c>
      <c r="BR85" t="s">
        <v>107</v>
      </c>
      <c r="BS85" t="s">
        <v>1945</v>
      </c>
      <c r="BT85" t="str">
        <f>HYPERLINK("https%3A%2F%2Fwww.webofscience.com%2Fwos%2Fwoscc%2Ffull-record%2FWOS:001061823700001","View Full Record in Web of Science")</f>
        <v>View Full Record in Web of Science</v>
      </c>
    </row>
    <row r="86" spans="1:72" x14ac:dyDescent="0.15">
      <c r="A86" t="s">
        <v>72</v>
      </c>
      <c r="B86" t="s">
        <v>1946</v>
      </c>
      <c r="C86" t="s">
        <v>74</v>
      </c>
      <c r="D86" t="s">
        <v>74</v>
      </c>
      <c r="E86" t="s">
        <v>74</v>
      </c>
      <c r="F86" t="s">
        <v>1947</v>
      </c>
      <c r="G86" t="s">
        <v>74</v>
      </c>
      <c r="H86" t="s">
        <v>74</v>
      </c>
      <c r="I86" t="s">
        <v>1948</v>
      </c>
      <c r="J86" t="s">
        <v>1949</v>
      </c>
      <c r="K86" t="s">
        <v>74</v>
      </c>
      <c r="L86" t="s">
        <v>74</v>
      </c>
      <c r="M86" t="s">
        <v>78</v>
      </c>
      <c r="N86" t="s">
        <v>79</v>
      </c>
      <c r="O86" t="s">
        <v>74</v>
      </c>
      <c r="P86" t="s">
        <v>74</v>
      </c>
      <c r="Q86" t="s">
        <v>74</v>
      </c>
      <c r="R86" t="s">
        <v>74</v>
      </c>
      <c r="S86" t="s">
        <v>74</v>
      </c>
      <c r="T86" t="s">
        <v>1950</v>
      </c>
      <c r="U86" t="s">
        <v>1951</v>
      </c>
      <c r="V86" t="s">
        <v>1952</v>
      </c>
      <c r="W86" t="s">
        <v>1953</v>
      </c>
      <c r="X86" t="s">
        <v>1954</v>
      </c>
      <c r="Y86" t="s">
        <v>1955</v>
      </c>
      <c r="Z86" t="s">
        <v>1956</v>
      </c>
      <c r="AA86" t="s">
        <v>1957</v>
      </c>
      <c r="AB86" t="s">
        <v>1958</v>
      </c>
      <c r="AC86" t="s">
        <v>1959</v>
      </c>
      <c r="AD86" t="s">
        <v>1960</v>
      </c>
      <c r="AE86" t="s">
        <v>1961</v>
      </c>
      <c r="AF86" t="s">
        <v>74</v>
      </c>
      <c r="AG86">
        <v>73</v>
      </c>
      <c r="AH86">
        <v>1</v>
      </c>
      <c r="AI86">
        <v>1</v>
      </c>
      <c r="AJ86">
        <v>6</v>
      </c>
      <c r="AK86">
        <v>10</v>
      </c>
      <c r="AL86" t="s">
        <v>1527</v>
      </c>
      <c r="AM86" t="s">
        <v>1528</v>
      </c>
      <c r="AN86" t="s">
        <v>1529</v>
      </c>
      <c r="AO86" t="s">
        <v>1962</v>
      </c>
      <c r="AP86" t="s">
        <v>74</v>
      </c>
      <c r="AQ86" t="s">
        <v>74</v>
      </c>
      <c r="AR86" t="s">
        <v>1949</v>
      </c>
      <c r="AS86" t="s">
        <v>1963</v>
      </c>
      <c r="AT86" t="s">
        <v>1781</v>
      </c>
      <c r="AU86">
        <v>2023</v>
      </c>
      <c r="AV86">
        <v>24</v>
      </c>
      <c r="AW86">
        <v>1</v>
      </c>
      <c r="AX86" t="s">
        <v>74</v>
      </c>
      <c r="AY86" t="s">
        <v>74</v>
      </c>
      <c r="AZ86" t="s">
        <v>74</v>
      </c>
      <c r="BA86" t="s">
        <v>74</v>
      </c>
      <c r="BB86" t="s">
        <v>74</v>
      </c>
      <c r="BC86" t="s">
        <v>74</v>
      </c>
      <c r="BD86">
        <v>508</v>
      </c>
      <c r="BE86" t="s">
        <v>1964</v>
      </c>
      <c r="BF86" t="str">
        <f>HYPERLINK("http://dx.doi.org/10.1186/s12864-023-09597-7","http://dx.doi.org/10.1186/s12864-023-09597-7")</f>
        <v>http://dx.doi.org/10.1186/s12864-023-09597-7</v>
      </c>
      <c r="BG86" t="s">
        <v>74</v>
      </c>
      <c r="BH86" t="s">
        <v>74</v>
      </c>
      <c r="BI86">
        <v>13</v>
      </c>
      <c r="BJ86" t="s">
        <v>1965</v>
      </c>
      <c r="BK86" t="s">
        <v>104</v>
      </c>
      <c r="BL86" t="s">
        <v>1965</v>
      </c>
      <c r="BM86" t="s">
        <v>1966</v>
      </c>
      <c r="BN86">
        <v>37653415</v>
      </c>
      <c r="BO86" t="s">
        <v>821</v>
      </c>
      <c r="BP86" t="s">
        <v>74</v>
      </c>
      <c r="BQ86" t="s">
        <v>74</v>
      </c>
      <c r="BR86" t="s">
        <v>107</v>
      </c>
      <c r="BS86" t="s">
        <v>1967</v>
      </c>
      <c r="BT86" t="str">
        <f>HYPERLINK("https%3A%2F%2Fwww.webofscience.com%2Fwos%2Fwoscc%2Ffull-record%2FWOS:001062125400003","View Full Record in Web of Science")</f>
        <v>View Full Record in Web of Science</v>
      </c>
    </row>
    <row r="87" spans="1:72" x14ac:dyDescent="0.15">
      <c r="A87" t="s">
        <v>72</v>
      </c>
      <c r="B87" t="s">
        <v>1968</v>
      </c>
      <c r="C87" t="s">
        <v>74</v>
      </c>
      <c r="D87" t="s">
        <v>74</v>
      </c>
      <c r="E87" t="s">
        <v>74</v>
      </c>
      <c r="F87" t="s">
        <v>1969</v>
      </c>
      <c r="G87" t="s">
        <v>74</v>
      </c>
      <c r="H87" t="s">
        <v>74</v>
      </c>
      <c r="I87" t="s">
        <v>1970</v>
      </c>
      <c r="J87" t="s">
        <v>1971</v>
      </c>
      <c r="K87" t="s">
        <v>74</v>
      </c>
      <c r="L87" t="s">
        <v>74</v>
      </c>
      <c r="M87" t="s">
        <v>78</v>
      </c>
      <c r="N87" t="s">
        <v>1911</v>
      </c>
      <c r="O87" t="s">
        <v>74</v>
      </c>
      <c r="P87" t="s">
        <v>74</v>
      </c>
      <c r="Q87" t="s">
        <v>74</v>
      </c>
      <c r="R87" t="s">
        <v>74</v>
      </c>
      <c r="S87" t="s">
        <v>74</v>
      </c>
      <c r="T87" t="s">
        <v>1972</v>
      </c>
      <c r="U87" t="s">
        <v>1973</v>
      </c>
      <c r="V87" t="s">
        <v>1974</v>
      </c>
      <c r="W87" t="s">
        <v>1975</v>
      </c>
      <c r="X87" t="s">
        <v>1976</v>
      </c>
      <c r="Y87" t="s">
        <v>1977</v>
      </c>
      <c r="Z87" t="s">
        <v>1978</v>
      </c>
      <c r="AA87" t="s">
        <v>1979</v>
      </c>
      <c r="AB87" t="s">
        <v>1980</v>
      </c>
      <c r="AC87" t="s">
        <v>1981</v>
      </c>
      <c r="AD87" t="s">
        <v>1982</v>
      </c>
      <c r="AE87" t="s">
        <v>1983</v>
      </c>
      <c r="AF87" t="s">
        <v>74</v>
      </c>
      <c r="AG87">
        <v>69</v>
      </c>
      <c r="AH87">
        <v>0</v>
      </c>
      <c r="AI87">
        <v>0</v>
      </c>
      <c r="AJ87">
        <v>6</v>
      </c>
      <c r="AK87">
        <v>7</v>
      </c>
      <c r="AL87" t="s">
        <v>298</v>
      </c>
      <c r="AM87" t="s">
        <v>299</v>
      </c>
      <c r="AN87" t="s">
        <v>300</v>
      </c>
      <c r="AO87" t="s">
        <v>1984</v>
      </c>
      <c r="AP87" t="s">
        <v>1985</v>
      </c>
      <c r="AQ87" t="s">
        <v>74</v>
      </c>
      <c r="AR87" t="s">
        <v>1986</v>
      </c>
      <c r="AS87" t="s">
        <v>1987</v>
      </c>
      <c r="AT87" t="s">
        <v>1925</v>
      </c>
      <c r="AU87">
        <v>2023</v>
      </c>
      <c r="AV87" t="s">
        <v>74</v>
      </c>
      <c r="AW87" t="s">
        <v>74</v>
      </c>
      <c r="AX87" t="s">
        <v>74</v>
      </c>
      <c r="AY87" t="s">
        <v>74</v>
      </c>
      <c r="AZ87" t="s">
        <v>74</v>
      </c>
      <c r="BA87" t="s">
        <v>74</v>
      </c>
      <c r="BB87" t="s">
        <v>74</v>
      </c>
      <c r="BC87" t="s">
        <v>74</v>
      </c>
      <c r="BD87" t="s">
        <v>74</v>
      </c>
      <c r="BE87" t="s">
        <v>1988</v>
      </c>
      <c r="BF87" t="str">
        <f>HYPERLINK("http://dx.doi.org/10.1007/s00382-023-06910-8","http://dx.doi.org/10.1007/s00382-023-06910-8")</f>
        <v>http://dx.doi.org/10.1007/s00382-023-06910-8</v>
      </c>
      <c r="BG87" t="s">
        <v>74</v>
      </c>
      <c r="BH87" t="s">
        <v>1812</v>
      </c>
      <c r="BI87">
        <v>16</v>
      </c>
      <c r="BJ87" t="s">
        <v>103</v>
      </c>
      <c r="BK87" t="s">
        <v>104</v>
      </c>
      <c r="BL87" t="s">
        <v>103</v>
      </c>
      <c r="BM87" t="s">
        <v>1989</v>
      </c>
      <c r="BN87" t="s">
        <v>74</v>
      </c>
      <c r="BO87" t="s">
        <v>1217</v>
      </c>
      <c r="BP87" t="s">
        <v>74</v>
      </c>
      <c r="BQ87" t="s">
        <v>74</v>
      </c>
      <c r="BR87" t="s">
        <v>107</v>
      </c>
      <c r="BS87" t="s">
        <v>1990</v>
      </c>
      <c r="BT87" t="str">
        <f>HYPERLINK("https%3A%2F%2Fwww.webofscience.com%2Fwos%2Fwoscc%2Ffull-record%2FWOS:001062569100001","View Full Record in Web of Science")</f>
        <v>View Full Record in Web of Science</v>
      </c>
    </row>
    <row r="88" spans="1:72" x14ac:dyDescent="0.15">
      <c r="A88" t="s">
        <v>72</v>
      </c>
      <c r="B88" t="s">
        <v>1991</v>
      </c>
      <c r="C88" t="s">
        <v>74</v>
      </c>
      <c r="D88" t="s">
        <v>74</v>
      </c>
      <c r="E88" t="s">
        <v>74</v>
      </c>
      <c r="F88" t="s">
        <v>1992</v>
      </c>
      <c r="G88" t="s">
        <v>74</v>
      </c>
      <c r="H88" t="s">
        <v>74</v>
      </c>
      <c r="I88" t="s">
        <v>1993</v>
      </c>
      <c r="J88" t="s">
        <v>1330</v>
      </c>
      <c r="K88" t="s">
        <v>74</v>
      </c>
      <c r="L88" t="s">
        <v>74</v>
      </c>
      <c r="M88" t="s">
        <v>78</v>
      </c>
      <c r="N88" t="s">
        <v>1911</v>
      </c>
      <c r="O88" t="s">
        <v>74</v>
      </c>
      <c r="P88" t="s">
        <v>74</v>
      </c>
      <c r="Q88" t="s">
        <v>74</v>
      </c>
      <c r="R88" t="s">
        <v>74</v>
      </c>
      <c r="S88" t="s">
        <v>74</v>
      </c>
      <c r="T88" t="s">
        <v>1994</v>
      </c>
      <c r="U88" t="s">
        <v>1995</v>
      </c>
      <c r="V88" t="s">
        <v>1996</v>
      </c>
      <c r="W88" t="s">
        <v>1997</v>
      </c>
      <c r="X88" t="s">
        <v>1998</v>
      </c>
      <c r="Y88" t="s">
        <v>1999</v>
      </c>
      <c r="Z88" t="s">
        <v>2000</v>
      </c>
      <c r="AA88" t="s">
        <v>2001</v>
      </c>
      <c r="AB88" t="s">
        <v>2002</v>
      </c>
      <c r="AC88" t="s">
        <v>2003</v>
      </c>
      <c r="AD88" t="s">
        <v>2003</v>
      </c>
      <c r="AE88" t="s">
        <v>2004</v>
      </c>
      <c r="AF88" t="s">
        <v>74</v>
      </c>
      <c r="AG88">
        <v>85</v>
      </c>
      <c r="AH88">
        <v>0</v>
      </c>
      <c r="AI88">
        <v>0</v>
      </c>
      <c r="AJ88">
        <v>37</v>
      </c>
      <c r="AK88">
        <v>48</v>
      </c>
      <c r="AL88" t="s">
        <v>1343</v>
      </c>
      <c r="AM88" t="s">
        <v>589</v>
      </c>
      <c r="AN88" t="s">
        <v>1344</v>
      </c>
      <c r="AO88" t="s">
        <v>1345</v>
      </c>
      <c r="AP88" t="s">
        <v>1346</v>
      </c>
      <c r="AQ88" t="s">
        <v>74</v>
      </c>
      <c r="AR88" t="s">
        <v>1347</v>
      </c>
      <c r="AS88" t="s">
        <v>1348</v>
      </c>
      <c r="AT88" t="s">
        <v>1925</v>
      </c>
      <c r="AU88">
        <v>2023</v>
      </c>
      <c r="AV88" t="s">
        <v>74</v>
      </c>
      <c r="AW88" t="s">
        <v>74</v>
      </c>
      <c r="AX88" t="s">
        <v>74</v>
      </c>
      <c r="AY88" t="s">
        <v>74</v>
      </c>
      <c r="AZ88" t="s">
        <v>74</v>
      </c>
      <c r="BA88" t="s">
        <v>74</v>
      </c>
      <c r="BB88" t="s">
        <v>74</v>
      </c>
      <c r="BC88" t="s">
        <v>74</v>
      </c>
      <c r="BD88" t="s">
        <v>74</v>
      </c>
      <c r="BE88" t="s">
        <v>2005</v>
      </c>
      <c r="BF88" t="str">
        <f>HYPERLINK("http://dx.doi.org/10.1021/acs.est.3c03237","http://dx.doi.org/10.1021/acs.est.3c03237")</f>
        <v>http://dx.doi.org/10.1021/acs.est.3c03237</v>
      </c>
      <c r="BG88" t="s">
        <v>74</v>
      </c>
      <c r="BH88" t="s">
        <v>1812</v>
      </c>
      <c r="BI88">
        <v>11</v>
      </c>
      <c r="BJ88" t="s">
        <v>1350</v>
      </c>
      <c r="BK88" t="s">
        <v>104</v>
      </c>
      <c r="BL88" t="s">
        <v>1351</v>
      </c>
      <c r="BM88" t="s">
        <v>2006</v>
      </c>
      <c r="BN88">
        <v>37651694</v>
      </c>
      <c r="BO88" t="s">
        <v>74</v>
      </c>
      <c r="BP88" t="s">
        <v>74</v>
      </c>
      <c r="BQ88" t="s">
        <v>74</v>
      </c>
      <c r="BR88" t="s">
        <v>107</v>
      </c>
      <c r="BS88" t="s">
        <v>2007</v>
      </c>
      <c r="BT88" t="str">
        <f>HYPERLINK("https%3A%2F%2Fwww.webofscience.com%2Fwos%2Fwoscc%2Ffull-record%2FWOS:001060989300001","View Full Record in Web of Science")</f>
        <v>View Full Record in Web of Science</v>
      </c>
    </row>
    <row r="89" spans="1:72" x14ac:dyDescent="0.15">
      <c r="A89" t="s">
        <v>72</v>
      </c>
      <c r="B89" t="s">
        <v>2008</v>
      </c>
      <c r="C89" t="s">
        <v>74</v>
      </c>
      <c r="D89" t="s">
        <v>74</v>
      </c>
      <c r="E89" t="s">
        <v>74</v>
      </c>
      <c r="F89" t="s">
        <v>2009</v>
      </c>
      <c r="G89" t="s">
        <v>74</v>
      </c>
      <c r="H89" t="s">
        <v>74</v>
      </c>
      <c r="I89" t="s">
        <v>2010</v>
      </c>
      <c r="J89" t="s">
        <v>2011</v>
      </c>
      <c r="K89" t="s">
        <v>74</v>
      </c>
      <c r="L89" t="s">
        <v>74</v>
      </c>
      <c r="M89" t="s">
        <v>78</v>
      </c>
      <c r="N89" t="s">
        <v>79</v>
      </c>
      <c r="O89" t="s">
        <v>74</v>
      </c>
      <c r="P89" t="s">
        <v>74</v>
      </c>
      <c r="Q89" t="s">
        <v>74</v>
      </c>
      <c r="R89" t="s">
        <v>74</v>
      </c>
      <c r="S89" t="s">
        <v>74</v>
      </c>
      <c r="T89" t="s">
        <v>2012</v>
      </c>
      <c r="U89" t="s">
        <v>2013</v>
      </c>
      <c r="V89" t="s">
        <v>2014</v>
      </c>
      <c r="W89" t="s">
        <v>2015</v>
      </c>
      <c r="X89" t="s">
        <v>2016</v>
      </c>
      <c r="Y89" t="s">
        <v>2017</v>
      </c>
      <c r="Z89" t="s">
        <v>2018</v>
      </c>
      <c r="AA89" t="s">
        <v>2019</v>
      </c>
      <c r="AB89" t="s">
        <v>2020</v>
      </c>
      <c r="AC89" t="s">
        <v>74</v>
      </c>
      <c r="AD89" t="s">
        <v>74</v>
      </c>
      <c r="AE89" t="s">
        <v>74</v>
      </c>
      <c r="AF89" t="s">
        <v>74</v>
      </c>
      <c r="AG89">
        <v>43</v>
      </c>
      <c r="AH89">
        <v>1</v>
      </c>
      <c r="AI89">
        <v>1</v>
      </c>
      <c r="AJ89">
        <v>0</v>
      </c>
      <c r="AK89">
        <v>0</v>
      </c>
      <c r="AL89" t="s">
        <v>1527</v>
      </c>
      <c r="AM89" t="s">
        <v>1528</v>
      </c>
      <c r="AN89" t="s">
        <v>1529</v>
      </c>
      <c r="AO89" t="s">
        <v>2021</v>
      </c>
      <c r="AP89" t="s">
        <v>74</v>
      </c>
      <c r="AQ89" t="s">
        <v>74</v>
      </c>
      <c r="AR89" t="s">
        <v>2022</v>
      </c>
      <c r="AS89" t="s">
        <v>2023</v>
      </c>
      <c r="AT89" t="s">
        <v>1781</v>
      </c>
      <c r="AU89">
        <v>2023</v>
      </c>
      <c r="AV89">
        <v>23</v>
      </c>
      <c r="AW89">
        <v>1</v>
      </c>
      <c r="AX89" t="s">
        <v>74</v>
      </c>
      <c r="AY89" t="s">
        <v>74</v>
      </c>
      <c r="AZ89" t="s">
        <v>74</v>
      </c>
      <c r="BA89" t="s">
        <v>74</v>
      </c>
      <c r="BB89" t="s">
        <v>74</v>
      </c>
      <c r="BC89" t="s">
        <v>74</v>
      </c>
      <c r="BD89">
        <v>101</v>
      </c>
      <c r="BE89" t="s">
        <v>2024</v>
      </c>
      <c r="BF89" t="str">
        <f>HYPERLINK("http://dx.doi.org/10.1186/s12873-023-00871-1","http://dx.doi.org/10.1186/s12873-023-00871-1")</f>
        <v>http://dx.doi.org/10.1186/s12873-023-00871-1</v>
      </c>
      <c r="BG89" t="s">
        <v>74</v>
      </c>
      <c r="BH89" t="s">
        <v>74</v>
      </c>
      <c r="BI89">
        <v>8</v>
      </c>
      <c r="BJ89" t="s">
        <v>2025</v>
      </c>
      <c r="BK89" t="s">
        <v>104</v>
      </c>
      <c r="BL89" t="s">
        <v>2025</v>
      </c>
      <c r="BM89" t="s">
        <v>2026</v>
      </c>
      <c r="BN89">
        <v>37653492</v>
      </c>
      <c r="BO89" t="s">
        <v>821</v>
      </c>
      <c r="BP89" t="s">
        <v>74</v>
      </c>
      <c r="BQ89" t="s">
        <v>74</v>
      </c>
      <c r="BR89" t="s">
        <v>107</v>
      </c>
      <c r="BS89" t="s">
        <v>2027</v>
      </c>
      <c r="BT89" t="str">
        <f>HYPERLINK("https%3A%2F%2Fwww.webofscience.com%2Fwos%2Fwoscc%2Ffull-record%2FWOS:001057854700001","View Full Record in Web of Science")</f>
        <v>View Full Record in Web of Science</v>
      </c>
    </row>
    <row r="90" spans="1:72" x14ac:dyDescent="0.15">
      <c r="A90" t="s">
        <v>72</v>
      </c>
      <c r="B90" t="s">
        <v>2028</v>
      </c>
      <c r="C90" t="s">
        <v>74</v>
      </c>
      <c r="D90" t="s">
        <v>74</v>
      </c>
      <c r="E90" t="s">
        <v>74</v>
      </c>
      <c r="F90" t="s">
        <v>2029</v>
      </c>
      <c r="G90" t="s">
        <v>74</v>
      </c>
      <c r="H90" t="s">
        <v>74</v>
      </c>
      <c r="I90" t="s">
        <v>2030</v>
      </c>
      <c r="J90" t="s">
        <v>2031</v>
      </c>
      <c r="K90" t="s">
        <v>74</v>
      </c>
      <c r="L90" t="s">
        <v>74</v>
      </c>
      <c r="M90" t="s">
        <v>78</v>
      </c>
      <c r="N90" t="s">
        <v>79</v>
      </c>
      <c r="O90" t="s">
        <v>74</v>
      </c>
      <c r="P90" t="s">
        <v>74</v>
      </c>
      <c r="Q90" t="s">
        <v>74</v>
      </c>
      <c r="R90" t="s">
        <v>74</v>
      </c>
      <c r="S90" t="s">
        <v>74</v>
      </c>
      <c r="T90" t="s">
        <v>2032</v>
      </c>
      <c r="U90" t="s">
        <v>2033</v>
      </c>
      <c r="V90" t="s">
        <v>2034</v>
      </c>
      <c r="W90" t="s">
        <v>2035</v>
      </c>
      <c r="X90" t="s">
        <v>2036</v>
      </c>
      <c r="Y90" t="s">
        <v>2037</v>
      </c>
      <c r="Z90" t="s">
        <v>2038</v>
      </c>
      <c r="AA90" t="s">
        <v>2039</v>
      </c>
      <c r="AB90" t="s">
        <v>2040</v>
      </c>
      <c r="AC90" t="s">
        <v>2041</v>
      </c>
      <c r="AD90" t="s">
        <v>2042</v>
      </c>
      <c r="AE90" t="s">
        <v>2043</v>
      </c>
      <c r="AF90" t="s">
        <v>74</v>
      </c>
      <c r="AG90">
        <v>70</v>
      </c>
      <c r="AH90">
        <v>0</v>
      </c>
      <c r="AI90">
        <v>0</v>
      </c>
      <c r="AJ90">
        <v>9</v>
      </c>
      <c r="AK90">
        <v>10</v>
      </c>
      <c r="AL90" t="s">
        <v>172</v>
      </c>
      <c r="AM90" t="s">
        <v>173</v>
      </c>
      <c r="AN90" t="s">
        <v>174</v>
      </c>
      <c r="AO90" t="s">
        <v>2044</v>
      </c>
      <c r="AP90" t="s">
        <v>2045</v>
      </c>
      <c r="AQ90" t="s">
        <v>74</v>
      </c>
      <c r="AR90" t="s">
        <v>2046</v>
      </c>
      <c r="AS90" t="s">
        <v>2047</v>
      </c>
      <c r="AT90" t="s">
        <v>2048</v>
      </c>
      <c r="AU90">
        <v>2023</v>
      </c>
      <c r="AV90">
        <v>902</v>
      </c>
      <c r="AW90" t="s">
        <v>74</v>
      </c>
      <c r="AX90" t="s">
        <v>74</v>
      </c>
      <c r="AY90" t="s">
        <v>74</v>
      </c>
      <c r="AZ90" t="s">
        <v>74</v>
      </c>
      <c r="BA90" t="s">
        <v>74</v>
      </c>
      <c r="BB90" t="s">
        <v>74</v>
      </c>
      <c r="BC90" t="s">
        <v>74</v>
      </c>
      <c r="BD90">
        <v>166448</v>
      </c>
      <c r="BE90" t="s">
        <v>2049</v>
      </c>
      <c r="BF90" t="str">
        <f>HYPERLINK("http://dx.doi.org/10.1016/j.scitotenv.2023.166448","http://dx.doi.org/10.1016/j.scitotenv.2023.166448")</f>
        <v>http://dx.doi.org/10.1016/j.scitotenv.2023.166448</v>
      </c>
      <c r="BG90" t="s">
        <v>74</v>
      </c>
      <c r="BH90" t="s">
        <v>1812</v>
      </c>
      <c r="BI90">
        <v>11</v>
      </c>
      <c r="BJ90" t="s">
        <v>2050</v>
      </c>
      <c r="BK90" t="s">
        <v>104</v>
      </c>
      <c r="BL90" t="s">
        <v>1535</v>
      </c>
      <c r="BM90" t="s">
        <v>2051</v>
      </c>
      <c r="BN90">
        <v>37607628</v>
      </c>
      <c r="BO90" t="s">
        <v>1217</v>
      </c>
      <c r="BP90" t="s">
        <v>74</v>
      </c>
      <c r="BQ90" t="s">
        <v>74</v>
      </c>
      <c r="BR90" t="s">
        <v>107</v>
      </c>
      <c r="BS90" t="s">
        <v>2052</v>
      </c>
      <c r="BT90" t="str">
        <f>HYPERLINK("https%3A%2F%2Fwww.webofscience.com%2Fwos%2Fwoscc%2Ffull-record%2FWOS:001072367700001","View Full Record in Web of Science")</f>
        <v>View Full Record in Web of Science</v>
      </c>
    </row>
    <row r="91" spans="1:72" x14ac:dyDescent="0.15">
      <c r="A91" t="s">
        <v>72</v>
      </c>
      <c r="B91" t="s">
        <v>2053</v>
      </c>
      <c r="C91" t="s">
        <v>74</v>
      </c>
      <c r="D91" t="s">
        <v>74</v>
      </c>
      <c r="E91" t="s">
        <v>74</v>
      </c>
      <c r="F91" t="s">
        <v>2054</v>
      </c>
      <c r="G91" t="s">
        <v>74</v>
      </c>
      <c r="H91" t="s">
        <v>74</v>
      </c>
      <c r="I91" t="s">
        <v>2055</v>
      </c>
      <c r="J91" t="s">
        <v>2056</v>
      </c>
      <c r="K91" t="s">
        <v>74</v>
      </c>
      <c r="L91" t="s">
        <v>74</v>
      </c>
      <c r="M91" t="s">
        <v>78</v>
      </c>
      <c r="N91" t="s">
        <v>79</v>
      </c>
      <c r="O91" t="s">
        <v>74</v>
      </c>
      <c r="P91" t="s">
        <v>74</v>
      </c>
      <c r="Q91" t="s">
        <v>74</v>
      </c>
      <c r="R91" t="s">
        <v>74</v>
      </c>
      <c r="S91" t="s">
        <v>74</v>
      </c>
      <c r="T91" t="s">
        <v>74</v>
      </c>
      <c r="U91" t="s">
        <v>2057</v>
      </c>
      <c r="V91" t="s">
        <v>2058</v>
      </c>
      <c r="W91" t="s">
        <v>2059</v>
      </c>
      <c r="X91" t="s">
        <v>2060</v>
      </c>
      <c r="Y91" t="s">
        <v>2061</v>
      </c>
      <c r="Z91" t="s">
        <v>2062</v>
      </c>
      <c r="AA91" t="s">
        <v>2063</v>
      </c>
      <c r="AB91" t="s">
        <v>2064</v>
      </c>
      <c r="AC91" t="s">
        <v>2065</v>
      </c>
      <c r="AD91" t="s">
        <v>2066</v>
      </c>
      <c r="AE91" t="s">
        <v>2067</v>
      </c>
      <c r="AF91" t="s">
        <v>74</v>
      </c>
      <c r="AG91">
        <v>104</v>
      </c>
      <c r="AH91">
        <v>1</v>
      </c>
      <c r="AI91">
        <v>1</v>
      </c>
      <c r="AJ91">
        <v>7</v>
      </c>
      <c r="AK91">
        <v>7</v>
      </c>
      <c r="AL91" t="s">
        <v>2068</v>
      </c>
      <c r="AM91" t="s">
        <v>2069</v>
      </c>
      <c r="AN91" t="s">
        <v>2070</v>
      </c>
      <c r="AO91" t="s">
        <v>2071</v>
      </c>
      <c r="AP91" t="s">
        <v>74</v>
      </c>
      <c r="AQ91" t="s">
        <v>74</v>
      </c>
      <c r="AR91" t="s">
        <v>2056</v>
      </c>
      <c r="AS91" t="s">
        <v>2072</v>
      </c>
      <c r="AT91" t="s">
        <v>2073</v>
      </c>
      <c r="AU91">
        <v>2023</v>
      </c>
      <c r="AV91">
        <v>18</v>
      </c>
      <c r="AW91">
        <v>8</v>
      </c>
      <c r="AX91" t="s">
        <v>74</v>
      </c>
      <c r="AY91" t="s">
        <v>74</v>
      </c>
      <c r="AZ91" t="s">
        <v>74</v>
      </c>
      <c r="BA91" t="s">
        <v>74</v>
      </c>
      <c r="BB91" t="s">
        <v>74</v>
      </c>
      <c r="BC91" t="s">
        <v>74</v>
      </c>
      <c r="BD91" t="s">
        <v>2074</v>
      </c>
      <c r="BE91" t="s">
        <v>2075</v>
      </c>
      <c r="BF91" t="str">
        <f>HYPERLINK("http://dx.doi.org/10.1371/journal.pone.0290437","http://dx.doi.org/10.1371/journal.pone.0290437")</f>
        <v>http://dx.doi.org/10.1371/journal.pone.0290437</v>
      </c>
      <c r="BG91" t="s">
        <v>74</v>
      </c>
      <c r="BH91" t="s">
        <v>74</v>
      </c>
      <c r="BI91">
        <v>20</v>
      </c>
      <c r="BJ91" t="s">
        <v>1881</v>
      </c>
      <c r="BK91" t="s">
        <v>104</v>
      </c>
      <c r="BL91" t="s">
        <v>1882</v>
      </c>
      <c r="BM91" t="s">
        <v>2076</v>
      </c>
      <c r="BN91">
        <v>37647314</v>
      </c>
      <c r="BO91" t="s">
        <v>181</v>
      </c>
      <c r="BP91" t="s">
        <v>74</v>
      </c>
      <c r="BQ91" t="s">
        <v>74</v>
      </c>
      <c r="BR91" t="s">
        <v>107</v>
      </c>
      <c r="BS91" t="s">
        <v>2077</v>
      </c>
      <c r="BT91" t="str">
        <f>HYPERLINK("https%3A%2F%2Fwww.webofscience.com%2Fwos%2Fwoscc%2Ffull-record%2FWOS:001058799800029","View Full Record in Web of Science")</f>
        <v>View Full Record in Web of Science</v>
      </c>
    </row>
    <row r="92" spans="1:72" x14ac:dyDescent="0.15">
      <c r="A92" t="s">
        <v>72</v>
      </c>
      <c r="B92" t="s">
        <v>2078</v>
      </c>
      <c r="C92" t="s">
        <v>74</v>
      </c>
      <c r="D92" t="s">
        <v>74</v>
      </c>
      <c r="E92" t="s">
        <v>74</v>
      </c>
      <c r="F92" t="s">
        <v>2079</v>
      </c>
      <c r="G92" t="s">
        <v>74</v>
      </c>
      <c r="H92" t="s">
        <v>74</v>
      </c>
      <c r="I92" t="s">
        <v>2080</v>
      </c>
      <c r="J92" t="s">
        <v>2081</v>
      </c>
      <c r="K92" t="s">
        <v>74</v>
      </c>
      <c r="L92" t="s">
        <v>74</v>
      </c>
      <c r="M92" t="s">
        <v>78</v>
      </c>
      <c r="N92" t="s">
        <v>79</v>
      </c>
      <c r="O92" t="s">
        <v>74</v>
      </c>
      <c r="P92" t="s">
        <v>74</v>
      </c>
      <c r="Q92" t="s">
        <v>74</v>
      </c>
      <c r="R92" t="s">
        <v>74</v>
      </c>
      <c r="S92" t="s">
        <v>74</v>
      </c>
      <c r="T92" t="s">
        <v>2082</v>
      </c>
      <c r="U92" t="s">
        <v>2083</v>
      </c>
      <c r="V92" t="s">
        <v>2084</v>
      </c>
      <c r="W92" t="s">
        <v>2085</v>
      </c>
      <c r="X92" t="s">
        <v>2086</v>
      </c>
      <c r="Y92" t="s">
        <v>2087</v>
      </c>
      <c r="Z92" t="s">
        <v>2088</v>
      </c>
      <c r="AA92" t="s">
        <v>2089</v>
      </c>
      <c r="AB92" t="s">
        <v>2090</v>
      </c>
      <c r="AC92" t="s">
        <v>2091</v>
      </c>
      <c r="AD92" t="s">
        <v>2092</v>
      </c>
      <c r="AE92" t="s">
        <v>2093</v>
      </c>
      <c r="AF92" t="s">
        <v>74</v>
      </c>
      <c r="AG92">
        <v>55</v>
      </c>
      <c r="AH92">
        <v>0</v>
      </c>
      <c r="AI92">
        <v>0</v>
      </c>
      <c r="AJ92">
        <v>8</v>
      </c>
      <c r="AK92">
        <v>8</v>
      </c>
      <c r="AL92" t="s">
        <v>460</v>
      </c>
      <c r="AM92" t="s">
        <v>461</v>
      </c>
      <c r="AN92" t="s">
        <v>462</v>
      </c>
      <c r="AO92" t="s">
        <v>2094</v>
      </c>
      <c r="AP92" t="s">
        <v>2095</v>
      </c>
      <c r="AQ92" t="s">
        <v>74</v>
      </c>
      <c r="AR92" t="s">
        <v>2096</v>
      </c>
      <c r="AS92" t="s">
        <v>2097</v>
      </c>
      <c r="AT92" t="s">
        <v>2098</v>
      </c>
      <c r="AU92">
        <v>2023</v>
      </c>
      <c r="AV92">
        <v>43</v>
      </c>
      <c r="AW92">
        <v>14</v>
      </c>
      <c r="AX92" t="s">
        <v>74</v>
      </c>
      <c r="AY92" t="s">
        <v>74</v>
      </c>
      <c r="AZ92" t="s">
        <v>74</v>
      </c>
      <c r="BA92" t="s">
        <v>74</v>
      </c>
      <c r="BB92">
        <v>6783</v>
      </c>
      <c r="BC92">
        <v>6798</v>
      </c>
      <c r="BD92" t="s">
        <v>74</v>
      </c>
      <c r="BE92" t="s">
        <v>2099</v>
      </c>
      <c r="BF92" t="str">
        <f>HYPERLINK("http://dx.doi.org/10.1002/joc.8235","http://dx.doi.org/10.1002/joc.8235")</f>
        <v>http://dx.doi.org/10.1002/joc.8235</v>
      </c>
      <c r="BG92" t="s">
        <v>74</v>
      </c>
      <c r="BH92" t="s">
        <v>1812</v>
      </c>
      <c r="BI92">
        <v>16</v>
      </c>
      <c r="BJ92" t="s">
        <v>103</v>
      </c>
      <c r="BK92" t="s">
        <v>104</v>
      </c>
      <c r="BL92" t="s">
        <v>103</v>
      </c>
      <c r="BM92" t="s">
        <v>2100</v>
      </c>
      <c r="BN92" t="s">
        <v>74</v>
      </c>
      <c r="BO92" t="s">
        <v>74</v>
      </c>
      <c r="BP92" t="s">
        <v>74</v>
      </c>
      <c r="BQ92" t="s">
        <v>74</v>
      </c>
      <c r="BR92" t="s">
        <v>107</v>
      </c>
      <c r="BS92" t="s">
        <v>2101</v>
      </c>
      <c r="BT92" t="str">
        <f>HYPERLINK("https%3A%2F%2Fwww.webofscience.com%2Fwos%2Fwoscc%2Ffull-record%2FWOS:001063880600001","View Full Record in Web of Science")</f>
        <v>View Full Record in Web of Science</v>
      </c>
    </row>
    <row r="93" spans="1:72" x14ac:dyDescent="0.15">
      <c r="A93" t="s">
        <v>72</v>
      </c>
      <c r="B93" t="s">
        <v>2102</v>
      </c>
      <c r="C93" t="s">
        <v>74</v>
      </c>
      <c r="D93" t="s">
        <v>74</v>
      </c>
      <c r="E93" t="s">
        <v>74</v>
      </c>
      <c r="F93" t="s">
        <v>2103</v>
      </c>
      <c r="G93" t="s">
        <v>74</v>
      </c>
      <c r="H93" t="s">
        <v>74</v>
      </c>
      <c r="I93" t="s">
        <v>2104</v>
      </c>
      <c r="J93" t="s">
        <v>2105</v>
      </c>
      <c r="K93" t="s">
        <v>74</v>
      </c>
      <c r="L93" t="s">
        <v>74</v>
      </c>
      <c r="M93" t="s">
        <v>78</v>
      </c>
      <c r="N93" t="s">
        <v>79</v>
      </c>
      <c r="O93" t="s">
        <v>74</v>
      </c>
      <c r="P93" t="s">
        <v>74</v>
      </c>
      <c r="Q93" t="s">
        <v>74</v>
      </c>
      <c r="R93" t="s">
        <v>74</v>
      </c>
      <c r="S93" t="s">
        <v>74</v>
      </c>
      <c r="T93" t="s">
        <v>2106</v>
      </c>
      <c r="U93" t="s">
        <v>2107</v>
      </c>
      <c r="V93" t="s">
        <v>2108</v>
      </c>
      <c r="W93" t="s">
        <v>2109</v>
      </c>
      <c r="X93" t="s">
        <v>2110</v>
      </c>
      <c r="Y93" t="s">
        <v>2111</v>
      </c>
      <c r="Z93" t="s">
        <v>2112</v>
      </c>
      <c r="AA93" t="s">
        <v>2113</v>
      </c>
      <c r="AB93" t="s">
        <v>2114</v>
      </c>
      <c r="AC93" t="s">
        <v>2115</v>
      </c>
      <c r="AD93" t="s">
        <v>2116</v>
      </c>
      <c r="AE93" t="s">
        <v>2117</v>
      </c>
      <c r="AF93" t="s">
        <v>74</v>
      </c>
      <c r="AG93">
        <v>83</v>
      </c>
      <c r="AH93">
        <v>1</v>
      </c>
      <c r="AI93">
        <v>1</v>
      </c>
      <c r="AJ93">
        <v>20</v>
      </c>
      <c r="AK93">
        <v>27</v>
      </c>
      <c r="AL93" t="s">
        <v>2118</v>
      </c>
      <c r="AM93" t="s">
        <v>2119</v>
      </c>
      <c r="AN93" t="s">
        <v>2120</v>
      </c>
      <c r="AO93" t="s">
        <v>2121</v>
      </c>
      <c r="AP93" t="s">
        <v>2122</v>
      </c>
      <c r="AQ93" t="s">
        <v>74</v>
      </c>
      <c r="AR93" t="s">
        <v>2123</v>
      </c>
      <c r="AS93" t="s">
        <v>2124</v>
      </c>
      <c r="AT93" t="s">
        <v>2125</v>
      </c>
      <c r="AU93">
        <v>2023</v>
      </c>
      <c r="AV93">
        <v>237</v>
      </c>
      <c r="AW93" t="s">
        <v>74</v>
      </c>
      <c r="AX93">
        <v>1</v>
      </c>
      <c r="AY93" t="s">
        <v>74</v>
      </c>
      <c r="AZ93" t="s">
        <v>74</v>
      </c>
      <c r="BA93" t="s">
        <v>74</v>
      </c>
      <c r="BB93" t="s">
        <v>74</v>
      </c>
      <c r="BC93" t="s">
        <v>74</v>
      </c>
      <c r="BD93">
        <v>116743</v>
      </c>
      <c r="BE93" t="s">
        <v>2126</v>
      </c>
      <c r="BF93" t="str">
        <f>HYPERLINK("http://dx.doi.org/10.1016/j.envres.2023.116743","http://dx.doi.org/10.1016/j.envres.2023.116743")</f>
        <v>http://dx.doi.org/10.1016/j.envres.2023.116743</v>
      </c>
      <c r="BG93" t="s">
        <v>74</v>
      </c>
      <c r="BH93" t="s">
        <v>1812</v>
      </c>
      <c r="BI93">
        <v>11</v>
      </c>
      <c r="BJ93" t="s">
        <v>2127</v>
      </c>
      <c r="BK93" t="s">
        <v>104</v>
      </c>
      <c r="BL93" t="s">
        <v>2128</v>
      </c>
      <c r="BM93" t="s">
        <v>2129</v>
      </c>
      <c r="BN93">
        <v>37500038</v>
      </c>
      <c r="BO93" t="s">
        <v>2130</v>
      </c>
      <c r="BP93" t="s">
        <v>74</v>
      </c>
      <c r="BQ93" t="s">
        <v>74</v>
      </c>
      <c r="BR93" t="s">
        <v>107</v>
      </c>
      <c r="BS93" t="s">
        <v>2131</v>
      </c>
      <c r="BT93" t="str">
        <f>HYPERLINK("https%3A%2F%2Fwww.webofscience.com%2Fwos%2Fwoscc%2Ffull-record%2FWOS:001076529900001","View Full Record in Web of Science")</f>
        <v>View Full Record in Web of Science</v>
      </c>
    </row>
    <row r="94" spans="1:72" x14ac:dyDescent="0.15">
      <c r="A94" t="s">
        <v>72</v>
      </c>
      <c r="B94" t="s">
        <v>2132</v>
      </c>
      <c r="C94" t="s">
        <v>74</v>
      </c>
      <c r="D94" t="s">
        <v>74</v>
      </c>
      <c r="E94" t="s">
        <v>74</v>
      </c>
      <c r="F94" t="s">
        <v>2133</v>
      </c>
      <c r="G94" t="s">
        <v>74</v>
      </c>
      <c r="H94" t="s">
        <v>74</v>
      </c>
      <c r="I94" t="s">
        <v>2134</v>
      </c>
      <c r="J94" t="s">
        <v>2135</v>
      </c>
      <c r="K94" t="s">
        <v>74</v>
      </c>
      <c r="L94" t="s">
        <v>74</v>
      </c>
      <c r="M94" t="s">
        <v>78</v>
      </c>
      <c r="N94" t="s">
        <v>79</v>
      </c>
      <c r="O94" t="s">
        <v>74</v>
      </c>
      <c r="P94" t="s">
        <v>74</v>
      </c>
      <c r="Q94" t="s">
        <v>74</v>
      </c>
      <c r="R94" t="s">
        <v>74</v>
      </c>
      <c r="S94" t="s">
        <v>74</v>
      </c>
      <c r="T94" t="s">
        <v>2136</v>
      </c>
      <c r="U94" t="s">
        <v>74</v>
      </c>
      <c r="V94" t="s">
        <v>2137</v>
      </c>
      <c r="W94" t="s">
        <v>2138</v>
      </c>
      <c r="X94" t="s">
        <v>2139</v>
      </c>
      <c r="Y94" t="s">
        <v>2140</v>
      </c>
      <c r="Z94" t="s">
        <v>2141</v>
      </c>
      <c r="AA94" t="s">
        <v>74</v>
      </c>
      <c r="AB94" t="s">
        <v>74</v>
      </c>
      <c r="AC94" t="s">
        <v>74</v>
      </c>
      <c r="AD94" t="s">
        <v>74</v>
      </c>
      <c r="AE94" t="s">
        <v>74</v>
      </c>
      <c r="AF94" t="s">
        <v>74</v>
      </c>
      <c r="AG94">
        <v>12</v>
      </c>
      <c r="AH94">
        <v>0</v>
      </c>
      <c r="AI94">
        <v>0</v>
      </c>
      <c r="AJ94">
        <v>1</v>
      </c>
      <c r="AK94">
        <v>1</v>
      </c>
      <c r="AL94" t="s">
        <v>2142</v>
      </c>
      <c r="AM94" t="s">
        <v>299</v>
      </c>
      <c r="AN94" t="s">
        <v>2143</v>
      </c>
      <c r="AO94" t="s">
        <v>2144</v>
      </c>
      <c r="AP94" t="s">
        <v>2145</v>
      </c>
      <c r="AQ94" t="s">
        <v>74</v>
      </c>
      <c r="AR94" t="s">
        <v>2146</v>
      </c>
      <c r="AS94" t="s">
        <v>2147</v>
      </c>
      <c r="AT94" t="s">
        <v>1810</v>
      </c>
      <c r="AU94">
        <v>2023</v>
      </c>
      <c r="AV94">
        <v>512</v>
      </c>
      <c r="AW94">
        <v>2</v>
      </c>
      <c r="AX94" t="s">
        <v>74</v>
      </c>
      <c r="AY94" t="s">
        <v>74</v>
      </c>
      <c r="AZ94" t="s">
        <v>74</v>
      </c>
      <c r="BA94" t="s">
        <v>74</v>
      </c>
      <c r="BB94">
        <v>923</v>
      </c>
      <c r="BC94">
        <v>937</v>
      </c>
      <c r="BD94" t="s">
        <v>74</v>
      </c>
      <c r="BE94" t="s">
        <v>2148</v>
      </c>
      <c r="BF94" t="str">
        <f>HYPERLINK("http://dx.doi.org/10.1134/S1028334X23601566","http://dx.doi.org/10.1134/S1028334X23601566")</f>
        <v>http://dx.doi.org/10.1134/S1028334X23601566</v>
      </c>
      <c r="BG94" t="s">
        <v>74</v>
      </c>
      <c r="BH94" t="s">
        <v>1812</v>
      </c>
      <c r="BI94">
        <v>15</v>
      </c>
      <c r="BJ94" t="s">
        <v>155</v>
      </c>
      <c r="BK94" t="s">
        <v>104</v>
      </c>
      <c r="BL94" t="s">
        <v>156</v>
      </c>
      <c r="BM94" t="s">
        <v>2149</v>
      </c>
      <c r="BN94" t="s">
        <v>74</v>
      </c>
      <c r="BO94" t="s">
        <v>549</v>
      </c>
      <c r="BP94" t="s">
        <v>74</v>
      </c>
      <c r="BQ94" t="s">
        <v>74</v>
      </c>
      <c r="BR94" t="s">
        <v>107</v>
      </c>
      <c r="BS94" t="s">
        <v>2150</v>
      </c>
      <c r="BT94" t="str">
        <f>HYPERLINK("https%3A%2F%2Fwww.webofscience.com%2Fwos%2Fwoscc%2Ffull-record%2FWOS:001063917200001","View Full Record in Web of Science")</f>
        <v>View Full Record in Web of Science</v>
      </c>
    </row>
    <row r="95" spans="1:72" x14ac:dyDescent="0.15">
      <c r="A95" t="s">
        <v>72</v>
      </c>
      <c r="B95" t="s">
        <v>2151</v>
      </c>
      <c r="C95" t="s">
        <v>74</v>
      </c>
      <c r="D95" t="s">
        <v>74</v>
      </c>
      <c r="E95" t="s">
        <v>74</v>
      </c>
      <c r="F95" t="s">
        <v>2152</v>
      </c>
      <c r="G95" t="s">
        <v>74</v>
      </c>
      <c r="H95" t="s">
        <v>74</v>
      </c>
      <c r="I95" t="s">
        <v>2153</v>
      </c>
      <c r="J95" t="s">
        <v>983</v>
      </c>
      <c r="K95" t="s">
        <v>74</v>
      </c>
      <c r="L95" t="s">
        <v>74</v>
      </c>
      <c r="M95" t="s">
        <v>78</v>
      </c>
      <c r="N95" t="s">
        <v>79</v>
      </c>
      <c r="O95" t="s">
        <v>74</v>
      </c>
      <c r="P95" t="s">
        <v>74</v>
      </c>
      <c r="Q95" t="s">
        <v>74</v>
      </c>
      <c r="R95" t="s">
        <v>74</v>
      </c>
      <c r="S95" t="s">
        <v>74</v>
      </c>
      <c r="T95" t="s">
        <v>2154</v>
      </c>
      <c r="U95" t="s">
        <v>2155</v>
      </c>
      <c r="V95" t="s">
        <v>2156</v>
      </c>
      <c r="W95" t="s">
        <v>2157</v>
      </c>
      <c r="X95" t="s">
        <v>2158</v>
      </c>
      <c r="Y95" t="s">
        <v>2159</v>
      </c>
      <c r="Z95" t="s">
        <v>2160</v>
      </c>
      <c r="AA95" t="s">
        <v>2161</v>
      </c>
      <c r="AB95" t="s">
        <v>74</v>
      </c>
      <c r="AC95" t="s">
        <v>2162</v>
      </c>
      <c r="AD95" t="s">
        <v>2163</v>
      </c>
      <c r="AE95" t="s">
        <v>2164</v>
      </c>
      <c r="AF95" t="s">
        <v>74</v>
      </c>
      <c r="AG95">
        <v>64</v>
      </c>
      <c r="AH95">
        <v>1</v>
      </c>
      <c r="AI95">
        <v>1</v>
      </c>
      <c r="AJ95">
        <v>4</v>
      </c>
      <c r="AK95">
        <v>8</v>
      </c>
      <c r="AL95" t="s">
        <v>994</v>
      </c>
      <c r="AM95" t="s">
        <v>995</v>
      </c>
      <c r="AN95" t="s">
        <v>996</v>
      </c>
      <c r="AO95" t="s">
        <v>74</v>
      </c>
      <c r="AP95" t="s">
        <v>997</v>
      </c>
      <c r="AQ95" t="s">
        <v>74</v>
      </c>
      <c r="AR95" t="s">
        <v>998</v>
      </c>
      <c r="AS95" t="s">
        <v>999</v>
      </c>
      <c r="AT95" t="s">
        <v>2165</v>
      </c>
      <c r="AU95">
        <v>2023</v>
      </c>
      <c r="AV95">
        <v>10</v>
      </c>
      <c r="AW95" t="s">
        <v>74</v>
      </c>
      <c r="AX95" t="s">
        <v>74</v>
      </c>
      <c r="AY95" t="s">
        <v>74</v>
      </c>
      <c r="AZ95" t="s">
        <v>74</v>
      </c>
      <c r="BA95" t="s">
        <v>74</v>
      </c>
      <c r="BB95" t="s">
        <v>74</v>
      </c>
      <c r="BC95" t="s">
        <v>74</v>
      </c>
      <c r="BD95">
        <v>1174722</v>
      </c>
      <c r="BE95" t="s">
        <v>2166</v>
      </c>
      <c r="BF95" t="str">
        <f>HYPERLINK("http://dx.doi.org/10.3389/fmars.2023.1174722","http://dx.doi.org/10.3389/fmars.2023.1174722")</f>
        <v>http://dx.doi.org/10.3389/fmars.2023.1174722</v>
      </c>
      <c r="BG95" t="s">
        <v>74</v>
      </c>
      <c r="BH95" t="s">
        <v>74</v>
      </c>
      <c r="BI95">
        <v>17</v>
      </c>
      <c r="BJ95" t="s">
        <v>1001</v>
      </c>
      <c r="BK95" t="s">
        <v>104</v>
      </c>
      <c r="BL95" t="s">
        <v>1002</v>
      </c>
      <c r="BM95" t="s">
        <v>2167</v>
      </c>
      <c r="BN95" t="s">
        <v>74</v>
      </c>
      <c r="BO95" t="s">
        <v>206</v>
      </c>
      <c r="BP95" t="s">
        <v>74</v>
      </c>
      <c r="BQ95" t="s">
        <v>74</v>
      </c>
      <c r="BR95" t="s">
        <v>107</v>
      </c>
      <c r="BS95" t="s">
        <v>2168</v>
      </c>
      <c r="BT95" t="str">
        <f>HYPERLINK("https%3A%2F%2Fwww.webofscience.com%2Fwos%2Fwoscc%2Ffull-record%2FWOS:001064545000001","View Full Record in Web of Science")</f>
        <v>View Full Record in Web of Science</v>
      </c>
    </row>
    <row r="96" spans="1:72" x14ac:dyDescent="0.15">
      <c r="A96" t="s">
        <v>72</v>
      </c>
      <c r="B96" t="s">
        <v>2169</v>
      </c>
      <c r="C96" t="s">
        <v>74</v>
      </c>
      <c r="D96" t="s">
        <v>74</v>
      </c>
      <c r="E96" t="s">
        <v>74</v>
      </c>
      <c r="F96" t="s">
        <v>2170</v>
      </c>
      <c r="G96" t="s">
        <v>74</v>
      </c>
      <c r="H96" t="s">
        <v>74</v>
      </c>
      <c r="I96" t="s">
        <v>2171</v>
      </c>
      <c r="J96" t="s">
        <v>2172</v>
      </c>
      <c r="K96" t="s">
        <v>74</v>
      </c>
      <c r="L96" t="s">
        <v>74</v>
      </c>
      <c r="M96" t="s">
        <v>78</v>
      </c>
      <c r="N96" t="s">
        <v>79</v>
      </c>
      <c r="O96" t="s">
        <v>74</v>
      </c>
      <c r="P96" t="s">
        <v>74</v>
      </c>
      <c r="Q96" t="s">
        <v>74</v>
      </c>
      <c r="R96" t="s">
        <v>74</v>
      </c>
      <c r="S96" t="s">
        <v>74</v>
      </c>
      <c r="T96" t="s">
        <v>2173</v>
      </c>
      <c r="U96" t="s">
        <v>2174</v>
      </c>
      <c r="V96" t="s">
        <v>2175</v>
      </c>
      <c r="W96" t="s">
        <v>2176</v>
      </c>
      <c r="X96" t="s">
        <v>2177</v>
      </c>
      <c r="Y96" t="s">
        <v>2178</v>
      </c>
      <c r="Z96" t="s">
        <v>2179</v>
      </c>
      <c r="AA96" t="s">
        <v>74</v>
      </c>
      <c r="AB96" t="s">
        <v>74</v>
      </c>
      <c r="AC96" t="s">
        <v>2180</v>
      </c>
      <c r="AD96" t="s">
        <v>2181</v>
      </c>
      <c r="AE96" t="s">
        <v>2182</v>
      </c>
      <c r="AF96" t="s">
        <v>74</v>
      </c>
      <c r="AG96">
        <v>81</v>
      </c>
      <c r="AH96">
        <v>0</v>
      </c>
      <c r="AI96">
        <v>0</v>
      </c>
      <c r="AJ96">
        <v>5</v>
      </c>
      <c r="AK96">
        <v>8</v>
      </c>
      <c r="AL96" t="s">
        <v>1477</v>
      </c>
      <c r="AM96" t="s">
        <v>1478</v>
      </c>
      <c r="AN96" t="s">
        <v>1479</v>
      </c>
      <c r="AO96" t="s">
        <v>2183</v>
      </c>
      <c r="AP96" t="s">
        <v>2184</v>
      </c>
      <c r="AQ96" t="s">
        <v>74</v>
      </c>
      <c r="AR96" t="s">
        <v>2185</v>
      </c>
      <c r="AS96" t="s">
        <v>2186</v>
      </c>
      <c r="AT96" t="s">
        <v>1394</v>
      </c>
      <c r="AU96">
        <v>2023</v>
      </c>
      <c r="AV96">
        <v>66</v>
      </c>
      <c r="AW96">
        <v>6</v>
      </c>
      <c r="AX96" t="s">
        <v>74</v>
      </c>
      <c r="AY96" t="s">
        <v>74</v>
      </c>
      <c r="AZ96" t="s">
        <v>74</v>
      </c>
      <c r="BA96" t="s">
        <v>74</v>
      </c>
      <c r="BB96">
        <v>567</v>
      </c>
      <c r="BC96">
        <v>578</v>
      </c>
      <c r="BD96" t="s">
        <v>74</v>
      </c>
      <c r="BE96" t="s">
        <v>2187</v>
      </c>
      <c r="BF96" t="str">
        <f>HYPERLINK("http://dx.doi.org/10.1007/s12374-023-09407-3","http://dx.doi.org/10.1007/s12374-023-09407-3")</f>
        <v>http://dx.doi.org/10.1007/s12374-023-09407-3</v>
      </c>
      <c r="BG96" t="s">
        <v>74</v>
      </c>
      <c r="BH96" t="s">
        <v>1812</v>
      </c>
      <c r="BI96">
        <v>12</v>
      </c>
      <c r="BJ96" t="s">
        <v>375</v>
      </c>
      <c r="BK96" t="s">
        <v>104</v>
      </c>
      <c r="BL96" t="s">
        <v>375</v>
      </c>
      <c r="BM96" t="s">
        <v>2188</v>
      </c>
      <c r="BN96" t="s">
        <v>74</v>
      </c>
      <c r="BO96" t="s">
        <v>74</v>
      </c>
      <c r="BP96" t="s">
        <v>74</v>
      </c>
      <c r="BQ96" t="s">
        <v>74</v>
      </c>
      <c r="BR96" t="s">
        <v>107</v>
      </c>
      <c r="BS96" t="s">
        <v>2189</v>
      </c>
      <c r="BT96" t="str">
        <f>HYPERLINK("https%3A%2F%2Fwww.webofscience.com%2Fwos%2Fwoscc%2Ffull-record%2FWOS:001063908800001","View Full Record in Web of Science")</f>
        <v>View Full Record in Web of Science</v>
      </c>
    </row>
    <row r="97" spans="1:72" x14ac:dyDescent="0.15">
      <c r="A97" t="s">
        <v>72</v>
      </c>
      <c r="B97" t="s">
        <v>2190</v>
      </c>
      <c r="C97" t="s">
        <v>74</v>
      </c>
      <c r="D97" t="s">
        <v>74</v>
      </c>
      <c r="E97" t="s">
        <v>74</v>
      </c>
      <c r="F97" t="s">
        <v>2191</v>
      </c>
      <c r="G97" t="s">
        <v>74</v>
      </c>
      <c r="H97" t="s">
        <v>74</v>
      </c>
      <c r="I97" t="s">
        <v>2192</v>
      </c>
      <c r="J97" t="s">
        <v>2193</v>
      </c>
      <c r="K97" t="s">
        <v>74</v>
      </c>
      <c r="L97" t="s">
        <v>74</v>
      </c>
      <c r="M97" t="s">
        <v>78</v>
      </c>
      <c r="N97" t="s">
        <v>79</v>
      </c>
      <c r="O97" t="s">
        <v>74</v>
      </c>
      <c r="P97" t="s">
        <v>74</v>
      </c>
      <c r="Q97" t="s">
        <v>74</v>
      </c>
      <c r="R97" t="s">
        <v>74</v>
      </c>
      <c r="S97" t="s">
        <v>74</v>
      </c>
      <c r="T97" t="s">
        <v>74</v>
      </c>
      <c r="U97" t="s">
        <v>2194</v>
      </c>
      <c r="V97" t="s">
        <v>2195</v>
      </c>
      <c r="W97" t="s">
        <v>2196</v>
      </c>
      <c r="X97" t="s">
        <v>2197</v>
      </c>
      <c r="Y97" t="s">
        <v>2198</v>
      </c>
      <c r="Z97" t="s">
        <v>2199</v>
      </c>
      <c r="AA97" t="s">
        <v>2200</v>
      </c>
      <c r="AB97" t="s">
        <v>2201</v>
      </c>
      <c r="AC97" t="s">
        <v>2202</v>
      </c>
      <c r="AD97" t="s">
        <v>2202</v>
      </c>
      <c r="AE97" t="s">
        <v>2203</v>
      </c>
      <c r="AF97" t="s">
        <v>74</v>
      </c>
      <c r="AG97">
        <v>51</v>
      </c>
      <c r="AH97">
        <v>0</v>
      </c>
      <c r="AI97">
        <v>0</v>
      </c>
      <c r="AJ97">
        <v>5</v>
      </c>
      <c r="AK97">
        <v>5</v>
      </c>
      <c r="AL97" t="s">
        <v>146</v>
      </c>
      <c r="AM97" t="s">
        <v>147</v>
      </c>
      <c r="AN97" t="s">
        <v>148</v>
      </c>
      <c r="AO97" t="s">
        <v>2204</v>
      </c>
      <c r="AP97" t="s">
        <v>74</v>
      </c>
      <c r="AQ97" t="s">
        <v>74</v>
      </c>
      <c r="AR97" t="s">
        <v>2205</v>
      </c>
      <c r="AS97" t="s">
        <v>2206</v>
      </c>
      <c r="AT97" t="s">
        <v>2165</v>
      </c>
      <c r="AU97">
        <v>2023</v>
      </c>
      <c r="AV97">
        <v>13</v>
      </c>
      <c r="AW97">
        <v>1</v>
      </c>
      <c r="AX97" t="s">
        <v>74</v>
      </c>
      <c r="AY97" t="s">
        <v>74</v>
      </c>
      <c r="AZ97" t="s">
        <v>74</v>
      </c>
      <c r="BA97" t="s">
        <v>74</v>
      </c>
      <c r="BB97" t="s">
        <v>74</v>
      </c>
      <c r="BC97" t="s">
        <v>74</v>
      </c>
      <c r="BD97">
        <v>14095</v>
      </c>
      <c r="BE97" t="s">
        <v>2207</v>
      </c>
      <c r="BF97" t="str">
        <f>HYPERLINK("http://dx.doi.org/10.1038/s41598-023-41417-6","http://dx.doi.org/10.1038/s41598-023-41417-6")</f>
        <v>http://dx.doi.org/10.1038/s41598-023-41417-6</v>
      </c>
      <c r="BG97" t="s">
        <v>74</v>
      </c>
      <c r="BH97" t="s">
        <v>74</v>
      </c>
      <c r="BI97">
        <v>16</v>
      </c>
      <c r="BJ97" t="s">
        <v>1881</v>
      </c>
      <c r="BK97" t="s">
        <v>104</v>
      </c>
      <c r="BL97" t="s">
        <v>1882</v>
      </c>
      <c r="BM97" t="s">
        <v>2208</v>
      </c>
      <c r="BN97">
        <v>37644116</v>
      </c>
      <c r="BO97" t="s">
        <v>821</v>
      </c>
      <c r="BP97" t="s">
        <v>74</v>
      </c>
      <c r="BQ97" t="s">
        <v>74</v>
      </c>
      <c r="BR97" t="s">
        <v>107</v>
      </c>
      <c r="BS97" t="s">
        <v>2209</v>
      </c>
      <c r="BT97" t="str">
        <f>HYPERLINK("https%3A%2F%2Fwww.webofscience.com%2Fwos%2Fwoscc%2Ffull-record%2FWOS:001058035700029","View Full Record in Web of Science")</f>
        <v>View Full Record in Web of Science</v>
      </c>
    </row>
    <row r="98" spans="1:72" x14ac:dyDescent="0.15">
      <c r="A98" t="s">
        <v>72</v>
      </c>
      <c r="B98" t="s">
        <v>2210</v>
      </c>
      <c r="C98" t="s">
        <v>74</v>
      </c>
      <c r="D98" t="s">
        <v>74</v>
      </c>
      <c r="E98" t="s">
        <v>74</v>
      </c>
      <c r="F98" t="s">
        <v>2211</v>
      </c>
      <c r="G98" t="s">
        <v>74</v>
      </c>
      <c r="H98" t="s">
        <v>74</v>
      </c>
      <c r="I98" t="s">
        <v>2212</v>
      </c>
      <c r="J98" t="s">
        <v>2213</v>
      </c>
      <c r="K98" t="s">
        <v>74</v>
      </c>
      <c r="L98" t="s">
        <v>74</v>
      </c>
      <c r="M98" t="s">
        <v>78</v>
      </c>
      <c r="N98" t="s">
        <v>79</v>
      </c>
      <c r="O98" t="s">
        <v>74</v>
      </c>
      <c r="P98" t="s">
        <v>74</v>
      </c>
      <c r="Q98" t="s">
        <v>74</v>
      </c>
      <c r="R98" t="s">
        <v>74</v>
      </c>
      <c r="S98" t="s">
        <v>74</v>
      </c>
      <c r="T98" t="s">
        <v>2214</v>
      </c>
      <c r="U98" t="s">
        <v>2215</v>
      </c>
      <c r="V98" t="s">
        <v>2216</v>
      </c>
      <c r="W98" t="s">
        <v>2217</v>
      </c>
      <c r="X98" t="s">
        <v>2218</v>
      </c>
      <c r="Y98" t="s">
        <v>2219</v>
      </c>
      <c r="Z98" t="s">
        <v>2220</v>
      </c>
      <c r="AA98" t="s">
        <v>2221</v>
      </c>
      <c r="AB98" t="s">
        <v>2222</v>
      </c>
      <c r="AC98" t="s">
        <v>2223</v>
      </c>
      <c r="AD98" t="s">
        <v>2224</v>
      </c>
      <c r="AE98" t="s">
        <v>2225</v>
      </c>
      <c r="AF98" t="s">
        <v>74</v>
      </c>
      <c r="AG98">
        <v>56</v>
      </c>
      <c r="AH98">
        <v>0</v>
      </c>
      <c r="AI98">
        <v>0</v>
      </c>
      <c r="AJ98">
        <v>7</v>
      </c>
      <c r="AK98">
        <v>7</v>
      </c>
      <c r="AL98" t="s">
        <v>588</v>
      </c>
      <c r="AM98" t="s">
        <v>589</v>
      </c>
      <c r="AN98" t="s">
        <v>590</v>
      </c>
      <c r="AO98" t="s">
        <v>2226</v>
      </c>
      <c r="AP98" t="s">
        <v>2227</v>
      </c>
      <c r="AQ98" t="s">
        <v>74</v>
      </c>
      <c r="AR98" t="s">
        <v>2228</v>
      </c>
      <c r="AS98" t="s">
        <v>2229</v>
      </c>
      <c r="AT98" t="s">
        <v>2230</v>
      </c>
      <c r="AU98">
        <v>2023</v>
      </c>
      <c r="AV98">
        <v>50</v>
      </c>
      <c r="AW98">
        <v>16</v>
      </c>
      <c r="AX98" t="s">
        <v>74</v>
      </c>
      <c r="AY98" t="s">
        <v>74</v>
      </c>
      <c r="AZ98" t="s">
        <v>74</v>
      </c>
      <c r="BA98" t="s">
        <v>74</v>
      </c>
      <c r="BB98" t="s">
        <v>74</v>
      </c>
      <c r="BC98" t="s">
        <v>74</v>
      </c>
      <c r="BD98" t="s">
        <v>2231</v>
      </c>
      <c r="BE98" t="s">
        <v>2232</v>
      </c>
      <c r="BF98" t="str">
        <f>HYPERLINK("http://dx.doi.org/10.1029/2023GL104503","http://dx.doi.org/10.1029/2023GL104503")</f>
        <v>http://dx.doi.org/10.1029/2023GL104503</v>
      </c>
      <c r="BG98" t="s">
        <v>74</v>
      </c>
      <c r="BH98" t="s">
        <v>74</v>
      </c>
      <c r="BI98">
        <v>9</v>
      </c>
      <c r="BJ98" t="s">
        <v>155</v>
      </c>
      <c r="BK98" t="s">
        <v>104</v>
      </c>
      <c r="BL98" t="s">
        <v>156</v>
      </c>
      <c r="BM98" t="s">
        <v>2233</v>
      </c>
      <c r="BN98" t="s">
        <v>74</v>
      </c>
      <c r="BO98" t="s">
        <v>1128</v>
      </c>
      <c r="BP98" t="s">
        <v>74</v>
      </c>
      <c r="BQ98" t="s">
        <v>74</v>
      </c>
      <c r="BR98" t="s">
        <v>107</v>
      </c>
      <c r="BS98" t="s">
        <v>2234</v>
      </c>
      <c r="BT98" t="str">
        <f>HYPERLINK("https%3A%2F%2Fwww.webofscience.com%2Fwos%2Fwoscc%2Ffull-record%2FWOS:001058777300001","View Full Record in Web of Science")</f>
        <v>View Full Record in Web of Science</v>
      </c>
    </row>
    <row r="99" spans="1:72" x14ac:dyDescent="0.15">
      <c r="A99" t="s">
        <v>72</v>
      </c>
      <c r="B99" t="s">
        <v>2235</v>
      </c>
      <c r="C99" t="s">
        <v>74</v>
      </c>
      <c r="D99" t="s">
        <v>74</v>
      </c>
      <c r="E99" t="s">
        <v>74</v>
      </c>
      <c r="F99" t="s">
        <v>2236</v>
      </c>
      <c r="G99" t="s">
        <v>74</v>
      </c>
      <c r="H99" t="s">
        <v>74</v>
      </c>
      <c r="I99" t="s">
        <v>2237</v>
      </c>
      <c r="J99" t="s">
        <v>2213</v>
      </c>
      <c r="K99" t="s">
        <v>74</v>
      </c>
      <c r="L99" t="s">
        <v>74</v>
      </c>
      <c r="M99" t="s">
        <v>78</v>
      </c>
      <c r="N99" t="s">
        <v>79</v>
      </c>
      <c r="O99" t="s">
        <v>74</v>
      </c>
      <c r="P99" t="s">
        <v>74</v>
      </c>
      <c r="Q99" t="s">
        <v>74</v>
      </c>
      <c r="R99" t="s">
        <v>74</v>
      </c>
      <c r="S99" t="s">
        <v>74</v>
      </c>
      <c r="T99" t="s">
        <v>2238</v>
      </c>
      <c r="U99" t="s">
        <v>2239</v>
      </c>
      <c r="V99" t="s">
        <v>2240</v>
      </c>
      <c r="W99" t="s">
        <v>2241</v>
      </c>
      <c r="X99" t="s">
        <v>2242</v>
      </c>
      <c r="Y99" t="s">
        <v>2243</v>
      </c>
      <c r="Z99" t="s">
        <v>2244</v>
      </c>
      <c r="AA99" t="s">
        <v>2245</v>
      </c>
      <c r="AB99" t="s">
        <v>2246</v>
      </c>
      <c r="AC99" t="s">
        <v>2247</v>
      </c>
      <c r="AD99" t="s">
        <v>2248</v>
      </c>
      <c r="AE99" t="s">
        <v>2249</v>
      </c>
      <c r="AF99" t="s">
        <v>74</v>
      </c>
      <c r="AG99">
        <v>71</v>
      </c>
      <c r="AH99">
        <v>0</v>
      </c>
      <c r="AI99">
        <v>0</v>
      </c>
      <c r="AJ99">
        <v>3</v>
      </c>
      <c r="AK99">
        <v>6</v>
      </c>
      <c r="AL99" t="s">
        <v>588</v>
      </c>
      <c r="AM99" t="s">
        <v>589</v>
      </c>
      <c r="AN99" t="s">
        <v>590</v>
      </c>
      <c r="AO99" t="s">
        <v>2226</v>
      </c>
      <c r="AP99" t="s">
        <v>2227</v>
      </c>
      <c r="AQ99" t="s">
        <v>74</v>
      </c>
      <c r="AR99" t="s">
        <v>2228</v>
      </c>
      <c r="AS99" t="s">
        <v>2229</v>
      </c>
      <c r="AT99" t="s">
        <v>2230</v>
      </c>
      <c r="AU99">
        <v>2023</v>
      </c>
      <c r="AV99">
        <v>50</v>
      </c>
      <c r="AW99">
        <v>16</v>
      </c>
      <c r="AX99" t="s">
        <v>74</v>
      </c>
      <c r="AY99" t="s">
        <v>74</v>
      </c>
      <c r="AZ99" t="s">
        <v>74</v>
      </c>
      <c r="BA99" t="s">
        <v>74</v>
      </c>
      <c r="BB99" t="s">
        <v>74</v>
      </c>
      <c r="BC99" t="s">
        <v>74</v>
      </c>
      <c r="BD99" t="s">
        <v>2250</v>
      </c>
      <c r="BE99" t="s">
        <v>2251</v>
      </c>
      <c r="BF99" t="str">
        <f>HYPERLINK("http://dx.doi.org/10.1029/2023GL104834","http://dx.doi.org/10.1029/2023GL104834")</f>
        <v>http://dx.doi.org/10.1029/2023GL104834</v>
      </c>
      <c r="BG99" t="s">
        <v>74</v>
      </c>
      <c r="BH99" t="s">
        <v>74</v>
      </c>
      <c r="BI99">
        <v>10</v>
      </c>
      <c r="BJ99" t="s">
        <v>155</v>
      </c>
      <c r="BK99" t="s">
        <v>104</v>
      </c>
      <c r="BL99" t="s">
        <v>156</v>
      </c>
      <c r="BM99" t="s">
        <v>2252</v>
      </c>
      <c r="BN99" t="s">
        <v>74</v>
      </c>
      <c r="BO99" t="s">
        <v>549</v>
      </c>
      <c r="BP99" t="s">
        <v>74</v>
      </c>
      <c r="BQ99" t="s">
        <v>74</v>
      </c>
      <c r="BR99" t="s">
        <v>107</v>
      </c>
      <c r="BS99" t="s">
        <v>2253</v>
      </c>
      <c r="BT99" t="str">
        <f>HYPERLINK("https%3A%2F%2Fwww.webofscience.com%2Fwos%2Fwoscc%2Ffull-record%2FWOS:001058032900001","View Full Record in Web of Science")</f>
        <v>View Full Record in Web of Science</v>
      </c>
    </row>
    <row r="100" spans="1:72" x14ac:dyDescent="0.15">
      <c r="A100" t="s">
        <v>72</v>
      </c>
      <c r="B100" t="s">
        <v>2254</v>
      </c>
      <c r="C100" t="s">
        <v>74</v>
      </c>
      <c r="D100" t="s">
        <v>74</v>
      </c>
      <c r="E100" t="s">
        <v>74</v>
      </c>
      <c r="F100" t="s">
        <v>2255</v>
      </c>
      <c r="G100" t="s">
        <v>74</v>
      </c>
      <c r="H100" t="s">
        <v>74</v>
      </c>
      <c r="I100" t="s">
        <v>2256</v>
      </c>
      <c r="J100" t="s">
        <v>2213</v>
      </c>
      <c r="K100" t="s">
        <v>74</v>
      </c>
      <c r="L100" t="s">
        <v>74</v>
      </c>
      <c r="M100" t="s">
        <v>78</v>
      </c>
      <c r="N100" t="s">
        <v>79</v>
      </c>
      <c r="O100" t="s">
        <v>74</v>
      </c>
      <c r="P100" t="s">
        <v>74</v>
      </c>
      <c r="Q100" t="s">
        <v>74</v>
      </c>
      <c r="R100" t="s">
        <v>74</v>
      </c>
      <c r="S100" t="s">
        <v>74</v>
      </c>
      <c r="T100" t="s">
        <v>74</v>
      </c>
      <c r="U100" t="s">
        <v>2257</v>
      </c>
      <c r="V100" t="s">
        <v>2258</v>
      </c>
      <c r="W100" t="s">
        <v>2259</v>
      </c>
      <c r="X100" t="s">
        <v>2260</v>
      </c>
      <c r="Y100" t="s">
        <v>2261</v>
      </c>
      <c r="Z100" t="s">
        <v>2262</v>
      </c>
      <c r="AA100" t="s">
        <v>2263</v>
      </c>
      <c r="AB100" t="s">
        <v>74</v>
      </c>
      <c r="AC100" t="s">
        <v>2264</v>
      </c>
      <c r="AD100" t="s">
        <v>2265</v>
      </c>
      <c r="AE100" t="s">
        <v>2266</v>
      </c>
      <c r="AF100" t="s">
        <v>74</v>
      </c>
      <c r="AG100">
        <v>57</v>
      </c>
      <c r="AH100">
        <v>1</v>
      </c>
      <c r="AI100">
        <v>1</v>
      </c>
      <c r="AJ100">
        <v>2</v>
      </c>
      <c r="AK100">
        <v>2</v>
      </c>
      <c r="AL100" t="s">
        <v>588</v>
      </c>
      <c r="AM100" t="s">
        <v>589</v>
      </c>
      <c r="AN100" t="s">
        <v>590</v>
      </c>
      <c r="AO100" t="s">
        <v>2226</v>
      </c>
      <c r="AP100" t="s">
        <v>2227</v>
      </c>
      <c r="AQ100" t="s">
        <v>74</v>
      </c>
      <c r="AR100" t="s">
        <v>2228</v>
      </c>
      <c r="AS100" t="s">
        <v>2229</v>
      </c>
      <c r="AT100" t="s">
        <v>2230</v>
      </c>
      <c r="AU100">
        <v>2023</v>
      </c>
      <c r="AV100">
        <v>50</v>
      </c>
      <c r="AW100">
        <v>16</v>
      </c>
      <c r="AX100" t="s">
        <v>74</v>
      </c>
      <c r="AY100" t="s">
        <v>74</v>
      </c>
      <c r="AZ100" t="s">
        <v>74</v>
      </c>
      <c r="BA100" t="s">
        <v>74</v>
      </c>
      <c r="BB100" t="s">
        <v>74</v>
      </c>
      <c r="BC100" t="s">
        <v>74</v>
      </c>
      <c r="BD100" t="s">
        <v>2267</v>
      </c>
      <c r="BE100" t="s">
        <v>2268</v>
      </c>
      <c r="BF100" t="str">
        <f>HYPERLINK("http://dx.doi.org/10.1029/2023GL102828","http://dx.doi.org/10.1029/2023GL102828")</f>
        <v>http://dx.doi.org/10.1029/2023GL102828</v>
      </c>
      <c r="BG100" t="s">
        <v>74</v>
      </c>
      <c r="BH100" t="s">
        <v>74</v>
      </c>
      <c r="BI100">
        <v>8</v>
      </c>
      <c r="BJ100" t="s">
        <v>155</v>
      </c>
      <c r="BK100" t="s">
        <v>104</v>
      </c>
      <c r="BL100" t="s">
        <v>156</v>
      </c>
      <c r="BM100" t="s">
        <v>2269</v>
      </c>
      <c r="BN100" t="s">
        <v>74</v>
      </c>
      <c r="BO100" t="s">
        <v>1128</v>
      </c>
      <c r="BP100" t="s">
        <v>74</v>
      </c>
      <c r="BQ100" t="s">
        <v>74</v>
      </c>
      <c r="BR100" t="s">
        <v>107</v>
      </c>
      <c r="BS100" t="s">
        <v>2270</v>
      </c>
      <c r="BT100" t="str">
        <f>HYPERLINK("https%3A%2F%2Fwww.webofscience.com%2Fwos%2Fwoscc%2Ffull-record%2FWOS:001058745800001","View Full Record in Web of Science")</f>
        <v>View Full Record in Web of Science</v>
      </c>
    </row>
    <row r="101" spans="1:72" x14ac:dyDescent="0.15">
      <c r="A101" t="s">
        <v>72</v>
      </c>
      <c r="B101" t="s">
        <v>2271</v>
      </c>
      <c r="C101" t="s">
        <v>74</v>
      </c>
      <c r="D101" t="s">
        <v>74</v>
      </c>
      <c r="E101" t="s">
        <v>74</v>
      </c>
      <c r="F101" t="s">
        <v>2272</v>
      </c>
      <c r="G101" t="s">
        <v>74</v>
      </c>
      <c r="H101" t="s">
        <v>74</v>
      </c>
      <c r="I101" t="s">
        <v>2273</v>
      </c>
      <c r="J101" t="s">
        <v>2213</v>
      </c>
      <c r="K101" t="s">
        <v>74</v>
      </c>
      <c r="L101" t="s">
        <v>74</v>
      </c>
      <c r="M101" t="s">
        <v>78</v>
      </c>
      <c r="N101" t="s">
        <v>79</v>
      </c>
      <c r="O101" t="s">
        <v>74</v>
      </c>
      <c r="P101" t="s">
        <v>74</v>
      </c>
      <c r="Q101" t="s">
        <v>74</v>
      </c>
      <c r="R101" t="s">
        <v>74</v>
      </c>
      <c r="S101" t="s">
        <v>74</v>
      </c>
      <c r="T101" t="s">
        <v>2274</v>
      </c>
      <c r="U101" t="s">
        <v>2275</v>
      </c>
      <c r="V101" t="s">
        <v>2276</v>
      </c>
      <c r="W101" t="s">
        <v>2277</v>
      </c>
      <c r="X101" t="s">
        <v>2278</v>
      </c>
      <c r="Y101" t="s">
        <v>2279</v>
      </c>
      <c r="Z101" t="s">
        <v>2280</v>
      </c>
      <c r="AA101" t="s">
        <v>74</v>
      </c>
      <c r="AB101" t="s">
        <v>74</v>
      </c>
      <c r="AC101" t="s">
        <v>2281</v>
      </c>
      <c r="AD101" t="s">
        <v>2282</v>
      </c>
      <c r="AE101" t="s">
        <v>2283</v>
      </c>
      <c r="AF101" t="s">
        <v>74</v>
      </c>
      <c r="AG101">
        <v>82</v>
      </c>
      <c r="AH101">
        <v>1</v>
      </c>
      <c r="AI101">
        <v>1</v>
      </c>
      <c r="AJ101">
        <v>2</v>
      </c>
      <c r="AK101">
        <v>2</v>
      </c>
      <c r="AL101" t="s">
        <v>588</v>
      </c>
      <c r="AM101" t="s">
        <v>589</v>
      </c>
      <c r="AN101" t="s">
        <v>590</v>
      </c>
      <c r="AO101" t="s">
        <v>2226</v>
      </c>
      <c r="AP101" t="s">
        <v>2227</v>
      </c>
      <c r="AQ101" t="s">
        <v>74</v>
      </c>
      <c r="AR101" t="s">
        <v>2228</v>
      </c>
      <c r="AS101" t="s">
        <v>2229</v>
      </c>
      <c r="AT101" t="s">
        <v>2230</v>
      </c>
      <c r="AU101">
        <v>2023</v>
      </c>
      <c r="AV101">
        <v>50</v>
      </c>
      <c r="AW101">
        <v>16</v>
      </c>
      <c r="AX101" t="s">
        <v>74</v>
      </c>
      <c r="AY101" t="s">
        <v>74</v>
      </c>
      <c r="AZ101" t="s">
        <v>74</v>
      </c>
      <c r="BA101" t="s">
        <v>74</v>
      </c>
      <c r="BB101" t="s">
        <v>74</v>
      </c>
      <c r="BC101" t="s">
        <v>74</v>
      </c>
      <c r="BD101" t="s">
        <v>2284</v>
      </c>
      <c r="BE101" t="s">
        <v>2285</v>
      </c>
      <c r="BF101" t="str">
        <f>HYPERLINK("http://dx.doi.org/10.1029/2023GL104066","http://dx.doi.org/10.1029/2023GL104066")</f>
        <v>http://dx.doi.org/10.1029/2023GL104066</v>
      </c>
      <c r="BG101" t="s">
        <v>74</v>
      </c>
      <c r="BH101" t="s">
        <v>74</v>
      </c>
      <c r="BI101">
        <v>12</v>
      </c>
      <c r="BJ101" t="s">
        <v>155</v>
      </c>
      <c r="BK101" t="s">
        <v>104</v>
      </c>
      <c r="BL101" t="s">
        <v>156</v>
      </c>
      <c r="BM101" t="s">
        <v>2286</v>
      </c>
      <c r="BN101" t="s">
        <v>74</v>
      </c>
      <c r="BO101" t="s">
        <v>2287</v>
      </c>
      <c r="BP101" t="s">
        <v>74</v>
      </c>
      <c r="BQ101" t="s">
        <v>74</v>
      </c>
      <c r="BR101" t="s">
        <v>107</v>
      </c>
      <c r="BS101" t="s">
        <v>2288</v>
      </c>
      <c r="BT101" t="str">
        <f>HYPERLINK("https%3A%2F%2Fwww.webofscience.com%2Fwos%2Fwoscc%2Ffull-record%2FWOS:001054817400001","View Full Record in Web of Science")</f>
        <v>View Full Record in Web of Science</v>
      </c>
    </row>
    <row r="102" spans="1:72" x14ac:dyDescent="0.15">
      <c r="A102" t="s">
        <v>72</v>
      </c>
      <c r="B102" t="s">
        <v>2289</v>
      </c>
      <c r="C102" t="s">
        <v>74</v>
      </c>
      <c r="D102" t="s">
        <v>74</v>
      </c>
      <c r="E102" t="s">
        <v>74</v>
      </c>
      <c r="F102" t="s">
        <v>2290</v>
      </c>
      <c r="G102" t="s">
        <v>74</v>
      </c>
      <c r="H102" t="s">
        <v>74</v>
      </c>
      <c r="I102" t="s">
        <v>2291</v>
      </c>
      <c r="J102" t="s">
        <v>2292</v>
      </c>
      <c r="K102" t="s">
        <v>74</v>
      </c>
      <c r="L102" t="s">
        <v>74</v>
      </c>
      <c r="M102" t="s">
        <v>78</v>
      </c>
      <c r="N102" t="s">
        <v>79</v>
      </c>
      <c r="O102" t="s">
        <v>74</v>
      </c>
      <c r="P102" t="s">
        <v>74</v>
      </c>
      <c r="Q102" t="s">
        <v>74</v>
      </c>
      <c r="R102" t="s">
        <v>74</v>
      </c>
      <c r="S102" t="s">
        <v>74</v>
      </c>
      <c r="T102" t="s">
        <v>2293</v>
      </c>
      <c r="U102" t="s">
        <v>2294</v>
      </c>
      <c r="V102" t="s">
        <v>2295</v>
      </c>
      <c r="W102" t="s">
        <v>2296</v>
      </c>
      <c r="X102" t="s">
        <v>2297</v>
      </c>
      <c r="Y102" t="s">
        <v>2298</v>
      </c>
      <c r="Z102" t="s">
        <v>2299</v>
      </c>
      <c r="AA102" t="s">
        <v>2300</v>
      </c>
      <c r="AB102" t="s">
        <v>2301</v>
      </c>
      <c r="AC102" t="s">
        <v>2302</v>
      </c>
      <c r="AD102" t="s">
        <v>2303</v>
      </c>
      <c r="AE102" t="s">
        <v>2304</v>
      </c>
      <c r="AF102" t="s">
        <v>74</v>
      </c>
      <c r="AG102">
        <v>64</v>
      </c>
      <c r="AH102">
        <v>0</v>
      </c>
      <c r="AI102">
        <v>0</v>
      </c>
      <c r="AJ102">
        <v>3</v>
      </c>
      <c r="AK102">
        <v>6</v>
      </c>
      <c r="AL102" t="s">
        <v>2305</v>
      </c>
      <c r="AM102" t="s">
        <v>538</v>
      </c>
      <c r="AN102" t="s">
        <v>2306</v>
      </c>
      <c r="AO102" t="s">
        <v>2307</v>
      </c>
      <c r="AP102" t="s">
        <v>2308</v>
      </c>
      <c r="AQ102" t="s">
        <v>74</v>
      </c>
      <c r="AR102" t="s">
        <v>2309</v>
      </c>
      <c r="AS102" t="s">
        <v>2310</v>
      </c>
      <c r="AT102" t="s">
        <v>97</v>
      </c>
      <c r="AU102">
        <v>2023</v>
      </c>
      <c r="AV102">
        <v>194</v>
      </c>
      <c r="AW102" t="s">
        <v>74</v>
      </c>
      <c r="AX102" t="s">
        <v>2311</v>
      </c>
      <c r="AY102" t="s">
        <v>74</v>
      </c>
      <c r="AZ102" t="s">
        <v>74</v>
      </c>
      <c r="BA102" t="s">
        <v>74</v>
      </c>
      <c r="BB102" t="s">
        <v>74</v>
      </c>
      <c r="BC102" t="s">
        <v>74</v>
      </c>
      <c r="BD102">
        <v>115448</v>
      </c>
      <c r="BE102" t="s">
        <v>2312</v>
      </c>
      <c r="BF102" t="str">
        <f>HYPERLINK("http://dx.doi.org/10.1016/j.marpolbul.2023.115448","http://dx.doi.org/10.1016/j.marpolbul.2023.115448")</f>
        <v>http://dx.doi.org/10.1016/j.marpolbul.2023.115448</v>
      </c>
      <c r="BG102" t="s">
        <v>74</v>
      </c>
      <c r="BH102" t="s">
        <v>1812</v>
      </c>
      <c r="BI102">
        <v>8</v>
      </c>
      <c r="BJ102" t="s">
        <v>1001</v>
      </c>
      <c r="BK102" t="s">
        <v>104</v>
      </c>
      <c r="BL102" t="s">
        <v>1002</v>
      </c>
      <c r="BM102" t="s">
        <v>2313</v>
      </c>
      <c r="BN102">
        <v>37647799</v>
      </c>
      <c r="BO102" t="s">
        <v>74</v>
      </c>
      <c r="BP102" t="s">
        <v>74</v>
      </c>
      <c r="BQ102" t="s">
        <v>74</v>
      </c>
      <c r="BR102" t="s">
        <v>107</v>
      </c>
      <c r="BS102" t="s">
        <v>2314</v>
      </c>
      <c r="BT102" t="str">
        <f>HYPERLINK("https%3A%2F%2Fwww.webofscience.com%2Fwos%2Fwoscc%2Ffull-record%2FWOS:001069264400001","View Full Record in Web of Science")</f>
        <v>View Full Record in Web of Science</v>
      </c>
    </row>
    <row r="103" spans="1:72" x14ac:dyDescent="0.15">
      <c r="A103" t="s">
        <v>72</v>
      </c>
      <c r="B103" t="s">
        <v>2315</v>
      </c>
      <c r="C103" t="s">
        <v>74</v>
      </c>
      <c r="D103" t="s">
        <v>74</v>
      </c>
      <c r="E103" t="s">
        <v>74</v>
      </c>
      <c r="F103" t="s">
        <v>2316</v>
      </c>
      <c r="G103" t="s">
        <v>74</v>
      </c>
      <c r="H103" t="s">
        <v>74</v>
      </c>
      <c r="I103" t="s">
        <v>2317</v>
      </c>
      <c r="J103" t="s">
        <v>2213</v>
      </c>
      <c r="K103" t="s">
        <v>74</v>
      </c>
      <c r="L103" t="s">
        <v>74</v>
      </c>
      <c r="M103" t="s">
        <v>78</v>
      </c>
      <c r="N103" t="s">
        <v>79</v>
      </c>
      <c r="O103" t="s">
        <v>74</v>
      </c>
      <c r="P103" t="s">
        <v>74</v>
      </c>
      <c r="Q103" t="s">
        <v>74</v>
      </c>
      <c r="R103" t="s">
        <v>74</v>
      </c>
      <c r="S103" t="s">
        <v>74</v>
      </c>
      <c r="T103" t="s">
        <v>2318</v>
      </c>
      <c r="U103" t="s">
        <v>2319</v>
      </c>
      <c r="V103" t="s">
        <v>2320</v>
      </c>
      <c r="W103" t="s">
        <v>2321</v>
      </c>
      <c r="X103" t="s">
        <v>2322</v>
      </c>
      <c r="Y103" t="s">
        <v>2323</v>
      </c>
      <c r="Z103" t="s">
        <v>2324</v>
      </c>
      <c r="AA103" t="s">
        <v>2325</v>
      </c>
      <c r="AB103" t="s">
        <v>2326</v>
      </c>
      <c r="AC103" t="s">
        <v>2327</v>
      </c>
      <c r="AD103" t="s">
        <v>2328</v>
      </c>
      <c r="AE103" t="s">
        <v>2329</v>
      </c>
      <c r="AF103" t="s">
        <v>74</v>
      </c>
      <c r="AG103">
        <v>90</v>
      </c>
      <c r="AH103">
        <v>1</v>
      </c>
      <c r="AI103">
        <v>1</v>
      </c>
      <c r="AJ103">
        <v>6</v>
      </c>
      <c r="AK103">
        <v>7</v>
      </c>
      <c r="AL103" t="s">
        <v>588</v>
      </c>
      <c r="AM103" t="s">
        <v>589</v>
      </c>
      <c r="AN103" t="s">
        <v>590</v>
      </c>
      <c r="AO103" t="s">
        <v>2226</v>
      </c>
      <c r="AP103" t="s">
        <v>2227</v>
      </c>
      <c r="AQ103" t="s">
        <v>74</v>
      </c>
      <c r="AR103" t="s">
        <v>2228</v>
      </c>
      <c r="AS103" t="s">
        <v>2229</v>
      </c>
      <c r="AT103" t="s">
        <v>2230</v>
      </c>
      <c r="AU103">
        <v>2023</v>
      </c>
      <c r="AV103">
        <v>50</v>
      </c>
      <c r="AW103">
        <v>16</v>
      </c>
      <c r="AX103" t="s">
        <v>74</v>
      </c>
      <c r="AY103" t="s">
        <v>74</v>
      </c>
      <c r="AZ103" t="s">
        <v>74</v>
      </c>
      <c r="BA103" t="s">
        <v>74</v>
      </c>
      <c r="BB103" t="s">
        <v>74</v>
      </c>
      <c r="BC103" t="s">
        <v>74</v>
      </c>
      <c r="BD103" t="s">
        <v>2330</v>
      </c>
      <c r="BE103" t="s">
        <v>2331</v>
      </c>
      <c r="BF103" t="str">
        <f>HYPERLINK("http://dx.doi.org/10.1029/2023GL103695","http://dx.doi.org/10.1029/2023GL103695")</f>
        <v>http://dx.doi.org/10.1029/2023GL103695</v>
      </c>
      <c r="BG103" t="s">
        <v>74</v>
      </c>
      <c r="BH103" t="s">
        <v>74</v>
      </c>
      <c r="BI103">
        <v>13</v>
      </c>
      <c r="BJ103" t="s">
        <v>155</v>
      </c>
      <c r="BK103" t="s">
        <v>104</v>
      </c>
      <c r="BL103" t="s">
        <v>156</v>
      </c>
      <c r="BM103" t="s">
        <v>2332</v>
      </c>
      <c r="BN103" t="s">
        <v>74</v>
      </c>
      <c r="BO103" t="s">
        <v>549</v>
      </c>
      <c r="BP103" t="s">
        <v>74</v>
      </c>
      <c r="BQ103" t="s">
        <v>74</v>
      </c>
      <c r="BR103" t="s">
        <v>107</v>
      </c>
      <c r="BS103" t="s">
        <v>2333</v>
      </c>
      <c r="BT103" t="str">
        <f>HYPERLINK("https%3A%2F%2Fwww.webofscience.com%2Fwos%2Fwoscc%2Ffull-record%2FWOS:001057745900001","View Full Record in Web of Science")</f>
        <v>View Full Record in Web of Science</v>
      </c>
    </row>
    <row r="104" spans="1:72" x14ac:dyDescent="0.15">
      <c r="A104" t="s">
        <v>72</v>
      </c>
      <c r="B104" t="s">
        <v>2334</v>
      </c>
      <c r="C104" t="s">
        <v>74</v>
      </c>
      <c r="D104" t="s">
        <v>74</v>
      </c>
      <c r="E104" t="s">
        <v>74</v>
      </c>
      <c r="F104" t="s">
        <v>2335</v>
      </c>
      <c r="G104" t="s">
        <v>74</v>
      </c>
      <c r="H104" t="s">
        <v>74</v>
      </c>
      <c r="I104" t="s">
        <v>2336</v>
      </c>
      <c r="J104" t="s">
        <v>2213</v>
      </c>
      <c r="K104" t="s">
        <v>74</v>
      </c>
      <c r="L104" t="s">
        <v>74</v>
      </c>
      <c r="M104" t="s">
        <v>78</v>
      </c>
      <c r="N104" t="s">
        <v>79</v>
      </c>
      <c r="O104" t="s">
        <v>74</v>
      </c>
      <c r="P104" t="s">
        <v>74</v>
      </c>
      <c r="Q104" t="s">
        <v>74</v>
      </c>
      <c r="R104" t="s">
        <v>74</v>
      </c>
      <c r="S104" t="s">
        <v>74</v>
      </c>
      <c r="T104" t="s">
        <v>74</v>
      </c>
      <c r="U104" t="s">
        <v>2337</v>
      </c>
      <c r="V104" t="s">
        <v>2338</v>
      </c>
      <c r="W104" t="s">
        <v>2339</v>
      </c>
      <c r="X104" t="s">
        <v>2340</v>
      </c>
      <c r="Y104" t="s">
        <v>2341</v>
      </c>
      <c r="Z104" t="s">
        <v>2342</v>
      </c>
      <c r="AA104" t="s">
        <v>74</v>
      </c>
      <c r="AB104" t="s">
        <v>2343</v>
      </c>
      <c r="AC104" t="s">
        <v>2344</v>
      </c>
      <c r="AD104" t="s">
        <v>2345</v>
      </c>
      <c r="AE104" t="s">
        <v>2346</v>
      </c>
      <c r="AF104" t="s">
        <v>74</v>
      </c>
      <c r="AG104">
        <v>68</v>
      </c>
      <c r="AH104">
        <v>2</v>
      </c>
      <c r="AI104">
        <v>2</v>
      </c>
      <c r="AJ104">
        <v>3</v>
      </c>
      <c r="AK104">
        <v>5</v>
      </c>
      <c r="AL104" t="s">
        <v>588</v>
      </c>
      <c r="AM104" t="s">
        <v>589</v>
      </c>
      <c r="AN104" t="s">
        <v>590</v>
      </c>
      <c r="AO104" t="s">
        <v>2226</v>
      </c>
      <c r="AP104" t="s">
        <v>2227</v>
      </c>
      <c r="AQ104" t="s">
        <v>74</v>
      </c>
      <c r="AR104" t="s">
        <v>2228</v>
      </c>
      <c r="AS104" t="s">
        <v>2229</v>
      </c>
      <c r="AT104" t="s">
        <v>2230</v>
      </c>
      <c r="AU104">
        <v>2023</v>
      </c>
      <c r="AV104">
        <v>50</v>
      </c>
      <c r="AW104">
        <v>16</v>
      </c>
      <c r="AX104" t="s">
        <v>74</v>
      </c>
      <c r="AY104" t="s">
        <v>74</v>
      </c>
      <c r="AZ104" t="s">
        <v>74</v>
      </c>
      <c r="BA104" t="s">
        <v>74</v>
      </c>
      <c r="BB104" t="s">
        <v>74</v>
      </c>
      <c r="BC104" t="s">
        <v>74</v>
      </c>
      <c r="BD104" t="s">
        <v>2347</v>
      </c>
      <c r="BE104" t="s">
        <v>2348</v>
      </c>
      <c r="BF104" t="str">
        <f>HYPERLINK("http://dx.doi.org/10.1029/2023GL104148","http://dx.doi.org/10.1029/2023GL104148")</f>
        <v>http://dx.doi.org/10.1029/2023GL104148</v>
      </c>
      <c r="BG104" t="s">
        <v>74</v>
      </c>
      <c r="BH104" t="s">
        <v>74</v>
      </c>
      <c r="BI104">
        <v>9</v>
      </c>
      <c r="BJ104" t="s">
        <v>155</v>
      </c>
      <c r="BK104" t="s">
        <v>104</v>
      </c>
      <c r="BL104" t="s">
        <v>156</v>
      </c>
      <c r="BM104" t="s">
        <v>2332</v>
      </c>
      <c r="BN104" t="s">
        <v>74</v>
      </c>
      <c r="BO104" t="s">
        <v>549</v>
      </c>
      <c r="BP104" t="s">
        <v>74</v>
      </c>
      <c r="BQ104" t="s">
        <v>74</v>
      </c>
      <c r="BR104" t="s">
        <v>107</v>
      </c>
      <c r="BS104" t="s">
        <v>2349</v>
      </c>
      <c r="BT104" t="str">
        <f>HYPERLINK("https%3A%2F%2Fwww.webofscience.com%2Fwos%2Fwoscc%2Ffull-record%2FWOS:001057745900008","View Full Record in Web of Science")</f>
        <v>View Full Record in Web of Science</v>
      </c>
    </row>
    <row r="105" spans="1:72" x14ac:dyDescent="0.15">
      <c r="A105" t="s">
        <v>72</v>
      </c>
      <c r="B105" t="s">
        <v>2350</v>
      </c>
      <c r="C105" t="s">
        <v>74</v>
      </c>
      <c r="D105" t="s">
        <v>74</v>
      </c>
      <c r="E105" t="s">
        <v>74</v>
      </c>
      <c r="F105" t="s">
        <v>2351</v>
      </c>
      <c r="G105" t="s">
        <v>74</v>
      </c>
      <c r="H105" t="s">
        <v>74</v>
      </c>
      <c r="I105" t="s">
        <v>2352</v>
      </c>
      <c r="J105" t="s">
        <v>2353</v>
      </c>
      <c r="K105" t="s">
        <v>74</v>
      </c>
      <c r="L105" t="s">
        <v>74</v>
      </c>
      <c r="M105" t="s">
        <v>78</v>
      </c>
      <c r="N105" t="s">
        <v>1911</v>
      </c>
      <c r="O105" t="s">
        <v>74</v>
      </c>
      <c r="P105" t="s">
        <v>74</v>
      </c>
      <c r="Q105" t="s">
        <v>74</v>
      </c>
      <c r="R105" t="s">
        <v>74</v>
      </c>
      <c r="S105" t="s">
        <v>74</v>
      </c>
      <c r="T105" t="s">
        <v>74</v>
      </c>
      <c r="U105" t="s">
        <v>2354</v>
      </c>
      <c r="V105" t="s">
        <v>2355</v>
      </c>
      <c r="W105" t="s">
        <v>2356</v>
      </c>
      <c r="X105" t="s">
        <v>2357</v>
      </c>
      <c r="Y105" t="s">
        <v>2358</v>
      </c>
      <c r="Z105" t="s">
        <v>2359</v>
      </c>
      <c r="AA105" t="s">
        <v>2360</v>
      </c>
      <c r="AB105" t="s">
        <v>2361</v>
      </c>
      <c r="AC105" t="s">
        <v>2362</v>
      </c>
      <c r="AD105" t="s">
        <v>2363</v>
      </c>
      <c r="AE105" t="s">
        <v>2364</v>
      </c>
      <c r="AF105" t="s">
        <v>74</v>
      </c>
      <c r="AG105">
        <v>78</v>
      </c>
      <c r="AH105">
        <v>3</v>
      </c>
      <c r="AI105">
        <v>3</v>
      </c>
      <c r="AJ105">
        <v>9</v>
      </c>
      <c r="AK105">
        <v>13</v>
      </c>
      <c r="AL105" t="s">
        <v>146</v>
      </c>
      <c r="AM105" t="s">
        <v>147</v>
      </c>
      <c r="AN105" t="s">
        <v>148</v>
      </c>
      <c r="AO105" t="s">
        <v>2365</v>
      </c>
      <c r="AP105" t="s">
        <v>2366</v>
      </c>
      <c r="AQ105" t="s">
        <v>74</v>
      </c>
      <c r="AR105" t="s">
        <v>2367</v>
      </c>
      <c r="AS105" t="s">
        <v>2368</v>
      </c>
      <c r="AT105" t="s">
        <v>2369</v>
      </c>
      <c r="AU105">
        <v>2023</v>
      </c>
      <c r="AV105" t="s">
        <v>74</v>
      </c>
      <c r="AW105" t="s">
        <v>74</v>
      </c>
      <c r="AX105" t="s">
        <v>74</v>
      </c>
      <c r="AY105" t="s">
        <v>74</v>
      </c>
      <c r="AZ105" t="s">
        <v>74</v>
      </c>
      <c r="BA105" t="s">
        <v>74</v>
      </c>
      <c r="BB105" t="s">
        <v>74</v>
      </c>
      <c r="BC105" t="s">
        <v>74</v>
      </c>
      <c r="BD105" t="s">
        <v>74</v>
      </c>
      <c r="BE105" t="s">
        <v>2370</v>
      </c>
      <c r="BF105" t="str">
        <f>HYPERLINK("http://dx.doi.org/10.1038/s41558-023-01779-1","http://dx.doi.org/10.1038/s41558-023-01779-1")</f>
        <v>http://dx.doi.org/10.1038/s41558-023-01779-1</v>
      </c>
      <c r="BG105" t="s">
        <v>74</v>
      </c>
      <c r="BH105" t="s">
        <v>1812</v>
      </c>
      <c r="BI105">
        <v>20</v>
      </c>
      <c r="BJ105" t="s">
        <v>2371</v>
      </c>
      <c r="BK105" t="s">
        <v>881</v>
      </c>
      <c r="BL105" t="s">
        <v>2372</v>
      </c>
      <c r="BM105" t="s">
        <v>2373</v>
      </c>
      <c r="BN105" t="s">
        <v>74</v>
      </c>
      <c r="BO105" t="s">
        <v>2374</v>
      </c>
      <c r="BP105" t="s">
        <v>74</v>
      </c>
      <c r="BQ105" t="s">
        <v>74</v>
      </c>
      <c r="BR105" t="s">
        <v>107</v>
      </c>
      <c r="BS105" t="s">
        <v>2375</v>
      </c>
      <c r="BT105" t="str">
        <f>HYPERLINK("https%3A%2F%2Fwww.webofscience.com%2Fwos%2Fwoscc%2Ffull-record%2FWOS:001060393300001","View Full Record in Web of Science")</f>
        <v>View Full Record in Web of Science</v>
      </c>
    </row>
    <row r="106" spans="1:72" x14ac:dyDescent="0.15">
      <c r="A106" t="s">
        <v>72</v>
      </c>
      <c r="B106" t="s">
        <v>2376</v>
      </c>
      <c r="C106" t="s">
        <v>74</v>
      </c>
      <c r="D106" t="s">
        <v>74</v>
      </c>
      <c r="E106" t="s">
        <v>74</v>
      </c>
      <c r="F106" t="s">
        <v>2377</v>
      </c>
      <c r="G106" t="s">
        <v>74</v>
      </c>
      <c r="H106" t="s">
        <v>74</v>
      </c>
      <c r="I106" t="s">
        <v>2378</v>
      </c>
      <c r="J106" t="s">
        <v>983</v>
      </c>
      <c r="K106" t="s">
        <v>74</v>
      </c>
      <c r="L106" t="s">
        <v>74</v>
      </c>
      <c r="M106" t="s">
        <v>78</v>
      </c>
      <c r="N106" t="s">
        <v>79</v>
      </c>
      <c r="O106" t="s">
        <v>74</v>
      </c>
      <c r="P106" t="s">
        <v>74</v>
      </c>
      <c r="Q106" t="s">
        <v>74</v>
      </c>
      <c r="R106" t="s">
        <v>74</v>
      </c>
      <c r="S106" t="s">
        <v>74</v>
      </c>
      <c r="T106" t="s">
        <v>2379</v>
      </c>
      <c r="U106" t="s">
        <v>2380</v>
      </c>
      <c r="V106" t="s">
        <v>2381</v>
      </c>
      <c r="W106" t="s">
        <v>2382</v>
      </c>
      <c r="X106" t="s">
        <v>2383</v>
      </c>
      <c r="Y106" t="s">
        <v>2384</v>
      </c>
      <c r="Z106" t="s">
        <v>2385</v>
      </c>
      <c r="AA106" t="s">
        <v>74</v>
      </c>
      <c r="AB106" t="s">
        <v>74</v>
      </c>
      <c r="AC106" t="s">
        <v>2386</v>
      </c>
      <c r="AD106" t="s">
        <v>2386</v>
      </c>
      <c r="AE106" t="s">
        <v>2387</v>
      </c>
      <c r="AF106" t="s">
        <v>74</v>
      </c>
      <c r="AG106">
        <v>71</v>
      </c>
      <c r="AH106">
        <v>2</v>
      </c>
      <c r="AI106">
        <v>2</v>
      </c>
      <c r="AJ106">
        <v>2</v>
      </c>
      <c r="AK106">
        <v>3</v>
      </c>
      <c r="AL106" t="s">
        <v>994</v>
      </c>
      <c r="AM106" t="s">
        <v>995</v>
      </c>
      <c r="AN106" t="s">
        <v>996</v>
      </c>
      <c r="AO106" t="s">
        <v>74</v>
      </c>
      <c r="AP106" t="s">
        <v>997</v>
      </c>
      <c r="AQ106" t="s">
        <v>74</v>
      </c>
      <c r="AR106" t="s">
        <v>998</v>
      </c>
      <c r="AS106" t="s">
        <v>999</v>
      </c>
      <c r="AT106" t="s">
        <v>2230</v>
      </c>
      <c r="AU106">
        <v>2023</v>
      </c>
      <c r="AV106">
        <v>10</v>
      </c>
      <c r="AW106" t="s">
        <v>74</v>
      </c>
      <c r="AX106" t="s">
        <v>74</v>
      </c>
      <c r="AY106" t="s">
        <v>74</v>
      </c>
      <c r="AZ106" t="s">
        <v>74</v>
      </c>
      <c r="BA106" t="s">
        <v>74</v>
      </c>
      <c r="BB106" t="s">
        <v>74</v>
      </c>
      <c r="BC106" t="s">
        <v>74</v>
      </c>
      <c r="BD106">
        <v>1236788</v>
      </c>
      <c r="BE106" t="s">
        <v>2388</v>
      </c>
      <c r="BF106" t="str">
        <f>HYPERLINK("http://dx.doi.org/10.3389/fmars.2023.1236788","http://dx.doi.org/10.3389/fmars.2023.1236788")</f>
        <v>http://dx.doi.org/10.3389/fmars.2023.1236788</v>
      </c>
      <c r="BG106" t="s">
        <v>74</v>
      </c>
      <c r="BH106" t="s">
        <v>74</v>
      </c>
      <c r="BI106">
        <v>31</v>
      </c>
      <c r="BJ106" t="s">
        <v>1001</v>
      </c>
      <c r="BK106" t="s">
        <v>104</v>
      </c>
      <c r="BL106" t="s">
        <v>1002</v>
      </c>
      <c r="BM106" t="s">
        <v>2389</v>
      </c>
      <c r="BN106" t="s">
        <v>74</v>
      </c>
      <c r="BO106" t="s">
        <v>2390</v>
      </c>
      <c r="BP106" t="s">
        <v>74</v>
      </c>
      <c r="BQ106" t="s">
        <v>74</v>
      </c>
      <c r="BR106" t="s">
        <v>107</v>
      </c>
      <c r="BS106" t="s">
        <v>2391</v>
      </c>
      <c r="BT106" t="str">
        <f>HYPERLINK("https%3A%2F%2Fwww.webofscience.com%2Fwos%2Fwoscc%2Ffull-record%2FWOS:001062100200001","View Full Record in Web of Science")</f>
        <v>View Full Record in Web of Science</v>
      </c>
    </row>
    <row r="107" spans="1:72" x14ac:dyDescent="0.15">
      <c r="A107" t="s">
        <v>72</v>
      </c>
      <c r="B107" t="s">
        <v>2392</v>
      </c>
      <c r="C107" t="s">
        <v>74</v>
      </c>
      <c r="D107" t="s">
        <v>74</v>
      </c>
      <c r="E107" t="s">
        <v>74</v>
      </c>
      <c r="F107" t="s">
        <v>2393</v>
      </c>
      <c r="G107" t="s">
        <v>74</v>
      </c>
      <c r="H107" t="s">
        <v>74</v>
      </c>
      <c r="I107" t="s">
        <v>2394</v>
      </c>
      <c r="J107" t="s">
        <v>2213</v>
      </c>
      <c r="K107" t="s">
        <v>74</v>
      </c>
      <c r="L107" t="s">
        <v>74</v>
      </c>
      <c r="M107" t="s">
        <v>78</v>
      </c>
      <c r="N107" t="s">
        <v>79</v>
      </c>
      <c r="O107" t="s">
        <v>74</v>
      </c>
      <c r="P107" t="s">
        <v>74</v>
      </c>
      <c r="Q107" t="s">
        <v>74</v>
      </c>
      <c r="R107" t="s">
        <v>74</v>
      </c>
      <c r="S107" t="s">
        <v>74</v>
      </c>
      <c r="T107" t="s">
        <v>2395</v>
      </c>
      <c r="U107" t="s">
        <v>2396</v>
      </c>
      <c r="V107" t="s">
        <v>2397</v>
      </c>
      <c r="W107" t="s">
        <v>2398</v>
      </c>
      <c r="X107" t="s">
        <v>2399</v>
      </c>
      <c r="Y107" t="s">
        <v>2400</v>
      </c>
      <c r="Z107" t="s">
        <v>2401</v>
      </c>
      <c r="AA107" t="s">
        <v>74</v>
      </c>
      <c r="AB107" t="s">
        <v>2402</v>
      </c>
      <c r="AC107" t="s">
        <v>2403</v>
      </c>
      <c r="AD107" t="s">
        <v>2404</v>
      </c>
      <c r="AE107" t="s">
        <v>2405</v>
      </c>
      <c r="AF107" t="s">
        <v>74</v>
      </c>
      <c r="AG107">
        <v>52</v>
      </c>
      <c r="AH107">
        <v>2</v>
      </c>
      <c r="AI107">
        <v>2</v>
      </c>
      <c r="AJ107">
        <v>1</v>
      </c>
      <c r="AK107">
        <v>1</v>
      </c>
      <c r="AL107" t="s">
        <v>588</v>
      </c>
      <c r="AM107" t="s">
        <v>589</v>
      </c>
      <c r="AN107" t="s">
        <v>590</v>
      </c>
      <c r="AO107" t="s">
        <v>2226</v>
      </c>
      <c r="AP107" t="s">
        <v>2227</v>
      </c>
      <c r="AQ107" t="s">
        <v>74</v>
      </c>
      <c r="AR107" t="s">
        <v>2228</v>
      </c>
      <c r="AS107" t="s">
        <v>2229</v>
      </c>
      <c r="AT107" t="s">
        <v>2230</v>
      </c>
      <c r="AU107">
        <v>2023</v>
      </c>
      <c r="AV107">
        <v>50</v>
      </c>
      <c r="AW107">
        <v>16</v>
      </c>
      <c r="AX107" t="s">
        <v>74</v>
      </c>
      <c r="AY107" t="s">
        <v>74</v>
      </c>
      <c r="AZ107" t="s">
        <v>74</v>
      </c>
      <c r="BA107" t="s">
        <v>74</v>
      </c>
      <c r="BB107" t="s">
        <v>74</v>
      </c>
      <c r="BC107" t="s">
        <v>74</v>
      </c>
      <c r="BD107" t="s">
        <v>2406</v>
      </c>
      <c r="BE107" t="s">
        <v>2407</v>
      </c>
      <c r="BF107" t="str">
        <f>HYPERLINK("http://dx.doi.org/10.1029/2023GL104724","http://dx.doi.org/10.1029/2023GL104724")</f>
        <v>http://dx.doi.org/10.1029/2023GL104724</v>
      </c>
      <c r="BG107" t="s">
        <v>74</v>
      </c>
      <c r="BH107" t="s">
        <v>74</v>
      </c>
      <c r="BI107">
        <v>12</v>
      </c>
      <c r="BJ107" t="s">
        <v>155</v>
      </c>
      <c r="BK107" t="s">
        <v>104</v>
      </c>
      <c r="BL107" t="s">
        <v>156</v>
      </c>
      <c r="BM107" t="s">
        <v>2408</v>
      </c>
      <c r="BN107" t="s">
        <v>74</v>
      </c>
      <c r="BO107" t="s">
        <v>2287</v>
      </c>
      <c r="BP107" t="s">
        <v>74</v>
      </c>
      <c r="BQ107" t="s">
        <v>74</v>
      </c>
      <c r="BR107" t="s">
        <v>107</v>
      </c>
      <c r="BS107" t="s">
        <v>2409</v>
      </c>
      <c r="BT107" t="str">
        <f>HYPERLINK("https%3A%2F%2Fwww.webofscience.com%2Fwos%2Fwoscc%2Ffull-record%2FWOS:001053825800001","View Full Record in Web of Science")</f>
        <v>View Full Record in Web of Science</v>
      </c>
    </row>
    <row r="108" spans="1:72" x14ac:dyDescent="0.15">
      <c r="A108" t="s">
        <v>72</v>
      </c>
      <c r="B108" t="s">
        <v>2410</v>
      </c>
      <c r="C108" t="s">
        <v>74</v>
      </c>
      <c r="D108" t="s">
        <v>74</v>
      </c>
      <c r="E108" t="s">
        <v>74</v>
      </c>
      <c r="F108" t="s">
        <v>2411</v>
      </c>
      <c r="G108" t="s">
        <v>74</v>
      </c>
      <c r="H108" t="s">
        <v>74</v>
      </c>
      <c r="I108" t="s">
        <v>2412</v>
      </c>
      <c r="J108" t="s">
        <v>2413</v>
      </c>
      <c r="K108" t="s">
        <v>74</v>
      </c>
      <c r="L108" t="s">
        <v>74</v>
      </c>
      <c r="M108" t="s">
        <v>78</v>
      </c>
      <c r="N108" t="s">
        <v>79</v>
      </c>
      <c r="O108" t="s">
        <v>74</v>
      </c>
      <c r="P108" t="s">
        <v>74</v>
      </c>
      <c r="Q108" t="s">
        <v>74</v>
      </c>
      <c r="R108" t="s">
        <v>74</v>
      </c>
      <c r="S108" t="s">
        <v>74</v>
      </c>
      <c r="T108" t="s">
        <v>2414</v>
      </c>
      <c r="U108" t="s">
        <v>2415</v>
      </c>
      <c r="V108" t="s">
        <v>2416</v>
      </c>
      <c r="W108" t="s">
        <v>2417</v>
      </c>
      <c r="X108" t="s">
        <v>2418</v>
      </c>
      <c r="Y108" t="s">
        <v>2419</v>
      </c>
      <c r="Z108" t="s">
        <v>2420</v>
      </c>
      <c r="AA108" t="s">
        <v>2421</v>
      </c>
      <c r="AB108" t="s">
        <v>2422</v>
      </c>
      <c r="AC108" t="s">
        <v>2423</v>
      </c>
      <c r="AD108" t="s">
        <v>2424</v>
      </c>
      <c r="AE108" t="s">
        <v>2425</v>
      </c>
      <c r="AF108" t="s">
        <v>74</v>
      </c>
      <c r="AG108">
        <v>93</v>
      </c>
      <c r="AH108">
        <v>2</v>
      </c>
      <c r="AI108">
        <v>2</v>
      </c>
      <c r="AJ108">
        <v>3</v>
      </c>
      <c r="AK108">
        <v>3</v>
      </c>
      <c r="AL108" t="s">
        <v>588</v>
      </c>
      <c r="AM108" t="s">
        <v>589</v>
      </c>
      <c r="AN108" t="s">
        <v>590</v>
      </c>
      <c r="AO108" t="s">
        <v>2426</v>
      </c>
      <c r="AP108" t="s">
        <v>2427</v>
      </c>
      <c r="AQ108" t="s">
        <v>74</v>
      </c>
      <c r="AR108" t="s">
        <v>2428</v>
      </c>
      <c r="AS108" t="s">
        <v>2429</v>
      </c>
      <c r="AT108" t="s">
        <v>2430</v>
      </c>
      <c r="AU108">
        <v>2023</v>
      </c>
      <c r="AV108">
        <v>128</v>
      </c>
      <c r="AW108">
        <v>16</v>
      </c>
      <c r="AX108" t="s">
        <v>74</v>
      </c>
      <c r="AY108" t="s">
        <v>74</v>
      </c>
      <c r="AZ108" t="s">
        <v>74</v>
      </c>
      <c r="BA108" t="s">
        <v>74</v>
      </c>
      <c r="BB108" t="s">
        <v>74</v>
      </c>
      <c r="BC108" t="s">
        <v>74</v>
      </c>
      <c r="BD108" t="s">
        <v>2431</v>
      </c>
      <c r="BE108" t="s">
        <v>2432</v>
      </c>
      <c r="BF108" t="str">
        <f>HYPERLINK("http://dx.doi.org/10.1029/2022JD038138","http://dx.doi.org/10.1029/2022JD038138")</f>
        <v>http://dx.doi.org/10.1029/2022JD038138</v>
      </c>
      <c r="BG108" t="s">
        <v>74</v>
      </c>
      <c r="BH108" t="s">
        <v>74</v>
      </c>
      <c r="BI108">
        <v>23</v>
      </c>
      <c r="BJ108" t="s">
        <v>103</v>
      </c>
      <c r="BK108" t="s">
        <v>104</v>
      </c>
      <c r="BL108" t="s">
        <v>103</v>
      </c>
      <c r="BM108" t="s">
        <v>2433</v>
      </c>
      <c r="BN108" t="s">
        <v>74</v>
      </c>
      <c r="BO108" t="s">
        <v>549</v>
      </c>
      <c r="BP108" t="s">
        <v>74</v>
      </c>
      <c r="BQ108" t="s">
        <v>74</v>
      </c>
      <c r="BR108" t="s">
        <v>107</v>
      </c>
      <c r="BS108" t="s">
        <v>2434</v>
      </c>
      <c r="BT108" t="str">
        <f>HYPERLINK("https%3A%2F%2Fwww.webofscience.com%2Fwos%2Fwoscc%2Ffull-record%2FWOS:001191616100001","View Full Record in Web of Science")</f>
        <v>View Full Record in Web of Science</v>
      </c>
    </row>
    <row r="109" spans="1:72" x14ac:dyDescent="0.15">
      <c r="A109" t="s">
        <v>72</v>
      </c>
      <c r="B109" t="s">
        <v>2435</v>
      </c>
      <c r="C109" t="s">
        <v>74</v>
      </c>
      <c r="D109" t="s">
        <v>74</v>
      </c>
      <c r="E109" t="s">
        <v>74</v>
      </c>
      <c r="F109" t="s">
        <v>2436</v>
      </c>
      <c r="G109" t="s">
        <v>74</v>
      </c>
      <c r="H109" t="s">
        <v>74</v>
      </c>
      <c r="I109" t="s">
        <v>2437</v>
      </c>
      <c r="J109" t="s">
        <v>2438</v>
      </c>
      <c r="K109" t="s">
        <v>74</v>
      </c>
      <c r="L109" t="s">
        <v>74</v>
      </c>
      <c r="M109" t="s">
        <v>78</v>
      </c>
      <c r="N109" t="s">
        <v>2439</v>
      </c>
      <c r="O109" t="s">
        <v>74</v>
      </c>
      <c r="P109" t="s">
        <v>74</v>
      </c>
      <c r="Q109" t="s">
        <v>74</v>
      </c>
      <c r="R109" t="s">
        <v>74</v>
      </c>
      <c r="S109" t="s">
        <v>74</v>
      </c>
      <c r="T109" t="s">
        <v>74</v>
      </c>
      <c r="U109" t="s">
        <v>74</v>
      </c>
      <c r="V109" t="s">
        <v>74</v>
      </c>
      <c r="W109" t="s">
        <v>2440</v>
      </c>
      <c r="X109" t="s">
        <v>2441</v>
      </c>
      <c r="Y109" t="s">
        <v>2442</v>
      </c>
      <c r="Z109" t="s">
        <v>2443</v>
      </c>
      <c r="AA109" t="s">
        <v>74</v>
      </c>
      <c r="AB109" t="s">
        <v>74</v>
      </c>
      <c r="AC109" t="s">
        <v>74</v>
      </c>
      <c r="AD109" t="s">
        <v>74</v>
      </c>
      <c r="AE109" t="s">
        <v>74</v>
      </c>
      <c r="AF109" t="s">
        <v>74</v>
      </c>
      <c r="AG109">
        <v>1</v>
      </c>
      <c r="AH109">
        <v>0</v>
      </c>
      <c r="AI109">
        <v>0</v>
      </c>
      <c r="AJ109">
        <v>0</v>
      </c>
      <c r="AK109">
        <v>0</v>
      </c>
      <c r="AL109" t="s">
        <v>172</v>
      </c>
      <c r="AM109" t="s">
        <v>173</v>
      </c>
      <c r="AN109" t="s">
        <v>174</v>
      </c>
      <c r="AO109" t="s">
        <v>2444</v>
      </c>
      <c r="AP109" t="s">
        <v>2445</v>
      </c>
      <c r="AQ109" t="s">
        <v>74</v>
      </c>
      <c r="AR109" t="s">
        <v>2446</v>
      </c>
      <c r="AS109" t="s">
        <v>2447</v>
      </c>
      <c r="AT109" t="s">
        <v>2448</v>
      </c>
      <c r="AU109">
        <v>2023</v>
      </c>
      <c r="AV109">
        <v>293</v>
      </c>
      <c r="AW109">
        <v>1</v>
      </c>
      <c r="AX109" t="s">
        <v>74</v>
      </c>
      <c r="AY109" t="s">
        <v>74</v>
      </c>
      <c r="AZ109" t="s">
        <v>74</v>
      </c>
      <c r="BA109" t="s">
        <v>74</v>
      </c>
      <c r="BB109">
        <v>126</v>
      </c>
      <c r="BC109">
        <v>128</v>
      </c>
      <c r="BD109" t="s">
        <v>74</v>
      </c>
      <c r="BE109" t="s">
        <v>74</v>
      </c>
      <c r="BF109" t="s">
        <v>74</v>
      </c>
      <c r="BG109" t="s">
        <v>74</v>
      </c>
      <c r="BH109" t="s">
        <v>74</v>
      </c>
      <c r="BI109">
        <v>4</v>
      </c>
      <c r="BJ109" t="s">
        <v>1707</v>
      </c>
      <c r="BK109" t="s">
        <v>104</v>
      </c>
      <c r="BL109" t="s">
        <v>1002</v>
      </c>
      <c r="BM109" t="s">
        <v>2449</v>
      </c>
      <c r="BN109" t="s">
        <v>74</v>
      </c>
      <c r="BO109" t="s">
        <v>74</v>
      </c>
      <c r="BP109" t="s">
        <v>74</v>
      </c>
      <c r="BQ109" t="s">
        <v>74</v>
      </c>
      <c r="BR109" t="s">
        <v>107</v>
      </c>
      <c r="BS109" t="s">
        <v>2450</v>
      </c>
      <c r="BT109" t="str">
        <f>HYPERLINK("https%3A%2F%2Fwww.webofscience.com%2Fwos%2Fwoscc%2Ffull-record%2FWOS:001198066600002","View Full Record in Web of Science")</f>
        <v>View Full Record in Web of Science</v>
      </c>
    </row>
    <row r="110" spans="1:72" x14ac:dyDescent="0.15">
      <c r="A110" t="s">
        <v>72</v>
      </c>
      <c r="B110" t="s">
        <v>2451</v>
      </c>
      <c r="C110" t="s">
        <v>74</v>
      </c>
      <c r="D110" t="s">
        <v>74</v>
      </c>
      <c r="E110" t="s">
        <v>74</v>
      </c>
      <c r="F110" t="s">
        <v>2452</v>
      </c>
      <c r="G110" t="s">
        <v>74</v>
      </c>
      <c r="H110" t="s">
        <v>74</v>
      </c>
      <c r="I110" t="s">
        <v>2453</v>
      </c>
      <c r="J110" t="s">
        <v>1763</v>
      </c>
      <c r="K110" t="s">
        <v>74</v>
      </c>
      <c r="L110" t="s">
        <v>74</v>
      </c>
      <c r="M110" t="s">
        <v>78</v>
      </c>
      <c r="N110" t="s">
        <v>79</v>
      </c>
      <c r="O110" t="s">
        <v>74</v>
      </c>
      <c r="P110" t="s">
        <v>74</v>
      </c>
      <c r="Q110" t="s">
        <v>74</v>
      </c>
      <c r="R110" t="s">
        <v>74</v>
      </c>
      <c r="S110" t="s">
        <v>74</v>
      </c>
      <c r="T110" t="s">
        <v>74</v>
      </c>
      <c r="U110" t="s">
        <v>2454</v>
      </c>
      <c r="V110" t="s">
        <v>2455</v>
      </c>
      <c r="W110" t="s">
        <v>2456</v>
      </c>
      <c r="X110" t="s">
        <v>2457</v>
      </c>
      <c r="Y110" t="s">
        <v>2458</v>
      </c>
      <c r="Z110" t="s">
        <v>2459</v>
      </c>
      <c r="AA110" t="s">
        <v>74</v>
      </c>
      <c r="AB110" t="s">
        <v>2460</v>
      </c>
      <c r="AC110" t="s">
        <v>2461</v>
      </c>
      <c r="AD110" t="s">
        <v>2462</v>
      </c>
      <c r="AE110" t="s">
        <v>2463</v>
      </c>
      <c r="AF110" t="s">
        <v>74</v>
      </c>
      <c r="AG110">
        <v>128</v>
      </c>
      <c r="AH110">
        <v>1</v>
      </c>
      <c r="AI110">
        <v>1</v>
      </c>
      <c r="AJ110">
        <v>0</v>
      </c>
      <c r="AK110">
        <v>0</v>
      </c>
      <c r="AL110" t="s">
        <v>1775</v>
      </c>
      <c r="AM110" t="s">
        <v>1776</v>
      </c>
      <c r="AN110" t="s">
        <v>1777</v>
      </c>
      <c r="AO110" t="s">
        <v>1778</v>
      </c>
      <c r="AP110" t="s">
        <v>1779</v>
      </c>
      <c r="AQ110" t="s">
        <v>74</v>
      </c>
      <c r="AR110" t="s">
        <v>1763</v>
      </c>
      <c r="AS110" t="s">
        <v>1780</v>
      </c>
      <c r="AT110" t="s">
        <v>2448</v>
      </c>
      <c r="AU110">
        <v>2023</v>
      </c>
      <c r="AV110">
        <v>17</v>
      </c>
      <c r="AW110">
        <v>8</v>
      </c>
      <c r="AX110" t="s">
        <v>74</v>
      </c>
      <c r="AY110" t="s">
        <v>74</v>
      </c>
      <c r="AZ110" t="s">
        <v>74</v>
      </c>
      <c r="BA110" t="s">
        <v>74</v>
      </c>
      <c r="BB110">
        <v>3593</v>
      </c>
      <c r="BC110">
        <v>3616</v>
      </c>
      <c r="BD110" t="s">
        <v>74</v>
      </c>
      <c r="BE110" t="s">
        <v>2464</v>
      </c>
      <c r="BF110" t="str">
        <f>HYPERLINK("http://dx.doi.org/10.5194/tc-17-3593-2023","http://dx.doi.org/10.5194/tc-17-3593-2023")</f>
        <v>http://dx.doi.org/10.5194/tc-17-3593-2023</v>
      </c>
      <c r="BG110" t="s">
        <v>74</v>
      </c>
      <c r="BH110" t="s">
        <v>74</v>
      </c>
      <c r="BI110">
        <v>24</v>
      </c>
      <c r="BJ110" t="s">
        <v>1783</v>
      </c>
      <c r="BK110" t="s">
        <v>104</v>
      </c>
      <c r="BL110" t="s">
        <v>1784</v>
      </c>
      <c r="BM110" t="s">
        <v>2465</v>
      </c>
      <c r="BN110" t="s">
        <v>74</v>
      </c>
      <c r="BO110" t="s">
        <v>1048</v>
      </c>
      <c r="BP110" t="s">
        <v>74</v>
      </c>
      <c r="BQ110" t="s">
        <v>74</v>
      </c>
      <c r="BR110" t="s">
        <v>107</v>
      </c>
      <c r="BS110" t="s">
        <v>2466</v>
      </c>
      <c r="BT110" t="str">
        <f>HYPERLINK("https%3A%2F%2Fwww.webofscience.com%2Fwos%2Fwoscc%2Ffull-record%2FWOS:001169005300001","View Full Record in Web of Science")</f>
        <v>View Full Record in Web of Science</v>
      </c>
    </row>
    <row r="111" spans="1:72" x14ac:dyDescent="0.15">
      <c r="A111" t="s">
        <v>72</v>
      </c>
      <c r="B111" t="s">
        <v>2467</v>
      </c>
      <c r="C111" t="s">
        <v>74</v>
      </c>
      <c r="D111" t="s">
        <v>74</v>
      </c>
      <c r="E111" t="s">
        <v>74</v>
      </c>
      <c r="F111" t="s">
        <v>2468</v>
      </c>
      <c r="G111" t="s">
        <v>74</v>
      </c>
      <c r="H111" t="s">
        <v>74</v>
      </c>
      <c r="I111" t="s">
        <v>2469</v>
      </c>
      <c r="J111" t="s">
        <v>2470</v>
      </c>
      <c r="K111" t="s">
        <v>74</v>
      </c>
      <c r="L111" t="s">
        <v>74</v>
      </c>
      <c r="M111" t="s">
        <v>78</v>
      </c>
      <c r="N111" t="s">
        <v>79</v>
      </c>
      <c r="O111" t="s">
        <v>74</v>
      </c>
      <c r="P111" t="s">
        <v>74</v>
      </c>
      <c r="Q111" t="s">
        <v>74</v>
      </c>
      <c r="R111" t="s">
        <v>74</v>
      </c>
      <c r="S111" t="s">
        <v>74</v>
      </c>
      <c r="T111" t="s">
        <v>2471</v>
      </c>
      <c r="U111" t="s">
        <v>2472</v>
      </c>
      <c r="V111" t="s">
        <v>2473</v>
      </c>
      <c r="W111" t="s">
        <v>2474</v>
      </c>
      <c r="X111" t="s">
        <v>2475</v>
      </c>
      <c r="Y111" t="s">
        <v>2476</v>
      </c>
      <c r="Z111" t="s">
        <v>2477</v>
      </c>
      <c r="AA111" t="s">
        <v>74</v>
      </c>
      <c r="AB111" t="s">
        <v>2478</v>
      </c>
      <c r="AC111" t="s">
        <v>2479</v>
      </c>
      <c r="AD111" t="s">
        <v>2480</v>
      </c>
      <c r="AE111" t="s">
        <v>2481</v>
      </c>
      <c r="AF111" t="s">
        <v>74</v>
      </c>
      <c r="AG111">
        <v>110</v>
      </c>
      <c r="AH111">
        <v>4</v>
      </c>
      <c r="AI111">
        <v>4</v>
      </c>
      <c r="AJ111">
        <v>6</v>
      </c>
      <c r="AK111">
        <v>6</v>
      </c>
      <c r="AL111" t="s">
        <v>2305</v>
      </c>
      <c r="AM111" t="s">
        <v>538</v>
      </c>
      <c r="AN111" t="s">
        <v>2306</v>
      </c>
      <c r="AO111" t="s">
        <v>2482</v>
      </c>
      <c r="AP111" t="s">
        <v>2483</v>
      </c>
      <c r="AQ111" t="s">
        <v>74</v>
      </c>
      <c r="AR111" t="s">
        <v>2484</v>
      </c>
      <c r="AS111" t="s">
        <v>2485</v>
      </c>
      <c r="AT111" t="s">
        <v>2486</v>
      </c>
      <c r="AU111">
        <v>2023</v>
      </c>
      <c r="AV111">
        <v>316</v>
      </c>
      <c r="AW111" t="s">
        <v>74</v>
      </c>
      <c r="AX111" t="s">
        <v>74</v>
      </c>
      <c r="AY111" t="s">
        <v>74</v>
      </c>
      <c r="AZ111" t="s">
        <v>74</v>
      </c>
      <c r="BA111" t="s">
        <v>74</v>
      </c>
      <c r="BB111" t="s">
        <v>74</v>
      </c>
      <c r="BC111" t="s">
        <v>74</v>
      </c>
      <c r="BD111">
        <v>108259</v>
      </c>
      <c r="BE111" t="s">
        <v>2487</v>
      </c>
      <c r="BF111" t="str">
        <f>HYPERLINK("http://dx.doi.org/10.1016/j.quascirev.2023.108259","http://dx.doi.org/10.1016/j.quascirev.2023.108259")</f>
        <v>http://dx.doi.org/10.1016/j.quascirev.2023.108259</v>
      </c>
      <c r="BG111" t="s">
        <v>74</v>
      </c>
      <c r="BH111" t="s">
        <v>1812</v>
      </c>
      <c r="BI111">
        <v>22</v>
      </c>
      <c r="BJ111" t="s">
        <v>1783</v>
      </c>
      <c r="BK111" t="s">
        <v>104</v>
      </c>
      <c r="BL111" t="s">
        <v>1784</v>
      </c>
      <c r="BM111" t="s">
        <v>2488</v>
      </c>
      <c r="BN111" t="s">
        <v>74</v>
      </c>
      <c r="BO111" t="s">
        <v>74</v>
      </c>
      <c r="BP111" t="s">
        <v>74</v>
      </c>
      <c r="BQ111" t="s">
        <v>74</v>
      </c>
      <c r="BR111" t="s">
        <v>107</v>
      </c>
      <c r="BS111" t="s">
        <v>2489</v>
      </c>
      <c r="BT111" t="str">
        <f>HYPERLINK("https%3A%2F%2Fwww.webofscience.com%2Fwos%2Fwoscc%2Ffull-record%2FWOS:001070595200001","View Full Record in Web of Science")</f>
        <v>View Full Record in Web of Science</v>
      </c>
    </row>
    <row r="112" spans="1:72" x14ac:dyDescent="0.15">
      <c r="A112" t="s">
        <v>72</v>
      </c>
      <c r="B112" t="s">
        <v>2490</v>
      </c>
      <c r="C112" t="s">
        <v>74</v>
      </c>
      <c r="D112" t="s">
        <v>74</v>
      </c>
      <c r="E112" t="s">
        <v>74</v>
      </c>
      <c r="F112" t="s">
        <v>2491</v>
      </c>
      <c r="G112" t="s">
        <v>74</v>
      </c>
      <c r="H112" t="s">
        <v>74</v>
      </c>
      <c r="I112" t="s">
        <v>2492</v>
      </c>
      <c r="J112" t="s">
        <v>2493</v>
      </c>
      <c r="K112" t="s">
        <v>74</v>
      </c>
      <c r="L112" t="s">
        <v>74</v>
      </c>
      <c r="M112" t="s">
        <v>78</v>
      </c>
      <c r="N112" t="s">
        <v>79</v>
      </c>
      <c r="O112" t="s">
        <v>74</v>
      </c>
      <c r="P112" t="s">
        <v>74</v>
      </c>
      <c r="Q112" t="s">
        <v>74</v>
      </c>
      <c r="R112" t="s">
        <v>74</v>
      </c>
      <c r="S112" t="s">
        <v>74</v>
      </c>
      <c r="T112" t="s">
        <v>74</v>
      </c>
      <c r="U112" t="s">
        <v>2494</v>
      </c>
      <c r="V112" t="s">
        <v>2495</v>
      </c>
      <c r="W112" t="s">
        <v>2496</v>
      </c>
      <c r="X112" t="s">
        <v>2497</v>
      </c>
      <c r="Y112" t="s">
        <v>2498</v>
      </c>
      <c r="Z112" t="s">
        <v>2499</v>
      </c>
      <c r="AA112" t="s">
        <v>2500</v>
      </c>
      <c r="AB112" t="s">
        <v>2501</v>
      </c>
      <c r="AC112" t="s">
        <v>2502</v>
      </c>
      <c r="AD112" t="s">
        <v>2503</v>
      </c>
      <c r="AE112" t="s">
        <v>2504</v>
      </c>
      <c r="AF112" t="s">
        <v>74</v>
      </c>
      <c r="AG112">
        <v>104</v>
      </c>
      <c r="AH112">
        <v>0</v>
      </c>
      <c r="AI112">
        <v>1</v>
      </c>
      <c r="AJ112">
        <v>3</v>
      </c>
      <c r="AK112">
        <v>3</v>
      </c>
      <c r="AL112" t="s">
        <v>1775</v>
      </c>
      <c r="AM112" t="s">
        <v>1776</v>
      </c>
      <c r="AN112" t="s">
        <v>1777</v>
      </c>
      <c r="AO112" t="s">
        <v>2505</v>
      </c>
      <c r="AP112" t="s">
        <v>2506</v>
      </c>
      <c r="AQ112" t="s">
        <v>74</v>
      </c>
      <c r="AR112" t="s">
        <v>2493</v>
      </c>
      <c r="AS112" t="s">
        <v>2507</v>
      </c>
      <c r="AT112" t="s">
        <v>2508</v>
      </c>
      <c r="AU112">
        <v>2023</v>
      </c>
      <c r="AV112">
        <v>20</v>
      </c>
      <c r="AW112">
        <v>16</v>
      </c>
      <c r="AX112" t="s">
        <v>74</v>
      </c>
      <c r="AY112" t="s">
        <v>74</v>
      </c>
      <c r="AZ112" t="s">
        <v>74</v>
      </c>
      <c r="BA112" t="s">
        <v>74</v>
      </c>
      <c r="BB112">
        <v>3573</v>
      </c>
      <c r="BC112">
        <v>3591</v>
      </c>
      <c r="BD112" t="s">
        <v>74</v>
      </c>
      <c r="BE112" t="s">
        <v>2509</v>
      </c>
      <c r="BF112" t="str">
        <f>HYPERLINK("http://dx.doi.org/10.5194/bg-20-3573-2023","http://dx.doi.org/10.5194/bg-20-3573-2023")</f>
        <v>http://dx.doi.org/10.5194/bg-20-3573-2023</v>
      </c>
      <c r="BG112" t="s">
        <v>74</v>
      </c>
      <c r="BH112" t="s">
        <v>74</v>
      </c>
      <c r="BI112">
        <v>19</v>
      </c>
      <c r="BJ112" t="s">
        <v>247</v>
      </c>
      <c r="BK112" t="s">
        <v>104</v>
      </c>
      <c r="BL112" t="s">
        <v>248</v>
      </c>
      <c r="BM112" t="s">
        <v>2510</v>
      </c>
      <c r="BN112" t="s">
        <v>74</v>
      </c>
      <c r="BO112" t="s">
        <v>2511</v>
      </c>
      <c r="BP112" t="s">
        <v>74</v>
      </c>
      <c r="BQ112" t="s">
        <v>74</v>
      </c>
      <c r="BR112" t="s">
        <v>107</v>
      </c>
      <c r="BS112" t="s">
        <v>2512</v>
      </c>
      <c r="BT112" t="str">
        <f>HYPERLINK("https%3A%2F%2Fwww.webofscience.com%2Fwos%2Fwoscc%2Ffull-record%2FWOS:001169013700001","View Full Record in Web of Science")</f>
        <v>View Full Record in Web of Science</v>
      </c>
    </row>
    <row r="113" spans="1:72" x14ac:dyDescent="0.15">
      <c r="A113" t="s">
        <v>72</v>
      </c>
      <c r="B113" t="s">
        <v>2513</v>
      </c>
      <c r="C113" t="s">
        <v>74</v>
      </c>
      <c r="D113" t="s">
        <v>74</v>
      </c>
      <c r="E113" t="s">
        <v>74</v>
      </c>
      <c r="F113" t="s">
        <v>2514</v>
      </c>
      <c r="G113" t="s">
        <v>74</v>
      </c>
      <c r="H113" t="s">
        <v>74</v>
      </c>
      <c r="I113" t="s">
        <v>2515</v>
      </c>
      <c r="J113" t="s">
        <v>2516</v>
      </c>
      <c r="K113" t="s">
        <v>74</v>
      </c>
      <c r="L113" t="s">
        <v>74</v>
      </c>
      <c r="M113" t="s">
        <v>78</v>
      </c>
      <c r="N113" t="s">
        <v>79</v>
      </c>
      <c r="O113" t="s">
        <v>74</v>
      </c>
      <c r="P113" t="s">
        <v>74</v>
      </c>
      <c r="Q113" t="s">
        <v>74</v>
      </c>
      <c r="R113" t="s">
        <v>74</v>
      </c>
      <c r="S113" t="s">
        <v>74</v>
      </c>
      <c r="T113" t="s">
        <v>74</v>
      </c>
      <c r="U113" t="s">
        <v>2517</v>
      </c>
      <c r="V113" t="s">
        <v>2518</v>
      </c>
      <c r="W113" t="s">
        <v>2519</v>
      </c>
      <c r="X113" t="s">
        <v>2520</v>
      </c>
      <c r="Y113" t="s">
        <v>2521</v>
      </c>
      <c r="Z113" t="s">
        <v>2522</v>
      </c>
      <c r="AA113" t="s">
        <v>2523</v>
      </c>
      <c r="AB113" t="s">
        <v>2524</v>
      </c>
      <c r="AC113" t="s">
        <v>2525</v>
      </c>
      <c r="AD113" t="s">
        <v>2526</v>
      </c>
      <c r="AE113" t="s">
        <v>2527</v>
      </c>
      <c r="AF113" t="s">
        <v>74</v>
      </c>
      <c r="AG113">
        <v>71</v>
      </c>
      <c r="AH113">
        <v>0</v>
      </c>
      <c r="AI113">
        <v>0</v>
      </c>
      <c r="AJ113">
        <v>0</v>
      </c>
      <c r="AK113">
        <v>0</v>
      </c>
      <c r="AL113" t="s">
        <v>460</v>
      </c>
      <c r="AM113" t="s">
        <v>461</v>
      </c>
      <c r="AN113" t="s">
        <v>462</v>
      </c>
      <c r="AO113" t="s">
        <v>2528</v>
      </c>
      <c r="AP113" t="s">
        <v>2529</v>
      </c>
      <c r="AQ113" t="s">
        <v>74</v>
      </c>
      <c r="AR113" t="s">
        <v>2530</v>
      </c>
      <c r="AS113" t="s">
        <v>2531</v>
      </c>
      <c r="AT113" t="s">
        <v>1810</v>
      </c>
      <c r="AU113">
        <v>2023</v>
      </c>
      <c r="AV113">
        <v>68</v>
      </c>
      <c r="AW113">
        <v>10</v>
      </c>
      <c r="AX113" t="s">
        <v>74</v>
      </c>
      <c r="AY113" t="s">
        <v>74</v>
      </c>
      <c r="AZ113" t="s">
        <v>74</v>
      </c>
      <c r="BA113" t="s">
        <v>74</v>
      </c>
      <c r="BB113">
        <v>2305</v>
      </c>
      <c r="BC113">
        <v>2326</v>
      </c>
      <c r="BD113" t="s">
        <v>74</v>
      </c>
      <c r="BE113" t="s">
        <v>2532</v>
      </c>
      <c r="BF113" t="str">
        <f>HYPERLINK("http://dx.doi.org/10.1002/lno.12424","http://dx.doi.org/10.1002/lno.12424")</f>
        <v>http://dx.doi.org/10.1002/lno.12424</v>
      </c>
      <c r="BG113" t="s">
        <v>74</v>
      </c>
      <c r="BH113" t="s">
        <v>1812</v>
      </c>
      <c r="BI113">
        <v>22</v>
      </c>
      <c r="BJ113" t="s">
        <v>2533</v>
      </c>
      <c r="BK113" t="s">
        <v>104</v>
      </c>
      <c r="BL113" t="s">
        <v>569</v>
      </c>
      <c r="BM113" t="s">
        <v>2534</v>
      </c>
      <c r="BN113" t="s">
        <v>74</v>
      </c>
      <c r="BO113" t="s">
        <v>1217</v>
      </c>
      <c r="BP113" t="s">
        <v>74</v>
      </c>
      <c r="BQ113" t="s">
        <v>74</v>
      </c>
      <c r="BR113" t="s">
        <v>107</v>
      </c>
      <c r="BS113" t="s">
        <v>2535</v>
      </c>
      <c r="BT113" t="str">
        <f>HYPERLINK("https%3A%2F%2Fwww.webofscience.com%2Fwos%2Fwoscc%2Ffull-record%2FWOS:001077025400001","View Full Record in Web of Science")</f>
        <v>View Full Record in Web of Science</v>
      </c>
    </row>
    <row r="114" spans="1:72" x14ac:dyDescent="0.15">
      <c r="A114" t="s">
        <v>72</v>
      </c>
      <c r="B114" t="s">
        <v>2536</v>
      </c>
      <c r="C114" t="s">
        <v>74</v>
      </c>
      <c r="D114" t="s">
        <v>74</v>
      </c>
      <c r="E114" t="s">
        <v>74</v>
      </c>
      <c r="F114" t="s">
        <v>2537</v>
      </c>
      <c r="G114" t="s">
        <v>74</v>
      </c>
      <c r="H114" t="s">
        <v>74</v>
      </c>
      <c r="I114" t="s">
        <v>2538</v>
      </c>
      <c r="J114" t="s">
        <v>2539</v>
      </c>
      <c r="K114" t="s">
        <v>74</v>
      </c>
      <c r="L114" t="s">
        <v>74</v>
      </c>
      <c r="M114" t="s">
        <v>78</v>
      </c>
      <c r="N114" t="s">
        <v>79</v>
      </c>
      <c r="O114" t="s">
        <v>74</v>
      </c>
      <c r="P114" t="s">
        <v>74</v>
      </c>
      <c r="Q114" t="s">
        <v>74</v>
      </c>
      <c r="R114" t="s">
        <v>74</v>
      </c>
      <c r="S114" t="s">
        <v>74</v>
      </c>
      <c r="T114" t="s">
        <v>2540</v>
      </c>
      <c r="U114" t="s">
        <v>2541</v>
      </c>
      <c r="V114" t="s">
        <v>2542</v>
      </c>
      <c r="W114" t="s">
        <v>2543</v>
      </c>
      <c r="X114" t="s">
        <v>2544</v>
      </c>
      <c r="Y114" t="s">
        <v>2545</v>
      </c>
      <c r="Z114" t="s">
        <v>2546</v>
      </c>
      <c r="AA114" t="s">
        <v>2547</v>
      </c>
      <c r="AB114" t="s">
        <v>2548</v>
      </c>
      <c r="AC114" t="s">
        <v>2549</v>
      </c>
      <c r="AD114" t="s">
        <v>2550</v>
      </c>
      <c r="AE114" t="s">
        <v>2551</v>
      </c>
      <c r="AF114" t="s">
        <v>74</v>
      </c>
      <c r="AG114">
        <v>122</v>
      </c>
      <c r="AH114">
        <v>0</v>
      </c>
      <c r="AI114">
        <v>0</v>
      </c>
      <c r="AJ114">
        <v>2</v>
      </c>
      <c r="AK114">
        <v>3</v>
      </c>
      <c r="AL114" t="s">
        <v>994</v>
      </c>
      <c r="AM114" t="s">
        <v>995</v>
      </c>
      <c r="AN114" t="s">
        <v>996</v>
      </c>
      <c r="AO114" t="s">
        <v>74</v>
      </c>
      <c r="AP114" t="s">
        <v>2552</v>
      </c>
      <c r="AQ114" t="s">
        <v>74</v>
      </c>
      <c r="AR114" t="s">
        <v>2553</v>
      </c>
      <c r="AS114" t="s">
        <v>2554</v>
      </c>
      <c r="AT114" t="s">
        <v>2508</v>
      </c>
      <c r="AU114">
        <v>2023</v>
      </c>
      <c r="AV114">
        <v>11</v>
      </c>
      <c r="AW114" t="s">
        <v>74</v>
      </c>
      <c r="AX114" t="s">
        <v>74</v>
      </c>
      <c r="AY114" t="s">
        <v>74</v>
      </c>
      <c r="AZ114" t="s">
        <v>74</v>
      </c>
      <c r="BA114" t="s">
        <v>74</v>
      </c>
      <c r="BB114" t="s">
        <v>74</v>
      </c>
      <c r="BC114" t="s">
        <v>74</v>
      </c>
      <c r="BD114">
        <v>1234347</v>
      </c>
      <c r="BE114" t="s">
        <v>2555</v>
      </c>
      <c r="BF114" t="str">
        <f>HYPERLINK("http://dx.doi.org/10.3389/feart.2023.1234347","http://dx.doi.org/10.3389/feart.2023.1234347")</f>
        <v>http://dx.doi.org/10.3389/feart.2023.1234347</v>
      </c>
      <c r="BG114" t="s">
        <v>74</v>
      </c>
      <c r="BH114" t="s">
        <v>74</v>
      </c>
      <c r="BI114">
        <v>23</v>
      </c>
      <c r="BJ114" t="s">
        <v>155</v>
      </c>
      <c r="BK114" t="s">
        <v>104</v>
      </c>
      <c r="BL114" t="s">
        <v>156</v>
      </c>
      <c r="BM114" t="s">
        <v>2556</v>
      </c>
      <c r="BN114" t="s">
        <v>74</v>
      </c>
      <c r="BO114" t="s">
        <v>206</v>
      </c>
      <c r="BP114" t="s">
        <v>74</v>
      </c>
      <c r="BQ114" t="s">
        <v>74</v>
      </c>
      <c r="BR114" t="s">
        <v>107</v>
      </c>
      <c r="BS114" t="s">
        <v>2557</v>
      </c>
      <c r="BT114" t="str">
        <f>HYPERLINK("https%3A%2F%2Fwww.webofscience.com%2Fwos%2Fwoscc%2Ffull-record%2FWOS:001063581500001","View Full Record in Web of Science")</f>
        <v>View Full Record in Web of Science</v>
      </c>
    </row>
    <row r="115" spans="1:72" x14ac:dyDescent="0.15">
      <c r="A115" t="s">
        <v>72</v>
      </c>
      <c r="B115" t="s">
        <v>2558</v>
      </c>
      <c r="C115" t="s">
        <v>74</v>
      </c>
      <c r="D115" t="s">
        <v>74</v>
      </c>
      <c r="E115" t="s">
        <v>74</v>
      </c>
      <c r="F115" t="s">
        <v>2559</v>
      </c>
      <c r="G115" t="s">
        <v>74</v>
      </c>
      <c r="H115" t="s">
        <v>74</v>
      </c>
      <c r="I115" t="s">
        <v>2560</v>
      </c>
      <c r="J115" t="s">
        <v>2193</v>
      </c>
      <c r="K115" t="s">
        <v>74</v>
      </c>
      <c r="L115" t="s">
        <v>74</v>
      </c>
      <c r="M115" t="s">
        <v>78</v>
      </c>
      <c r="N115" t="s">
        <v>79</v>
      </c>
      <c r="O115" t="s">
        <v>74</v>
      </c>
      <c r="P115" t="s">
        <v>74</v>
      </c>
      <c r="Q115" t="s">
        <v>74</v>
      </c>
      <c r="R115" t="s">
        <v>74</v>
      </c>
      <c r="S115" t="s">
        <v>74</v>
      </c>
      <c r="T115" t="s">
        <v>74</v>
      </c>
      <c r="U115" t="s">
        <v>2561</v>
      </c>
      <c r="V115" t="s">
        <v>2562</v>
      </c>
      <c r="W115" t="s">
        <v>2563</v>
      </c>
      <c r="X115" t="s">
        <v>2564</v>
      </c>
      <c r="Y115" t="s">
        <v>2565</v>
      </c>
      <c r="Z115" t="s">
        <v>2566</v>
      </c>
      <c r="AA115" t="s">
        <v>2567</v>
      </c>
      <c r="AB115" t="s">
        <v>2568</v>
      </c>
      <c r="AC115" t="s">
        <v>74</v>
      </c>
      <c r="AD115" t="s">
        <v>74</v>
      </c>
      <c r="AE115" t="s">
        <v>74</v>
      </c>
      <c r="AF115" t="s">
        <v>74</v>
      </c>
      <c r="AG115">
        <v>55</v>
      </c>
      <c r="AH115">
        <v>0</v>
      </c>
      <c r="AI115">
        <v>0</v>
      </c>
      <c r="AJ115">
        <v>8</v>
      </c>
      <c r="AK115">
        <v>8</v>
      </c>
      <c r="AL115" t="s">
        <v>146</v>
      </c>
      <c r="AM115" t="s">
        <v>147</v>
      </c>
      <c r="AN115" t="s">
        <v>148</v>
      </c>
      <c r="AO115" t="s">
        <v>2204</v>
      </c>
      <c r="AP115" t="s">
        <v>74</v>
      </c>
      <c r="AQ115" t="s">
        <v>74</v>
      </c>
      <c r="AR115" t="s">
        <v>2205</v>
      </c>
      <c r="AS115" t="s">
        <v>2206</v>
      </c>
      <c r="AT115" t="s">
        <v>2569</v>
      </c>
      <c r="AU115">
        <v>2023</v>
      </c>
      <c r="AV115">
        <v>13</v>
      </c>
      <c r="AW115">
        <v>1</v>
      </c>
      <c r="AX115" t="s">
        <v>74</v>
      </c>
      <c r="AY115" t="s">
        <v>74</v>
      </c>
      <c r="AZ115" t="s">
        <v>74</v>
      </c>
      <c r="BA115" t="s">
        <v>74</v>
      </c>
      <c r="BB115" t="s">
        <v>74</v>
      </c>
      <c r="BC115" t="s">
        <v>74</v>
      </c>
      <c r="BD115">
        <v>13873</v>
      </c>
      <c r="BE115" t="s">
        <v>2570</v>
      </c>
      <c r="BF115" t="str">
        <f>HYPERLINK("http://dx.doi.org/10.1038/s41598-023-40129-1","http://dx.doi.org/10.1038/s41598-023-40129-1")</f>
        <v>http://dx.doi.org/10.1038/s41598-023-40129-1</v>
      </c>
      <c r="BG115" t="s">
        <v>74</v>
      </c>
      <c r="BH115" t="s">
        <v>74</v>
      </c>
      <c r="BI115">
        <v>10</v>
      </c>
      <c r="BJ115" t="s">
        <v>1881</v>
      </c>
      <c r="BK115" t="s">
        <v>104</v>
      </c>
      <c r="BL115" t="s">
        <v>1882</v>
      </c>
      <c r="BM115" t="s">
        <v>2571</v>
      </c>
      <c r="BN115">
        <v>37620392</v>
      </c>
      <c r="BO115" t="s">
        <v>181</v>
      </c>
      <c r="BP115" t="s">
        <v>74</v>
      </c>
      <c r="BQ115" t="s">
        <v>74</v>
      </c>
      <c r="BR115" t="s">
        <v>107</v>
      </c>
      <c r="BS115" t="s">
        <v>2572</v>
      </c>
      <c r="BT115" t="str">
        <f>HYPERLINK("https%3A%2F%2Fwww.webofscience.com%2Fwos%2Fwoscc%2Ffull-record%2FWOS:001113423900012","View Full Record in Web of Science")</f>
        <v>View Full Record in Web of Science</v>
      </c>
    </row>
    <row r="116" spans="1:72" x14ac:dyDescent="0.15">
      <c r="A116" t="s">
        <v>72</v>
      </c>
      <c r="B116" t="s">
        <v>2573</v>
      </c>
      <c r="C116" t="s">
        <v>74</v>
      </c>
      <c r="D116" t="s">
        <v>74</v>
      </c>
      <c r="E116" t="s">
        <v>74</v>
      </c>
      <c r="F116" t="s">
        <v>2574</v>
      </c>
      <c r="G116" t="s">
        <v>74</v>
      </c>
      <c r="H116" t="s">
        <v>74</v>
      </c>
      <c r="I116" t="s">
        <v>2575</v>
      </c>
      <c r="J116" t="s">
        <v>1763</v>
      </c>
      <c r="K116" t="s">
        <v>74</v>
      </c>
      <c r="L116" t="s">
        <v>74</v>
      </c>
      <c r="M116" t="s">
        <v>78</v>
      </c>
      <c r="N116" t="s">
        <v>79</v>
      </c>
      <c r="O116" t="s">
        <v>74</v>
      </c>
      <c r="P116" t="s">
        <v>74</v>
      </c>
      <c r="Q116" t="s">
        <v>74</v>
      </c>
      <c r="R116" t="s">
        <v>74</v>
      </c>
      <c r="S116" t="s">
        <v>74</v>
      </c>
      <c r="T116" t="s">
        <v>74</v>
      </c>
      <c r="U116" t="s">
        <v>2576</v>
      </c>
      <c r="V116" t="s">
        <v>2577</v>
      </c>
      <c r="W116" t="s">
        <v>2578</v>
      </c>
      <c r="X116" t="s">
        <v>2579</v>
      </c>
      <c r="Y116" t="s">
        <v>2580</v>
      </c>
      <c r="Z116" t="s">
        <v>2581</v>
      </c>
      <c r="AA116" t="s">
        <v>2582</v>
      </c>
      <c r="AB116" t="s">
        <v>2583</v>
      </c>
      <c r="AC116" t="s">
        <v>2584</v>
      </c>
      <c r="AD116" t="s">
        <v>2585</v>
      </c>
      <c r="AE116" t="s">
        <v>2586</v>
      </c>
      <c r="AF116" t="s">
        <v>74</v>
      </c>
      <c r="AG116">
        <v>45</v>
      </c>
      <c r="AH116">
        <v>0</v>
      </c>
      <c r="AI116">
        <v>0</v>
      </c>
      <c r="AJ116">
        <v>2</v>
      </c>
      <c r="AK116">
        <v>2</v>
      </c>
      <c r="AL116" t="s">
        <v>1775</v>
      </c>
      <c r="AM116" t="s">
        <v>1776</v>
      </c>
      <c r="AN116" t="s">
        <v>1777</v>
      </c>
      <c r="AO116" t="s">
        <v>1778</v>
      </c>
      <c r="AP116" t="s">
        <v>1779</v>
      </c>
      <c r="AQ116" t="s">
        <v>74</v>
      </c>
      <c r="AR116" t="s">
        <v>1763</v>
      </c>
      <c r="AS116" t="s">
        <v>1780</v>
      </c>
      <c r="AT116" t="s">
        <v>2569</v>
      </c>
      <c r="AU116">
        <v>2023</v>
      </c>
      <c r="AV116">
        <v>17</v>
      </c>
      <c r="AW116">
        <v>8</v>
      </c>
      <c r="AX116" t="s">
        <v>74</v>
      </c>
      <c r="AY116" t="s">
        <v>74</v>
      </c>
      <c r="AZ116" t="s">
        <v>74</v>
      </c>
      <c r="BA116" t="s">
        <v>74</v>
      </c>
      <c r="BB116">
        <v>3461</v>
      </c>
      <c r="BC116">
        <v>3483</v>
      </c>
      <c r="BD116" t="s">
        <v>74</v>
      </c>
      <c r="BE116" t="s">
        <v>2587</v>
      </c>
      <c r="BF116" t="str">
        <f>HYPERLINK("http://dx.doi.org/10.5194/tc-17-3461-2023","http://dx.doi.org/10.5194/tc-17-3461-2023")</f>
        <v>http://dx.doi.org/10.5194/tc-17-3461-2023</v>
      </c>
      <c r="BG116" t="s">
        <v>74</v>
      </c>
      <c r="BH116" t="s">
        <v>74</v>
      </c>
      <c r="BI116">
        <v>23</v>
      </c>
      <c r="BJ116" t="s">
        <v>1783</v>
      </c>
      <c r="BK116" t="s">
        <v>104</v>
      </c>
      <c r="BL116" t="s">
        <v>1784</v>
      </c>
      <c r="BM116" t="s">
        <v>2588</v>
      </c>
      <c r="BN116" t="s">
        <v>74</v>
      </c>
      <c r="BO116" t="s">
        <v>2589</v>
      </c>
      <c r="BP116" t="s">
        <v>74</v>
      </c>
      <c r="BQ116" t="s">
        <v>74</v>
      </c>
      <c r="BR116" t="s">
        <v>107</v>
      </c>
      <c r="BS116" t="s">
        <v>2590</v>
      </c>
      <c r="BT116" t="str">
        <f>HYPERLINK("https%3A%2F%2Fwww.webofscience.com%2Fwos%2Fwoscc%2Ffull-record%2FWOS:001170753600001","View Full Record in Web of Science")</f>
        <v>View Full Record in Web of Science</v>
      </c>
    </row>
    <row r="117" spans="1:72" x14ac:dyDescent="0.15">
      <c r="A117" t="s">
        <v>72</v>
      </c>
      <c r="B117" t="s">
        <v>2591</v>
      </c>
      <c r="C117" t="s">
        <v>74</v>
      </c>
      <c r="D117" t="s">
        <v>74</v>
      </c>
      <c r="E117" t="s">
        <v>74</v>
      </c>
      <c r="F117" t="s">
        <v>2592</v>
      </c>
      <c r="G117" t="s">
        <v>74</v>
      </c>
      <c r="H117" t="s">
        <v>74</v>
      </c>
      <c r="I117" t="s">
        <v>2593</v>
      </c>
      <c r="J117" t="s">
        <v>2193</v>
      </c>
      <c r="K117" t="s">
        <v>74</v>
      </c>
      <c r="L117" t="s">
        <v>74</v>
      </c>
      <c r="M117" t="s">
        <v>78</v>
      </c>
      <c r="N117" t="s">
        <v>79</v>
      </c>
      <c r="O117" t="s">
        <v>74</v>
      </c>
      <c r="P117" t="s">
        <v>74</v>
      </c>
      <c r="Q117" t="s">
        <v>74</v>
      </c>
      <c r="R117" t="s">
        <v>74</v>
      </c>
      <c r="S117" t="s">
        <v>74</v>
      </c>
      <c r="T117" t="s">
        <v>74</v>
      </c>
      <c r="U117" t="s">
        <v>2594</v>
      </c>
      <c r="V117" t="s">
        <v>2595</v>
      </c>
      <c r="W117" t="s">
        <v>2596</v>
      </c>
      <c r="X117" t="s">
        <v>2597</v>
      </c>
      <c r="Y117" t="s">
        <v>2598</v>
      </c>
      <c r="Z117" t="s">
        <v>2599</v>
      </c>
      <c r="AA117" t="s">
        <v>2600</v>
      </c>
      <c r="AB117" t="s">
        <v>2601</v>
      </c>
      <c r="AC117" t="s">
        <v>2602</v>
      </c>
      <c r="AD117" t="s">
        <v>2603</v>
      </c>
      <c r="AE117" t="s">
        <v>2604</v>
      </c>
      <c r="AF117" t="s">
        <v>74</v>
      </c>
      <c r="AG117">
        <v>60</v>
      </c>
      <c r="AH117">
        <v>0</v>
      </c>
      <c r="AI117">
        <v>0</v>
      </c>
      <c r="AJ117">
        <v>0</v>
      </c>
      <c r="AK117">
        <v>0</v>
      </c>
      <c r="AL117" t="s">
        <v>146</v>
      </c>
      <c r="AM117" t="s">
        <v>147</v>
      </c>
      <c r="AN117" t="s">
        <v>148</v>
      </c>
      <c r="AO117" t="s">
        <v>2204</v>
      </c>
      <c r="AP117" t="s">
        <v>74</v>
      </c>
      <c r="AQ117" t="s">
        <v>74</v>
      </c>
      <c r="AR117" t="s">
        <v>2205</v>
      </c>
      <c r="AS117" t="s">
        <v>2206</v>
      </c>
      <c r="AT117" t="s">
        <v>2569</v>
      </c>
      <c r="AU117">
        <v>2023</v>
      </c>
      <c r="AV117">
        <v>13</v>
      </c>
      <c r="AW117">
        <v>1</v>
      </c>
      <c r="AX117" t="s">
        <v>74</v>
      </c>
      <c r="AY117" t="s">
        <v>74</v>
      </c>
      <c r="AZ117" t="s">
        <v>74</v>
      </c>
      <c r="BA117" t="s">
        <v>74</v>
      </c>
      <c r="BB117" t="s">
        <v>74</v>
      </c>
      <c r="BC117" t="s">
        <v>74</v>
      </c>
      <c r="BD117">
        <v>13834</v>
      </c>
      <c r="BE117" t="s">
        <v>2605</v>
      </c>
      <c r="BF117" t="str">
        <f>HYPERLINK("http://dx.doi.org/10.1038/s41598-023-40401-4","http://dx.doi.org/10.1038/s41598-023-40401-4")</f>
        <v>http://dx.doi.org/10.1038/s41598-023-40401-4</v>
      </c>
      <c r="BG117" t="s">
        <v>74</v>
      </c>
      <c r="BH117" t="s">
        <v>74</v>
      </c>
      <c r="BI117">
        <v>12</v>
      </c>
      <c r="BJ117" t="s">
        <v>1881</v>
      </c>
      <c r="BK117" t="s">
        <v>104</v>
      </c>
      <c r="BL117" t="s">
        <v>1882</v>
      </c>
      <c r="BM117" t="s">
        <v>2571</v>
      </c>
      <c r="BN117">
        <v>37620351</v>
      </c>
      <c r="BO117" t="s">
        <v>181</v>
      </c>
      <c r="BP117" t="s">
        <v>74</v>
      </c>
      <c r="BQ117" t="s">
        <v>74</v>
      </c>
      <c r="BR117" t="s">
        <v>107</v>
      </c>
      <c r="BS117" t="s">
        <v>2606</v>
      </c>
      <c r="BT117" t="str">
        <f>HYPERLINK("https%3A%2F%2Fwww.webofscience.com%2Fwos%2Fwoscc%2Ffull-record%2FWOS:001113423900023","View Full Record in Web of Science")</f>
        <v>View Full Record in Web of Science</v>
      </c>
    </row>
    <row r="118" spans="1:72" x14ac:dyDescent="0.15">
      <c r="A118" t="s">
        <v>72</v>
      </c>
      <c r="B118" t="s">
        <v>2607</v>
      </c>
      <c r="C118" t="s">
        <v>74</v>
      </c>
      <c r="D118" t="s">
        <v>74</v>
      </c>
      <c r="E118" t="s">
        <v>74</v>
      </c>
      <c r="F118" t="s">
        <v>2608</v>
      </c>
      <c r="G118" t="s">
        <v>74</v>
      </c>
      <c r="H118" t="s">
        <v>74</v>
      </c>
      <c r="I118" t="s">
        <v>2609</v>
      </c>
      <c r="J118" t="s">
        <v>2610</v>
      </c>
      <c r="K118" t="s">
        <v>74</v>
      </c>
      <c r="L118" t="s">
        <v>74</v>
      </c>
      <c r="M118" t="s">
        <v>78</v>
      </c>
      <c r="N118" t="s">
        <v>79</v>
      </c>
      <c r="O118" t="s">
        <v>74</v>
      </c>
      <c r="P118" t="s">
        <v>74</v>
      </c>
      <c r="Q118" t="s">
        <v>74</v>
      </c>
      <c r="R118" t="s">
        <v>74</v>
      </c>
      <c r="S118" t="s">
        <v>74</v>
      </c>
      <c r="T118" t="s">
        <v>74</v>
      </c>
      <c r="U118" t="s">
        <v>74</v>
      </c>
      <c r="V118" t="s">
        <v>2611</v>
      </c>
      <c r="W118" t="s">
        <v>2612</v>
      </c>
      <c r="X118" t="s">
        <v>917</v>
      </c>
      <c r="Y118" t="s">
        <v>2613</v>
      </c>
      <c r="Z118" t="s">
        <v>2614</v>
      </c>
      <c r="AA118" t="s">
        <v>74</v>
      </c>
      <c r="AB118" t="s">
        <v>74</v>
      </c>
      <c r="AC118" t="s">
        <v>2615</v>
      </c>
      <c r="AD118" t="s">
        <v>2615</v>
      </c>
      <c r="AE118" t="s">
        <v>2616</v>
      </c>
      <c r="AF118" t="s">
        <v>74</v>
      </c>
      <c r="AG118">
        <v>22</v>
      </c>
      <c r="AH118">
        <v>9</v>
      </c>
      <c r="AI118">
        <v>9</v>
      </c>
      <c r="AJ118">
        <v>9</v>
      </c>
      <c r="AK118">
        <v>9</v>
      </c>
      <c r="AL118" t="s">
        <v>2617</v>
      </c>
      <c r="AM118" t="s">
        <v>1528</v>
      </c>
      <c r="AN118" t="s">
        <v>2618</v>
      </c>
      <c r="AO118" t="s">
        <v>74</v>
      </c>
      <c r="AP118" t="s">
        <v>2619</v>
      </c>
      <c r="AQ118" t="s">
        <v>74</v>
      </c>
      <c r="AR118" t="s">
        <v>2620</v>
      </c>
      <c r="AS118" t="s">
        <v>2621</v>
      </c>
      <c r="AT118" t="s">
        <v>2569</v>
      </c>
      <c r="AU118">
        <v>2023</v>
      </c>
      <c r="AV118">
        <v>4</v>
      </c>
      <c r="AW118">
        <v>1</v>
      </c>
      <c r="AX118" t="s">
        <v>74</v>
      </c>
      <c r="AY118" t="s">
        <v>74</v>
      </c>
      <c r="AZ118" t="s">
        <v>74</v>
      </c>
      <c r="BA118" t="s">
        <v>74</v>
      </c>
      <c r="BB118" t="s">
        <v>74</v>
      </c>
      <c r="BC118" t="s">
        <v>74</v>
      </c>
      <c r="BD118">
        <v>273</v>
      </c>
      <c r="BE118" t="s">
        <v>2622</v>
      </c>
      <c r="BF118" t="str">
        <f>HYPERLINK("http://dx.doi.org/10.1038/s43247-023-00927-x","http://dx.doi.org/10.1038/s43247-023-00927-x")</f>
        <v>http://dx.doi.org/10.1038/s43247-023-00927-x</v>
      </c>
      <c r="BG118" t="s">
        <v>74</v>
      </c>
      <c r="BH118" t="s">
        <v>74</v>
      </c>
      <c r="BI118">
        <v>6</v>
      </c>
      <c r="BJ118" t="s">
        <v>1214</v>
      </c>
      <c r="BK118" t="s">
        <v>104</v>
      </c>
      <c r="BL118" t="s">
        <v>1215</v>
      </c>
      <c r="BM118" t="s">
        <v>2623</v>
      </c>
      <c r="BN118" t="s">
        <v>74</v>
      </c>
      <c r="BO118" t="s">
        <v>2624</v>
      </c>
      <c r="BP118" t="s">
        <v>74</v>
      </c>
      <c r="BQ118" t="s">
        <v>74</v>
      </c>
      <c r="BR118" t="s">
        <v>107</v>
      </c>
      <c r="BS118" t="s">
        <v>2625</v>
      </c>
      <c r="BT118" t="str">
        <f>HYPERLINK("https%3A%2F%2Fwww.webofscience.com%2Fwos%2Fwoscc%2Ffull-record%2FWOS:001093792100001","View Full Record in Web of Science")</f>
        <v>View Full Record in Web of Science</v>
      </c>
    </row>
    <row r="119" spans="1:72" x14ac:dyDescent="0.15">
      <c r="A119" t="s">
        <v>72</v>
      </c>
      <c r="B119" t="s">
        <v>2626</v>
      </c>
      <c r="C119" t="s">
        <v>74</v>
      </c>
      <c r="D119" t="s">
        <v>74</v>
      </c>
      <c r="E119" t="s">
        <v>74</v>
      </c>
      <c r="F119" t="s">
        <v>2627</v>
      </c>
      <c r="G119" t="s">
        <v>74</v>
      </c>
      <c r="H119" t="s">
        <v>74</v>
      </c>
      <c r="I119" t="s">
        <v>2628</v>
      </c>
      <c r="J119" t="s">
        <v>2629</v>
      </c>
      <c r="K119" t="s">
        <v>74</v>
      </c>
      <c r="L119" t="s">
        <v>74</v>
      </c>
      <c r="M119" t="s">
        <v>78</v>
      </c>
      <c r="N119" t="s">
        <v>79</v>
      </c>
      <c r="O119" t="s">
        <v>74</v>
      </c>
      <c r="P119" t="s">
        <v>74</v>
      </c>
      <c r="Q119" t="s">
        <v>74</v>
      </c>
      <c r="R119" t="s">
        <v>74</v>
      </c>
      <c r="S119" t="s">
        <v>74</v>
      </c>
      <c r="T119" t="s">
        <v>2630</v>
      </c>
      <c r="U119" t="s">
        <v>2631</v>
      </c>
      <c r="V119" t="s">
        <v>2632</v>
      </c>
      <c r="W119" t="s">
        <v>2633</v>
      </c>
      <c r="X119" t="s">
        <v>2634</v>
      </c>
      <c r="Y119" t="s">
        <v>2635</v>
      </c>
      <c r="Z119" t="s">
        <v>2636</v>
      </c>
      <c r="AA119" t="s">
        <v>74</v>
      </c>
      <c r="AB119" t="s">
        <v>2637</v>
      </c>
      <c r="AC119" t="s">
        <v>2638</v>
      </c>
      <c r="AD119" t="s">
        <v>2638</v>
      </c>
      <c r="AE119" t="s">
        <v>2639</v>
      </c>
      <c r="AF119" t="s">
        <v>74</v>
      </c>
      <c r="AG119">
        <v>71</v>
      </c>
      <c r="AH119">
        <v>0</v>
      </c>
      <c r="AI119">
        <v>0</v>
      </c>
      <c r="AJ119">
        <v>1</v>
      </c>
      <c r="AK119">
        <v>1</v>
      </c>
      <c r="AL119" t="s">
        <v>172</v>
      </c>
      <c r="AM119" t="s">
        <v>173</v>
      </c>
      <c r="AN119" t="s">
        <v>174</v>
      </c>
      <c r="AO119" t="s">
        <v>2640</v>
      </c>
      <c r="AP119" t="s">
        <v>74</v>
      </c>
      <c r="AQ119" t="s">
        <v>74</v>
      </c>
      <c r="AR119" t="s">
        <v>2641</v>
      </c>
      <c r="AS119" t="s">
        <v>2642</v>
      </c>
      <c r="AT119" t="s">
        <v>2643</v>
      </c>
      <c r="AU119">
        <v>2023</v>
      </c>
      <c r="AV119">
        <v>66</v>
      </c>
      <c r="AW119" t="s">
        <v>74</v>
      </c>
      <c r="AX119" t="s">
        <v>74</v>
      </c>
      <c r="AY119" t="s">
        <v>74</v>
      </c>
      <c r="AZ119" t="s">
        <v>74</v>
      </c>
      <c r="BA119" t="s">
        <v>74</v>
      </c>
      <c r="BB119" t="s">
        <v>74</v>
      </c>
      <c r="BC119" t="s">
        <v>74</v>
      </c>
      <c r="BD119">
        <v>103144</v>
      </c>
      <c r="BE119" t="s">
        <v>2644</v>
      </c>
      <c r="BF119" t="str">
        <f>HYPERLINK("http://dx.doi.org/10.1016/j.rsma.2023.103144","http://dx.doi.org/10.1016/j.rsma.2023.103144")</f>
        <v>http://dx.doi.org/10.1016/j.rsma.2023.103144</v>
      </c>
      <c r="BG119" t="s">
        <v>74</v>
      </c>
      <c r="BH119" t="s">
        <v>1812</v>
      </c>
      <c r="BI119">
        <v>15</v>
      </c>
      <c r="BJ119" t="s">
        <v>1707</v>
      </c>
      <c r="BK119" t="s">
        <v>104</v>
      </c>
      <c r="BL119" t="s">
        <v>1002</v>
      </c>
      <c r="BM119" t="s">
        <v>2645</v>
      </c>
      <c r="BN119" t="s">
        <v>74</v>
      </c>
      <c r="BO119" t="s">
        <v>74</v>
      </c>
      <c r="BP119" t="s">
        <v>74</v>
      </c>
      <c r="BQ119" t="s">
        <v>74</v>
      </c>
      <c r="BR119" t="s">
        <v>107</v>
      </c>
      <c r="BS119" t="s">
        <v>2646</v>
      </c>
      <c r="BT119" t="str">
        <f>HYPERLINK("https%3A%2F%2Fwww.webofscience.com%2Fwos%2Fwoscc%2Ffull-record%2FWOS:001070364500001","View Full Record in Web of Science")</f>
        <v>View Full Record in Web of Science</v>
      </c>
    </row>
    <row r="120" spans="1:72" x14ac:dyDescent="0.15">
      <c r="A120" t="s">
        <v>72</v>
      </c>
      <c r="B120" t="s">
        <v>2647</v>
      </c>
      <c r="C120" t="s">
        <v>74</v>
      </c>
      <c r="D120" t="s">
        <v>74</v>
      </c>
      <c r="E120" t="s">
        <v>74</v>
      </c>
      <c r="F120" t="s">
        <v>2648</v>
      </c>
      <c r="G120" t="s">
        <v>74</v>
      </c>
      <c r="H120" t="s">
        <v>74</v>
      </c>
      <c r="I120" t="s">
        <v>2649</v>
      </c>
      <c r="J120" t="s">
        <v>2650</v>
      </c>
      <c r="K120" t="s">
        <v>74</v>
      </c>
      <c r="L120" t="s">
        <v>74</v>
      </c>
      <c r="M120" t="s">
        <v>78</v>
      </c>
      <c r="N120" t="s">
        <v>79</v>
      </c>
      <c r="O120" t="s">
        <v>74</v>
      </c>
      <c r="P120" t="s">
        <v>74</v>
      </c>
      <c r="Q120" t="s">
        <v>74</v>
      </c>
      <c r="R120" t="s">
        <v>74</v>
      </c>
      <c r="S120" t="s">
        <v>74</v>
      </c>
      <c r="T120" t="s">
        <v>2651</v>
      </c>
      <c r="U120" t="s">
        <v>2652</v>
      </c>
      <c r="V120" t="s">
        <v>2653</v>
      </c>
      <c r="W120" t="s">
        <v>2654</v>
      </c>
      <c r="X120" t="s">
        <v>2655</v>
      </c>
      <c r="Y120" t="s">
        <v>2656</v>
      </c>
      <c r="Z120" t="s">
        <v>2657</v>
      </c>
      <c r="AA120" t="s">
        <v>74</v>
      </c>
      <c r="AB120" t="s">
        <v>2658</v>
      </c>
      <c r="AC120" t="s">
        <v>2659</v>
      </c>
      <c r="AD120" t="s">
        <v>2660</v>
      </c>
      <c r="AE120" t="s">
        <v>2661</v>
      </c>
      <c r="AF120" t="s">
        <v>74</v>
      </c>
      <c r="AG120">
        <v>92</v>
      </c>
      <c r="AH120">
        <v>1</v>
      </c>
      <c r="AI120">
        <v>1</v>
      </c>
      <c r="AJ120">
        <v>13</v>
      </c>
      <c r="AK120">
        <v>14</v>
      </c>
      <c r="AL120" t="s">
        <v>172</v>
      </c>
      <c r="AM120" t="s">
        <v>173</v>
      </c>
      <c r="AN120" t="s">
        <v>174</v>
      </c>
      <c r="AO120" t="s">
        <v>2662</v>
      </c>
      <c r="AP120" t="s">
        <v>2663</v>
      </c>
      <c r="AQ120" t="s">
        <v>74</v>
      </c>
      <c r="AR120" t="s">
        <v>2664</v>
      </c>
      <c r="AS120" t="s">
        <v>2665</v>
      </c>
      <c r="AT120" t="s">
        <v>1859</v>
      </c>
      <c r="AU120">
        <v>2024</v>
      </c>
      <c r="AV120">
        <v>241</v>
      </c>
      <c r="AW120" t="s">
        <v>74</v>
      </c>
      <c r="AX120" t="s">
        <v>74</v>
      </c>
      <c r="AY120" t="s">
        <v>74</v>
      </c>
      <c r="AZ120" t="s">
        <v>74</v>
      </c>
      <c r="BA120" t="s">
        <v>74</v>
      </c>
      <c r="BB120" t="s">
        <v>74</v>
      </c>
      <c r="BC120" t="s">
        <v>74</v>
      </c>
      <c r="BD120">
        <v>103920</v>
      </c>
      <c r="BE120" t="s">
        <v>2666</v>
      </c>
      <c r="BF120" t="str">
        <f>HYPERLINK("http://dx.doi.org/10.1016/j.jmarsys.2023.103920","http://dx.doi.org/10.1016/j.jmarsys.2023.103920")</f>
        <v>http://dx.doi.org/10.1016/j.jmarsys.2023.103920</v>
      </c>
      <c r="BG120" t="s">
        <v>74</v>
      </c>
      <c r="BH120" t="s">
        <v>1812</v>
      </c>
      <c r="BI120">
        <v>16</v>
      </c>
      <c r="BJ120" t="s">
        <v>2667</v>
      </c>
      <c r="BK120" t="s">
        <v>104</v>
      </c>
      <c r="BL120" t="s">
        <v>2668</v>
      </c>
      <c r="BM120" t="s">
        <v>2669</v>
      </c>
      <c r="BN120" t="s">
        <v>74</v>
      </c>
      <c r="BO120" t="s">
        <v>2670</v>
      </c>
      <c r="BP120" t="s">
        <v>74</v>
      </c>
      <c r="BQ120" t="s">
        <v>74</v>
      </c>
      <c r="BR120" t="s">
        <v>107</v>
      </c>
      <c r="BS120" t="s">
        <v>2671</v>
      </c>
      <c r="BT120" t="str">
        <f>HYPERLINK("https%3A%2F%2Fwww.webofscience.com%2Fwos%2Fwoscc%2Ffull-record%2FWOS:001068440200001","View Full Record in Web of Science")</f>
        <v>View Full Record in Web of Science</v>
      </c>
    </row>
    <row r="121" spans="1:72" x14ac:dyDescent="0.15">
      <c r="A121" t="s">
        <v>72</v>
      </c>
      <c r="B121" t="s">
        <v>2672</v>
      </c>
      <c r="C121" t="s">
        <v>74</v>
      </c>
      <c r="D121" t="s">
        <v>74</v>
      </c>
      <c r="E121" t="s">
        <v>74</v>
      </c>
      <c r="F121" t="s">
        <v>2673</v>
      </c>
      <c r="G121" t="s">
        <v>74</v>
      </c>
      <c r="H121" t="s">
        <v>74</v>
      </c>
      <c r="I121" t="s">
        <v>2674</v>
      </c>
      <c r="J121" t="s">
        <v>2675</v>
      </c>
      <c r="K121" t="s">
        <v>74</v>
      </c>
      <c r="L121" t="s">
        <v>74</v>
      </c>
      <c r="M121" t="s">
        <v>78</v>
      </c>
      <c r="N121" t="s">
        <v>79</v>
      </c>
      <c r="O121" t="s">
        <v>74</v>
      </c>
      <c r="P121" t="s">
        <v>74</v>
      </c>
      <c r="Q121" t="s">
        <v>74</v>
      </c>
      <c r="R121" t="s">
        <v>74</v>
      </c>
      <c r="S121" t="s">
        <v>74</v>
      </c>
      <c r="T121" t="s">
        <v>2676</v>
      </c>
      <c r="U121" t="s">
        <v>2677</v>
      </c>
      <c r="V121" t="s">
        <v>2678</v>
      </c>
      <c r="W121" t="s">
        <v>2679</v>
      </c>
      <c r="X121" t="s">
        <v>2680</v>
      </c>
      <c r="Y121" t="s">
        <v>2681</v>
      </c>
      <c r="Z121" t="s">
        <v>2682</v>
      </c>
      <c r="AA121" t="s">
        <v>74</v>
      </c>
      <c r="AB121" t="s">
        <v>74</v>
      </c>
      <c r="AC121" t="s">
        <v>2680</v>
      </c>
      <c r="AD121" t="s">
        <v>2680</v>
      </c>
      <c r="AE121" t="s">
        <v>2683</v>
      </c>
      <c r="AF121" t="s">
        <v>74</v>
      </c>
      <c r="AG121">
        <v>29</v>
      </c>
      <c r="AH121">
        <v>1</v>
      </c>
      <c r="AI121">
        <v>1</v>
      </c>
      <c r="AJ121">
        <v>0</v>
      </c>
      <c r="AK121">
        <v>0</v>
      </c>
      <c r="AL121" t="s">
        <v>298</v>
      </c>
      <c r="AM121" t="s">
        <v>299</v>
      </c>
      <c r="AN121" t="s">
        <v>300</v>
      </c>
      <c r="AO121" t="s">
        <v>2684</v>
      </c>
      <c r="AP121" t="s">
        <v>2685</v>
      </c>
      <c r="AQ121" t="s">
        <v>74</v>
      </c>
      <c r="AR121" t="s">
        <v>2675</v>
      </c>
      <c r="AS121" t="s">
        <v>2686</v>
      </c>
      <c r="AT121" t="s">
        <v>1394</v>
      </c>
      <c r="AU121">
        <v>2023</v>
      </c>
      <c r="AV121">
        <v>142</v>
      </c>
      <c r="AW121">
        <v>4</v>
      </c>
      <c r="AX121" t="s">
        <v>74</v>
      </c>
      <c r="AY121" t="s">
        <v>74</v>
      </c>
      <c r="AZ121" t="s">
        <v>74</v>
      </c>
      <c r="BA121" t="s">
        <v>74</v>
      </c>
      <c r="BB121">
        <v>519</v>
      </c>
      <c r="BC121">
        <v>525</v>
      </c>
      <c r="BD121" t="s">
        <v>74</v>
      </c>
      <c r="BE121" t="s">
        <v>2687</v>
      </c>
      <c r="BF121" t="str">
        <f>HYPERLINK("http://dx.doi.org/10.1007/s00435-023-00619-2","http://dx.doi.org/10.1007/s00435-023-00619-2")</f>
        <v>http://dx.doi.org/10.1007/s00435-023-00619-2</v>
      </c>
      <c r="BG121" t="s">
        <v>74</v>
      </c>
      <c r="BH121" t="s">
        <v>1812</v>
      </c>
      <c r="BI121">
        <v>7</v>
      </c>
      <c r="BJ121" t="s">
        <v>2688</v>
      </c>
      <c r="BK121" t="s">
        <v>104</v>
      </c>
      <c r="BL121" t="s">
        <v>2688</v>
      </c>
      <c r="BM121" t="s">
        <v>2689</v>
      </c>
      <c r="BN121" t="s">
        <v>74</v>
      </c>
      <c r="BO121" t="s">
        <v>1217</v>
      </c>
      <c r="BP121" t="s">
        <v>74</v>
      </c>
      <c r="BQ121" t="s">
        <v>74</v>
      </c>
      <c r="BR121" t="s">
        <v>107</v>
      </c>
      <c r="BS121" t="s">
        <v>2690</v>
      </c>
      <c r="BT121" t="str">
        <f>HYPERLINK("https%3A%2F%2Fwww.webofscience.com%2Fwos%2Fwoscc%2Ffull-record%2FWOS:001063455000001","View Full Record in Web of Science")</f>
        <v>View Full Record in Web of Science</v>
      </c>
    </row>
    <row r="122" spans="1:72" x14ac:dyDescent="0.15">
      <c r="A122" t="s">
        <v>72</v>
      </c>
      <c r="B122" t="s">
        <v>2691</v>
      </c>
      <c r="C122" t="s">
        <v>74</v>
      </c>
      <c r="D122" t="s">
        <v>74</v>
      </c>
      <c r="E122" t="s">
        <v>74</v>
      </c>
      <c r="F122" t="s">
        <v>2692</v>
      </c>
      <c r="G122" t="s">
        <v>74</v>
      </c>
      <c r="H122" t="s">
        <v>74</v>
      </c>
      <c r="I122" t="s">
        <v>2693</v>
      </c>
      <c r="J122" t="s">
        <v>2694</v>
      </c>
      <c r="K122" t="s">
        <v>74</v>
      </c>
      <c r="L122" t="s">
        <v>74</v>
      </c>
      <c r="M122" t="s">
        <v>78</v>
      </c>
      <c r="N122" t="s">
        <v>869</v>
      </c>
      <c r="O122" t="s">
        <v>74</v>
      </c>
      <c r="P122" t="s">
        <v>74</v>
      </c>
      <c r="Q122" t="s">
        <v>74</v>
      </c>
      <c r="R122" t="s">
        <v>74</v>
      </c>
      <c r="S122" t="s">
        <v>74</v>
      </c>
      <c r="T122" t="s">
        <v>74</v>
      </c>
      <c r="U122" t="s">
        <v>74</v>
      </c>
      <c r="V122" t="s">
        <v>2695</v>
      </c>
      <c r="W122" t="s">
        <v>2696</v>
      </c>
      <c r="X122" t="s">
        <v>2697</v>
      </c>
      <c r="Y122" t="s">
        <v>2698</v>
      </c>
      <c r="Z122" t="s">
        <v>2699</v>
      </c>
      <c r="AA122" t="s">
        <v>2700</v>
      </c>
      <c r="AB122" t="s">
        <v>2701</v>
      </c>
      <c r="AC122" t="s">
        <v>2702</v>
      </c>
      <c r="AD122" t="s">
        <v>2702</v>
      </c>
      <c r="AE122" t="s">
        <v>2703</v>
      </c>
      <c r="AF122" t="s">
        <v>74</v>
      </c>
      <c r="AG122">
        <v>20</v>
      </c>
      <c r="AH122">
        <v>10</v>
      </c>
      <c r="AI122">
        <v>13</v>
      </c>
      <c r="AJ122">
        <v>23</v>
      </c>
      <c r="AK122">
        <v>34</v>
      </c>
      <c r="AL122" t="s">
        <v>146</v>
      </c>
      <c r="AM122" t="s">
        <v>147</v>
      </c>
      <c r="AN122" t="s">
        <v>148</v>
      </c>
      <c r="AO122" t="s">
        <v>2704</v>
      </c>
      <c r="AP122" t="s">
        <v>74</v>
      </c>
      <c r="AQ122" t="s">
        <v>74</v>
      </c>
      <c r="AR122" t="s">
        <v>2705</v>
      </c>
      <c r="AS122" t="s">
        <v>2706</v>
      </c>
      <c r="AT122" t="s">
        <v>1394</v>
      </c>
      <c r="AU122">
        <v>2023</v>
      </c>
      <c r="AV122">
        <v>7</v>
      </c>
      <c r="AW122">
        <v>12</v>
      </c>
      <c r="AX122" t="s">
        <v>74</v>
      </c>
      <c r="AY122" t="s">
        <v>74</v>
      </c>
      <c r="AZ122" t="s">
        <v>74</v>
      </c>
      <c r="BA122" t="s">
        <v>74</v>
      </c>
      <c r="BB122">
        <v>1947</v>
      </c>
      <c r="BC122">
        <v>1952</v>
      </c>
      <c r="BD122" t="s">
        <v>74</v>
      </c>
      <c r="BE122" t="s">
        <v>2707</v>
      </c>
      <c r="BF122" t="str">
        <f>HYPERLINK("http://dx.doi.org/10.1038/s41559-023-02171-0","http://dx.doi.org/10.1038/s41559-023-02171-0")</f>
        <v>http://dx.doi.org/10.1038/s41559-023-02171-0</v>
      </c>
      <c r="BG122" t="s">
        <v>74</v>
      </c>
      <c r="BH122" t="s">
        <v>1812</v>
      </c>
      <c r="BI122">
        <v>6</v>
      </c>
      <c r="BJ122" t="s">
        <v>657</v>
      </c>
      <c r="BK122" t="s">
        <v>104</v>
      </c>
      <c r="BL122" t="s">
        <v>658</v>
      </c>
      <c r="BM122" t="s">
        <v>2708</v>
      </c>
      <c r="BN122">
        <v>37620553</v>
      </c>
      <c r="BO122" t="s">
        <v>2709</v>
      </c>
      <c r="BP122" t="s">
        <v>74</v>
      </c>
      <c r="BQ122" t="s">
        <v>74</v>
      </c>
      <c r="BR122" t="s">
        <v>107</v>
      </c>
      <c r="BS122" t="s">
        <v>2710</v>
      </c>
      <c r="BT122" t="str">
        <f>HYPERLINK("https%3A%2F%2Fwww.webofscience.com%2Fwos%2Fwoscc%2Ffull-record%2FWOS:001059917500001","View Full Record in Web of Science")</f>
        <v>View Full Record in Web of Science</v>
      </c>
    </row>
    <row r="123" spans="1:72" x14ac:dyDescent="0.15">
      <c r="A123" t="s">
        <v>72</v>
      </c>
      <c r="B123" t="s">
        <v>2711</v>
      </c>
      <c r="C123" t="s">
        <v>74</v>
      </c>
      <c r="D123" t="s">
        <v>74</v>
      </c>
      <c r="E123" t="s">
        <v>74</v>
      </c>
      <c r="F123" t="s">
        <v>2712</v>
      </c>
      <c r="G123" t="s">
        <v>74</v>
      </c>
      <c r="H123" t="s">
        <v>74</v>
      </c>
      <c r="I123" t="s">
        <v>2713</v>
      </c>
      <c r="J123" t="s">
        <v>2714</v>
      </c>
      <c r="K123" t="s">
        <v>74</v>
      </c>
      <c r="L123" t="s">
        <v>74</v>
      </c>
      <c r="M123" t="s">
        <v>78</v>
      </c>
      <c r="N123" t="s">
        <v>79</v>
      </c>
      <c r="O123" t="s">
        <v>74</v>
      </c>
      <c r="P123" t="s">
        <v>74</v>
      </c>
      <c r="Q123" t="s">
        <v>74</v>
      </c>
      <c r="R123" t="s">
        <v>74</v>
      </c>
      <c r="S123" t="s">
        <v>74</v>
      </c>
      <c r="T123" t="s">
        <v>74</v>
      </c>
      <c r="U123" t="s">
        <v>2715</v>
      </c>
      <c r="V123" t="s">
        <v>2716</v>
      </c>
      <c r="W123" t="s">
        <v>2717</v>
      </c>
      <c r="X123" t="s">
        <v>2718</v>
      </c>
      <c r="Y123" t="s">
        <v>2719</v>
      </c>
      <c r="Z123" t="s">
        <v>2720</v>
      </c>
      <c r="AA123" t="s">
        <v>74</v>
      </c>
      <c r="AB123" t="s">
        <v>74</v>
      </c>
      <c r="AC123" t="s">
        <v>2721</v>
      </c>
      <c r="AD123" t="s">
        <v>2722</v>
      </c>
      <c r="AE123" t="s">
        <v>2723</v>
      </c>
      <c r="AF123" t="s">
        <v>74</v>
      </c>
      <c r="AG123">
        <v>45</v>
      </c>
      <c r="AH123">
        <v>1</v>
      </c>
      <c r="AI123">
        <v>1</v>
      </c>
      <c r="AJ123">
        <v>12</v>
      </c>
      <c r="AK123">
        <v>15</v>
      </c>
      <c r="AL123" t="s">
        <v>146</v>
      </c>
      <c r="AM123" t="s">
        <v>147</v>
      </c>
      <c r="AN123" t="s">
        <v>148</v>
      </c>
      <c r="AO123" t="s">
        <v>2724</v>
      </c>
      <c r="AP123" t="s">
        <v>74</v>
      </c>
      <c r="AQ123" t="s">
        <v>74</v>
      </c>
      <c r="AR123" t="s">
        <v>2725</v>
      </c>
      <c r="AS123" t="s">
        <v>2726</v>
      </c>
      <c r="AT123" t="s">
        <v>2569</v>
      </c>
      <c r="AU123">
        <v>2023</v>
      </c>
      <c r="AV123">
        <v>6</v>
      </c>
      <c r="AW123">
        <v>1</v>
      </c>
      <c r="AX123" t="s">
        <v>74</v>
      </c>
      <c r="AY123" t="s">
        <v>74</v>
      </c>
      <c r="AZ123" t="s">
        <v>74</v>
      </c>
      <c r="BA123" t="s">
        <v>74</v>
      </c>
      <c r="BB123" t="s">
        <v>74</v>
      </c>
      <c r="BC123" t="s">
        <v>74</v>
      </c>
      <c r="BD123">
        <v>127</v>
      </c>
      <c r="BE123" t="s">
        <v>2727</v>
      </c>
      <c r="BF123" t="str">
        <f>HYPERLINK("http://dx.doi.org/10.1038/s41612-023-00456-6","http://dx.doi.org/10.1038/s41612-023-00456-6")</f>
        <v>http://dx.doi.org/10.1038/s41612-023-00456-6</v>
      </c>
      <c r="BG123" t="s">
        <v>74</v>
      </c>
      <c r="BH123" t="s">
        <v>74</v>
      </c>
      <c r="BI123">
        <v>8</v>
      </c>
      <c r="BJ123" t="s">
        <v>103</v>
      </c>
      <c r="BK123" t="s">
        <v>104</v>
      </c>
      <c r="BL123" t="s">
        <v>103</v>
      </c>
      <c r="BM123" t="s">
        <v>2728</v>
      </c>
      <c r="BN123" t="s">
        <v>74</v>
      </c>
      <c r="BO123" t="s">
        <v>771</v>
      </c>
      <c r="BP123" t="s">
        <v>74</v>
      </c>
      <c r="BQ123" t="s">
        <v>74</v>
      </c>
      <c r="BR123" t="s">
        <v>107</v>
      </c>
      <c r="BS123" t="s">
        <v>2729</v>
      </c>
      <c r="BT123" t="str">
        <f>HYPERLINK("https%3A%2F%2Fwww.webofscience.com%2Fwos%2Fwoscc%2Ffull-record%2FWOS:001054250700001","View Full Record in Web of Science")</f>
        <v>View Full Record in Web of Science</v>
      </c>
    </row>
    <row r="124" spans="1:72" x14ac:dyDescent="0.15">
      <c r="A124" t="s">
        <v>72</v>
      </c>
      <c r="B124" t="s">
        <v>2730</v>
      </c>
      <c r="C124" t="s">
        <v>74</v>
      </c>
      <c r="D124" t="s">
        <v>74</v>
      </c>
      <c r="E124" t="s">
        <v>74</v>
      </c>
      <c r="F124" t="s">
        <v>2731</v>
      </c>
      <c r="G124" t="s">
        <v>74</v>
      </c>
      <c r="H124" t="s">
        <v>74</v>
      </c>
      <c r="I124" t="s">
        <v>2732</v>
      </c>
      <c r="J124" t="s">
        <v>2193</v>
      </c>
      <c r="K124" t="s">
        <v>74</v>
      </c>
      <c r="L124" t="s">
        <v>74</v>
      </c>
      <c r="M124" t="s">
        <v>78</v>
      </c>
      <c r="N124" t="s">
        <v>79</v>
      </c>
      <c r="O124" t="s">
        <v>74</v>
      </c>
      <c r="P124" t="s">
        <v>74</v>
      </c>
      <c r="Q124" t="s">
        <v>74</v>
      </c>
      <c r="R124" t="s">
        <v>74</v>
      </c>
      <c r="S124" t="s">
        <v>74</v>
      </c>
      <c r="T124" t="s">
        <v>74</v>
      </c>
      <c r="U124" t="s">
        <v>2733</v>
      </c>
      <c r="V124" t="s">
        <v>2734</v>
      </c>
      <c r="W124" t="s">
        <v>2735</v>
      </c>
      <c r="X124" t="s">
        <v>2736</v>
      </c>
      <c r="Y124" t="s">
        <v>2737</v>
      </c>
      <c r="Z124" t="s">
        <v>2738</v>
      </c>
      <c r="AA124" t="s">
        <v>74</v>
      </c>
      <c r="AB124" t="s">
        <v>2739</v>
      </c>
      <c r="AC124" t="s">
        <v>2740</v>
      </c>
      <c r="AD124" t="s">
        <v>2741</v>
      </c>
      <c r="AE124" t="s">
        <v>2742</v>
      </c>
      <c r="AF124" t="s">
        <v>74</v>
      </c>
      <c r="AG124">
        <v>45</v>
      </c>
      <c r="AH124">
        <v>0</v>
      </c>
      <c r="AI124">
        <v>0</v>
      </c>
      <c r="AJ124">
        <v>2</v>
      </c>
      <c r="AK124">
        <v>2</v>
      </c>
      <c r="AL124" t="s">
        <v>146</v>
      </c>
      <c r="AM124" t="s">
        <v>147</v>
      </c>
      <c r="AN124" t="s">
        <v>148</v>
      </c>
      <c r="AO124" t="s">
        <v>2204</v>
      </c>
      <c r="AP124" t="s">
        <v>74</v>
      </c>
      <c r="AQ124" t="s">
        <v>74</v>
      </c>
      <c r="AR124" t="s">
        <v>2205</v>
      </c>
      <c r="AS124" t="s">
        <v>2206</v>
      </c>
      <c r="AT124" t="s">
        <v>2743</v>
      </c>
      <c r="AU124">
        <v>2023</v>
      </c>
      <c r="AV124">
        <v>13</v>
      </c>
      <c r="AW124">
        <v>1</v>
      </c>
      <c r="AX124" t="s">
        <v>74</v>
      </c>
      <c r="AY124" t="s">
        <v>74</v>
      </c>
      <c r="AZ124" t="s">
        <v>74</v>
      </c>
      <c r="BA124" t="s">
        <v>74</v>
      </c>
      <c r="BB124" t="s">
        <v>74</v>
      </c>
      <c r="BC124" t="s">
        <v>74</v>
      </c>
      <c r="BD124">
        <v>13769</v>
      </c>
      <c r="BE124" t="s">
        <v>2744</v>
      </c>
      <c r="BF124" t="str">
        <f>HYPERLINK("http://dx.doi.org/10.1038/s41598-023-39877-x","http://dx.doi.org/10.1038/s41598-023-39877-x")</f>
        <v>http://dx.doi.org/10.1038/s41598-023-39877-x</v>
      </c>
      <c r="BG124" t="s">
        <v>74</v>
      </c>
      <c r="BH124" t="s">
        <v>74</v>
      </c>
      <c r="BI124">
        <v>12</v>
      </c>
      <c r="BJ124" t="s">
        <v>1881</v>
      </c>
      <c r="BK124" t="s">
        <v>104</v>
      </c>
      <c r="BL124" t="s">
        <v>1882</v>
      </c>
      <c r="BM124" t="s">
        <v>2745</v>
      </c>
      <c r="BN124">
        <v>37612341</v>
      </c>
      <c r="BO124" t="s">
        <v>821</v>
      </c>
      <c r="BP124" t="s">
        <v>74</v>
      </c>
      <c r="BQ124" t="s">
        <v>74</v>
      </c>
      <c r="BR124" t="s">
        <v>107</v>
      </c>
      <c r="BS124" t="s">
        <v>2746</v>
      </c>
      <c r="BT124" t="str">
        <f>HYPERLINK("https%3A%2F%2Fwww.webofscience.com%2Fwos%2Fwoscc%2Ffull-record%2FWOS:001067659900008","View Full Record in Web of Science")</f>
        <v>View Full Record in Web of Science</v>
      </c>
    </row>
    <row r="125" spans="1:72" x14ac:dyDescent="0.15">
      <c r="A125" t="s">
        <v>72</v>
      </c>
      <c r="B125" t="s">
        <v>2747</v>
      </c>
      <c r="C125" t="s">
        <v>74</v>
      </c>
      <c r="D125" t="s">
        <v>74</v>
      </c>
      <c r="E125" t="s">
        <v>74</v>
      </c>
      <c r="F125" t="s">
        <v>2748</v>
      </c>
      <c r="G125" t="s">
        <v>74</v>
      </c>
      <c r="H125" t="s">
        <v>74</v>
      </c>
      <c r="I125" t="s">
        <v>2749</v>
      </c>
      <c r="J125" t="s">
        <v>2750</v>
      </c>
      <c r="K125" t="s">
        <v>74</v>
      </c>
      <c r="L125" t="s">
        <v>74</v>
      </c>
      <c r="M125" t="s">
        <v>78</v>
      </c>
      <c r="N125" t="s">
        <v>1911</v>
      </c>
      <c r="O125" t="s">
        <v>74</v>
      </c>
      <c r="P125" t="s">
        <v>74</v>
      </c>
      <c r="Q125" t="s">
        <v>74</v>
      </c>
      <c r="R125" t="s">
        <v>74</v>
      </c>
      <c r="S125" t="s">
        <v>74</v>
      </c>
      <c r="T125" t="s">
        <v>2751</v>
      </c>
      <c r="U125" t="s">
        <v>2752</v>
      </c>
      <c r="V125" t="s">
        <v>2753</v>
      </c>
      <c r="W125" t="s">
        <v>2754</v>
      </c>
      <c r="X125" t="s">
        <v>2755</v>
      </c>
      <c r="Y125" t="s">
        <v>2756</v>
      </c>
      <c r="Z125" t="s">
        <v>2757</v>
      </c>
      <c r="AA125" t="s">
        <v>74</v>
      </c>
      <c r="AB125" t="s">
        <v>2758</v>
      </c>
      <c r="AC125" t="s">
        <v>2759</v>
      </c>
      <c r="AD125" t="s">
        <v>2760</v>
      </c>
      <c r="AE125" t="s">
        <v>2761</v>
      </c>
      <c r="AF125" t="s">
        <v>74</v>
      </c>
      <c r="AG125">
        <v>53</v>
      </c>
      <c r="AH125">
        <v>0</v>
      </c>
      <c r="AI125">
        <v>0</v>
      </c>
      <c r="AJ125">
        <v>20</v>
      </c>
      <c r="AK125">
        <v>21</v>
      </c>
      <c r="AL125" t="s">
        <v>2762</v>
      </c>
      <c r="AM125" t="s">
        <v>2763</v>
      </c>
      <c r="AN125" t="s">
        <v>2764</v>
      </c>
      <c r="AO125" t="s">
        <v>2765</v>
      </c>
      <c r="AP125" t="s">
        <v>2766</v>
      </c>
      <c r="AQ125" t="s">
        <v>74</v>
      </c>
      <c r="AR125" t="s">
        <v>2767</v>
      </c>
      <c r="AS125" t="s">
        <v>2768</v>
      </c>
      <c r="AT125" t="s">
        <v>2769</v>
      </c>
      <c r="AU125">
        <v>2023</v>
      </c>
      <c r="AV125" t="s">
        <v>74</v>
      </c>
      <c r="AW125" t="s">
        <v>74</v>
      </c>
      <c r="AX125" t="s">
        <v>74</v>
      </c>
      <c r="AY125" t="s">
        <v>74</v>
      </c>
      <c r="AZ125" t="s">
        <v>74</v>
      </c>
      <c r="BA125" t="s">
        <v>74</v>
      </c>
      <c r="BB125" t="s">
        <v>74</v>
      </c>
      <c r="BC125" t="s">
        <v>74</v>
      </c>
      <c r="BD125" t="s">
        <v>74</v>
      </c>
      <c r="BE125" t="s">
        <v>2770</v>
      </c>
      <c r="BF125" t="str">
        <f>HYPERLINK("http://dx.doi.org/10.1080/00288330.2023.2245770","http://dx.doi.org/10.1080/00288330.2023.2245770")</f>
        <v>http://dx.doi.org/10.1080/00288330.2023.2245770</v>
      </c>
      <c r="BG125" t="s">
        <v>74</v>
      </c>
      <c r="BH125" t="s">
        <v>1812</v>
      </c>
      <c r="BI125">
        <v>11</v>
      </c>
      <c r="BJ125" t="s">
        <v>2771</v>
      </c>
      <c r="BK125" t="s">
        <v>104</v>
      </c>
      <c r="BL125" t="s">
        <v>2771</v>
      </c>
      <c r="BM125" t="s">
        <v>2772</v>
      </c>
      <c r="BN125" t="s">
        <v>74</v>
      </c>
      <c r="BO125" t="s">
        <v>74</v>
      </c>
      <c r="BP125" t="s">
        <v>74</v>
      </c>
      <c r="BQ125" t="s">
        <v>74</v>
      </c>
      <c r="BR125" t="s">
        <v>107</v>
      </c>
      <c r="BS125" t="s">
        <v>2773</v>
      </c>
      <c r="BT125" t="str">
        <f>HYPERLINK("https%3A%2F%2Fwww.webofscience.com%2Fwos%2Fwoscc%2Ffull-record%2FWOS:001065510700001","View Full Record in Web of Science")</f>
        <v>View Full Record in Web of Science</v>
      </c>
    </row>
    <row r="126" spans="1:72" x14ac:dyDescent="0.15">
      <c r="A126" t="s">
        <v>72</v>
      </c>
      <c r="B126" t="s">
        <v>2774</v>
      </c>
      <c r="C126" t="s">
        <v>74</v>
      </c>
      <c r="D126" t="s">
        <v>74</v>
      </c>
      <c r="E126" t="s">
        <v>74</v>
      </c>
      <c r="F126" t="s">
        <v>2775</v>
      </c>
      <c r="G126" t="s">
        <v>74</v>
      </c>
      <c r="H126" t="s">
        <v>74</v>
      </c>
      <c r="I126" t="s">
        <v>2776</v>
      </c>
      <c r="J126" t="s">
        <v>2031</v>
      </c>
      <c r="K126" t="s">
        <v>74</v>
      </c>
      <c r="L126" t="s">
        <v>74</v>
      </c>
      <c r="M126" t="s">
        <v>78</v>
      </c>
      <c r="N126" t="s">
        <v>79</v>
      </c>
      <c r="O126" t="s">
        <v>74</v>
      </c>
      <c r="P126" t="s">
        <v>74</v>
      </c>
      <c r="Q126" t="s">
        <v>74</v>
      </c>
      <c r="R126" t="s">
        <v>74</v>
      </c>
      <c r="S126" t="s">
        <v>74</v>
      </c>
      <c r="T126" t="s">
        <v>2777</v>
      </c>
      <c r="U126" t="s">
        <v>2778</v>
      </c>
      <c r="V126" t="s">
        <v>2779</v>
      </c>
      <c r="W126" t="s">
        <v>2780</v>
      </c>
      <c r="X126" t="s">
        <v>2781</v>
      </c>
      <c r="Y126" t="s">
        <v>2782</v>
      </c>
      <c r="Z126" t="s">
        <v>2783</v>
      </c>
      <c r="AA126" t="s">
        <v>2784</v>
      </c>
      <c r="AB126" t="s">
        <v>2785</v>
      </c>
      <c r="AC126" t="s">
        <v>2786</v>
      </c>
      <c r="AD126" t="s">
        <v>2787</v>
      </c>
      <c r="AE126" t="s">
        <v>2788</v>
      </c>
      <c r="AF126" t="s">
        <v>74</v>
      </c>
      <c r="AG126">
        <v>109</v>
      </c>
      <c r="AH126">
        <v>0</v>
      </c>
      <c r="AI126">
        <v>0</v>
      </c>
      <c r="AJ126">
        <v>1</v>
      </c>
      <c r="AK126">
        <v>1</v>
      </c>
      <c r="AL126" t="s">
        <v>172</v>
      </c>
      <c r="AM126" t="s">
        <v>173</v>
      </c>
      <c r="AN126" t="s">
        <v>174</v>
      </c>
      <c r="AO126" t="s">
        <v>2044</v>
      </c>
      <c r="AP126" t="s">
        <v>2045</v>
      </c>
      <c r="AQ126" t="s">
        <v>74</v>
      </c>
      <c r="AR126" t="s">
        <v>2046</v>
      </c>
      <c r="AS126" t="s">
        <v>2047</v>
      </c>
      <c r="AT126" t="s">
        <v>930</v>
      </c>
      <c r="AU126">
        <v>2023</v>
      </c>
      <c r="AV126">
        <v>897</v>
      </c>
      <c r="AW126" t="s">
        <v>74</v>
      </c>
      <c r="AX126" t="s">
        <v>74</v>
      </c>
      <c r="AY126" t="s">
        <v>74</v>
      </c>
      <c r="AZ126" t="s">
        <v>74</v>
      </c>
      <c r="BA126" t="s">
        <v>74</v>
      </c>
      <c r="BB126" t="s">
        <v>74</v>
      </c>
      <c r="BC126" t="s">
        <v>74</v>
      </c>
      <c r="BD126">
        <v>166289</v>
      </c>
      <c r="BE126" t="s">
        <v>2789</v>
      </c>
      <c r="BF126" t="str">
        <f>HYPERLINK("http://dx.doi.org/10.1016/j.scitotenv.2023.166289","http://dx.doi.org/10.1016/j.scitotenv.2023.166289")</f>
        <v>http://dx.doi.org/10.1016/j.scitotenv.2023.166289</v>
      </c>
      <c r="BG126" t="s">
        <v>74</v>
      </c>
      <c r="BH126" t="s">
        <v>1812</v>
      </c>
      <c r="BI126">
        <v>14</v>
      </c>
      <c r="BJ126" t="s">
        <v>2050</v>
      </c>
      <c r="BK126" t="s">
        <v>104</v>
      </c>
      <c r="BL126" t="s">
        <v>1535</v>
      </c>
      <c r="BM126" t="s">
        <v>2790</v>
      </c>
      <c r="BN126">
        <v>37591403</v>
      </c>
      <c r="BO126" t="s">
        <v>1217</v>
      </c>
      <c r="BP126" t="s">
        <v>74</v>
      </c>
      <c r="BQ126" t="s">
        <v>74</v>
      </c>
      <c r="BR126" t="s">
        <v>107</v>
      </c>
      <c r="BS126" t="s">
        <v>2791</v>
      </c>
      <c r="BT126" t="str">
        <f>HYPERLINK("https%3A%2F%2Fwww.webofscience.com%2Fwos%2Fwoscc%2Ffull-record%2FWOS:001070306100001","View Full Record in Web of Science")</f>
        <v>View Full Record in Web of Science</v>
      </c>
    </row>
    <row r="127" spans="1:72" x14ac:dyDescent="0.15">
      <c r="A127" t="s">
        <v>72</v>
      </c>
      <c r="B127" t="s">
        <v>2792</v>
      </c>
      <c r="C127" t="s">
        <v>74</v>
      </c>
      <c r="D127" t="s">
        <v>74</v>
      </c>
      <c r="E127" t="s">
        <v>74</v>
      </c>
      <c r="F127" t="s">
        <v>2793</v>
      </c>
      <c r="G127" t="s">
        <v>74</v>
      </c>
      <c r="H127" t="s">
        <v>74</v>
      </c>
      <c r="I127" t="s">
        <v>2794</v>
      </c>
      <c r="J127" t="s">
        <v>1763</v>
      </c>
      <c r="K127" t="s">
        <v>74</v>
      </c>
      <c r="L127" t="s">
        <v>74</v>
      </c>
      <c r="M127" t="s">
        <v>78</v>
      </c>
      <c r="N127" t="s">
        <v>79</v>
      </c>
      <c r="O127" t="s">
        <v>74</v>
      </c>
      <c r="P127" t="s">
        <v>74</v>
      </c>
      <c r="Q127" t="s">
        <v>74</v>
      </c>
      <c r="R127" t="s">
        <v>74</v>
      </c>
      <c r="S127" t="s">
        <v>74</v>
      </c>
      <c r="T127" t="s">
        <v>74</v>
      </c>
      <c r="U127" t="s">
        <v>2795</v>
      </c>
      <c r="V127" t="s">
        <v>2796</v>
      </c>
      <c r="W127" t="s">
        <v>2797</v>
      </c>
      <c r="X127" t="s">
        <v>2798</v>
      </c>
      <c r="Y127" t="s">
        <v>2799</v>
      </c>
      <c r="Z127" t="s">
        <v>2800</v>
      </c>
      <c r="AA127" t="s">
        <v>2801</v>
      </c>
      <c r="AB127" t="s">
        <v>2802</v>
      </c>
      <c r="AC127" t="s">
        <v>2803</v>
      </c>
      <c r="AD127" t="s">
        <v>2804</v>
      </c>
      <c r="AE127" t="s">
        <v>2805</v>
      </c>
      <c r="AF127" t="s">
        <v>74</v>
      </c>
      <c r="AG127">
        <v>76</v>
      </c>
      <c r="AH127">
        <v>1</v>
      </c>
      <c r="AI127">
        <v>1</v>
      </c>
      <c r="AJ127">
        <v>2</v>
      </c>
      <c r="AK127">
        <v>3</v>
      </c>
      <c r="AL127" t="s">
        <v>1775</v>
      </c>
      <c r="AM127" t="s">
        <v>1776</v>
      </c>
      <c r="AN127" t="s">
        <v>1777</v>
      </c>
      <c r="AO127" t="s">
        <v>1778</v>
      </c>
      <c r="AP127" t="s">
        <v>1779</v>
      </c>
      <c r="AQ127" t="s">
        <v>74</v>
      </c>
      <c r="AR127" t="s">
        <v>1763</v>
      </c>
      <c r="AS127" t="s">
        <v>1780</v>
      </c>
      <c r="AT127" t="s">
        <v>2743</v>
      </c>
      <c r="AU127">
        <v>2023</v>
      </c>
      <c r="AV127">
        <v>17</v>
      </c>
      <c r="AW127">
        <v>8</v>
      </c>
      <c r="AX127" t="s">
        <v>74</v>
      </c>
      <c r="AY127" t="s">
        <v>74</v>
      </c>
      <c r="AZ127" t="s">
        <v>74</v>
      </c>
      <c r="BA127" t="s">
        <v>74</v>
      </c>
      <c r="BB127">
        <v>3443</v>
      </c>
      <c r="BC127">
        <v>3459</v>
      </c>
      <c r="BD127" t="s">
        <v>74</v>
      </c>
      <c r="BE127" t="s">
        <v>2806</v>
      </c>
      <c r="BF127" t="str">
        <f>HYPERLINK("http://dx.doi.org/10.5194/tc-17-3443-2023","http://dx.doi.org/10.5194/tc-17-3443-2023")</f>
        <v>http://dx.doi.org/10.5194/tc-17-3443-2023</v>
      </c>
      <c r="BG127" t="s">
        <v>74</v>
      </c>
      <c r="BH127" t="s">
        <v>74</v>
      </c>
      <c r="BI127">
        <v>17</v>
      </c>
      <c r="BJ127" t="s">
        <v>1783</v>
      </c>
      <c r="BK127" t="s">
        <v>104</v>
      </c>
      <c r="BL127" t="s">
        <v>1784</v>
      </c>
      <c r="BM127" t="s">
        <v>2807</v>
      </c>
      <c r="BN127" t="s">
        <v>74</v>
      </c>
      <c r="BO127" t="s">
        <v>771</v>
      </c>
      <c r="BP127" t="s">
        <v>74</v>
      </c>
      <c r="BQ127" t="s">
        <v>74</v>
      </c>
      <c r="BR127" t="s">
        <v>107</v>
      </c>
      <c r="BS127" t="s">
        <v>2808</v>
      </c>
      <c r="BT127" t="str">
        <f>HYPERLINK("https%3A%2F%2Fwww.webofscience.com%2Fwos%2Fwoscc%2Ffull-record%2FWOS:001052939800001","View Full Record in Web of Science")</f>
        <v>View Full Record in Web of Science</v>
      </c>
    </row>
    <row r="128" spans="1:72" x14ac:dyDescent="0.15">
      <c r="A128" t="s">
        <v>72</v>
      </c>
      <c r="B128" t="s">
        <v>2809</v>
      </c>
      <c r="C128" t="s">
        <v>74</v>
      </c>
      <c r="D128" t="s">
        <v>74</v>
      </c>
      <c r="E128" t="s">
        <v>74</v>
      </c>
      <c r="F128" t="s">
        <v>2810</v>
      </c>
      <c r="G128" t="s">
        <v>74</v>
      </c>
      <c r="H128" t="s">
        <v>74</v>
      </c>
      <c r="I128" t="s">
        <v>2811</v>
      </c>
      <c r="J128" t="s">
        <v>1763</v>
      </c>
      <c r="K128" t="s">
        <v>74</v>
      </c>
      <c r="L128" t="s">
        <v>74</v>
      </c>
      <c r="M128" t="s">
        <v>78</v>
      </c>
      <c r="N128" t="s">
        <v>79</v>
      </c>
      <c r="O128" t="s">
        <v>74</v>
      </c>
      <c r="P128" t="s">
        <v>74</v>
      </c>
      <c r="Q128" t="s">
        <v>74</v>
      </c>
      <c r="R128" t="s">
        <v>74</v>
      </c>
      <c r="S128" t="s">
        <v>74</v>
      </c>
      <c r="T128" t="s">
        <v>74</v>
      </c>
      <c r="U128" t="s">
        <v>2812</v>
      </c>
      <c r="V128" t="s">
        <v>2813</v>
      </c>
      <c r="W128" t="s">
        <v>2814</v>
      </c>
      <c r="X128" t="s">
        <v>2815</v>
      </c>
      <c r="Y128" t="s">
        <v>2816</v>
      </c>
      <c r="Z128" t="s">
        <v>2817</v>
      </c>
      <c r="AA128" t="s">
        <v>2818</v>
      </c>
      <c r="AB128" t="s">
        <v>2819</v>
      </c>
      <c r="AC128" t="s">
        <v>2820</v>
      </c>
      <c r="AD128" t="s">
        <v>2821</v>
      </c>
      <c r="AE128" t="s">
        <v>2822</v>
      </c>
      <c r="AF128" t="s">
        <v>74</v>
      </c>
      <c r="AG128">
        <v>97</v>
      </c>
      <c r="AH128">
        <v>2</v>
      </c>
      <c r="AI128">
        <v>2</v>
      </c>
      <c r="AJ128">
        <v>5</v>
      </c>
      <c r="AK128">
        <v>9</v>
      </c>
      <c r="AL128" t="s">
        <v>1775</v>
      </c>
      <c r="AM128" t="s">
        <v>1776</v>
      </c>
      <c r="AN128" t="s">
        <v>1777</v>
      </c>
      <c r="AO128" t="s">
        <v>1778</v>
      </c>
      <c r="AP128" t="s">
        <v>1779</v>
      </c>
      <c r="AQ128" t="s">
        <v>74</v>
      </c>
      <c r="AR128" t="s">
        <v>1763</v>
      </c>
      <c r="AS128" t="s">
        <v>1780</v>
      </c>
      <c r="AT128" t="s">
        <v>2743</v>
      </c>
      <c r="AU128">
        <v>2023</v>
      </c>
      <c r="AV128">
        <v>17</v>
      </c>
      <c r="AW128">
        <v>8</v>
      </c>
      <c r="AX128" t="s">
        <v>74</v>
      </c>
      <c r="AY128" t="s">
        <v>74</v>
      </c>
      <c r="AZ128" t="s">
        <v>74</v>
      </c>
      <c r="BA128" t="s">
        <v>74</v>
      </c>
      <c r="BB128">
        <v>3409</v>
      </c>
      <c r="BC128">
        <v>3433</v>
      </c>
      <c r="BD128" t="s">
        <v>74</v>
      </c>
      <c r="BE128" t="s">
        <v>2823</v>
      </c>
      <c r="BF128" t="str">
        <f>HYPERLINK("http://dx.doi.org/10.5194/tc-17-3409-2023","http://dx.doi.org/10.5194/tc-17-3409-2023")</f>
        <v>http://dx.doi.org/10.5194/tc-17-3409-2023</v>
      </c>
      <c r="BG128" t="s">
        <v>74</v>
      </c>
      <c r="BH128" t="s">
        <v>74</v>
      </c>
      <c r="BI128">
        <v>25</v>
      </c>
      <c r="BJ128" t="s">
        <v>1783</v>
      </c>
      <c r="BK128" t="s">
        <v>104</v>
      </c>
      <c r="BL128" t="s">
        <v>1784</v>
      </c>
      <c r="BM128" t="s">
        <v>2824</v>
      </c>
      <c r="BN128" t="s">
        <v>74</v>
      </c>
      <c r="BO128" t="s">
        <v>771</v>
      </c>
      <c r="BP128" t="s">
        <v>74</v>
      </c>
      <c r="BQ128" t="s">
        <v>74</v>
      </c>
      <c r="BR128" t="s">
        <v>107</v>
      </c>
      <c r="BS128" t="s">
        <v>2825</v>
      </c>
      <c r="BT128" t="str">
        <f>HYPERLINK("https%3A%2F%2Fwww.webofscience.com%2Fwos%2Fwoscc%2Ffull-record%2FWOS:001052889200001","View Full Record in Web of Science")</f>
        <v>View Full Record in Web of Science</v>
      </c>
    </row>
    <row r="129" spans="1:72" x14ac:dyDescent="0.15">
      <c r="A129" t="s">
        <v>72</v>
      </c>
      <c r="B129" t="s">
        <v>2826</v>
      </c>
      <c r="C129" t="s">
        <v>74</v>
      </c>
      <c r="D129" t="s">
        <v>74</v>
      </c>
      <c r="E129" t="s">
        <v>74</v>
      </c>
      <c r="F129" t="s">
        <v>2827</v>
      </c>
      <c r="G129" t="s">
        <v>74</v>
      </c>
      <c r="H129" t="s">
        <v>74</v>
      </c>
      <c r="I129" t="s">
        <v>2828</v>
      </c>
      <c r="J129" t="s">
        <v>2829</v>
      </c>
      <c r="K129" t="s">
        <v>74</v>
      </c>
      <c r="L129" t="s">
        <v>74</v>
      </c>
      <c r="M129" t="s">
        <v>78</v>
      </c>
      <c r="N129" t="s">
        <v>79</v>
      </c>
      <c r="O129" t="s">
        <v>74</v>
      </c>
      <c r="P129" t="s">
        <v>74</v>
      </c>
      <c r="Q129" t="s">
        <v>74</v>
      </c>
      <c r="R129" t="s">
        <v>74</v>
      </c>
      <c r="S129" t="s">
        <v>74</v>
      </c>
      <c r="T129" t="s">
        <v>2830</v>
      </c>
      <c r="U129" t="s">
        <v>2831</v>
      </c>
      <c r="V129" t="s">
        <v>2832</v>
      </c>
      <c r="W129" t="s">
        <v>2833</v>
      </c>
      <c r="X129" t="s">
        <v>2834</v>
      </c>
      <c r="Y129" t="s">
        <v>2835</v>
      </c>
      <c r="Z129" t="s">
        <v>2836</v>
      </c>
      <c r="AA129" t="s">
        <v>74</v>
      </c>
      <c r="AB129" t="s">
        <v>2837</v>
      </c>
      <c r="AC129" t="s">
        <v>2838</v>
      </c>
      <c r="AD129" t="s">
        <v>2839</v>
      </c>
      <c r="AE129" t="s">
        <v>2840</v>
      </c>
      <c r="AF129" t="s">
        <v>74</v>
      </c>
      <c r="AG129">
        <v>84</v>
      </c>
      <c r="AH129">
        <v>0</v>
      </c>
      <c r="AI129">
        <v>0</v>
      </c>
      <c r="AJ129">
        <v>6</v>
      </c>
      <c r="AK129">
        <v>6</v>
      </c>
      <c r="AL129" t="s">
        <v>2305</v>
      </c>
      <c r="AM129" t="s">
        <v>538</v>
      </c>
      <c r="AN129" t="s">
        <v>2306</v>
      </c>
      <c r="AO129" t="s">
        <v>2841</v>
      </c>
      <c r="AP129" t="s">
        <v>2842</v>
      </c>
      <c r="AQ129" t="s">
        <v>74</v>
      </c>
      <c r="AR129" t="s">
        <v>2843</v>
      </c>
      <c r="AS129" t="s">
        <v>2844</v>
      </c>
      <c r="AT129" t="s">
        <v>1810</v>
      </c>
      <c r="AU129">
        <v>2023</v>
      </c>
      <c r="AV129">
        <v>185</v>
      </c>
      <c r="AW129" t="s">
        <v>74</v>
      </c>
      <c r="AX129" t="s">
        <v>74</v>
      </c>
      <c r="AY129" t="s">
        <v>74</v>
      </c>
      <c r="AZ129" t="s">
        <v>74</v>
      </c>
      <c r="BA129" t="s">
        <v>74</v>
      </c>
      <c r="BB129" t="s">
        <v>74</v>
      </c>
      <c r="BC129" t="s">
        <v>74</v>
      </c>
      <c r="BD129">
        <v>109151</v>
      </c>
      <c r="BE129" t="s">
        <v>2845</v>
      </c>
      <c r="BF129" t="str">
        <f>HYPERLINK("http://dx.doi.org/10.1016/j.soilbio.2023.109151","http://dx.doi.org/10.1016/j.soilbio.2023.109151")</f>
        <v>http://dx.doi.org/10.1016/j.soilbio.2023.109151</v>
      </c>
      <c r="BG129" t="s">
        <v>74</v>
      </c>
      <c r="BH129" t="s">
        <v>1812</v>
      </c>
      <c r="BI129">
        <v>9</v>
      </c>
      <c r="BJ129" t="s">
        <v>1861</v>
      </c>
      <c r="BK129" t="s">
        <v>104</v>
      </c>
      <c r="BL129" t="s">
        <v>1862</v>
      </c>
      <c r="BM129" t="s">
        <v>2846</v>
      </c>
      <c r="BN129" t="s">
        <v>74</v>
      </c>
      <c r="BO129" t="s">
        <v>549</v>
      </c>
      <c r="BP129" t="s">
        <v>74</v>
      </c>
      <c r="BQ129" t="s">
        <v>74</v>
      </c>
      <c r="BR129" t="s">
        <v>107</v>
      </c>
      <c r="BS129" t="s">
        <v>2847</v>
      </c>
      <c r="BT129" t="str">
        <f>HYPERLINK("https%3A%2F%2Fwww.webofscience.com%2Fwos%2Fwoscc%2Ffull-record%2FWOS:001092028400001","View Full Record in Web of Science")</f>
        <v>View Full Record in Web of Science</v>
      </c>
    </row>
    <row r="130" spans="1:72" x14ac:dyDescent="0.15">
      <c r="A130" t="s">
        <v>72</v>
      </c>
      <c r="B130" t="s">
        <v>2848</v>
      </c>
      <c r="C130" t="s">
        <v>74</v>
      </c>
      <c r="D130" t="s">
        <v>74</v>
      </c>
      <c r="E130" t="s">
        <v>74</v>
      </c>
      <c r="F130" t="s">
        <v>2849</v>
      </c>
      <c r="G130" t="s">
        <v>74</v>
      </c>
      <c r="H130" t="s">
        <v>74</v>
      </c>
      <c r="I130" t="s">
        <v>2850</v>
      </c>
      <c r="J130" t="s">
        <v>2851</v>
      </c>
      <c r="K130" t="s">
        <v>74</v>
      </c>
      <c r="L130" t="s">
        <v>74</v>
      </c>
      <c r="M130" t="s">
        <v>78</v>
      </c>
      <c r="N130" t="s">
        <v>79</v>
      </c>
      <c r="O130" t="s">
        <v>74</v>
      </c>
      <c r="P130" t="s">
        <v>74</v>
      </c>
      <c r="Q130" t="s">
        <v>74</v>
      </c>
      <c r="R130" t="s">
        <v>74</v>
      </c>
      <c r="S130" t="s">
        <v>74</v>
      </c>
      <c r="T130" t="s">
        <v>2852</v>
      </c>
      <c r="U130" t="s">
        <v>2853</v>
      </c>
      <c r="V130" t="s">
        <v>2854</v>
      </c>
      <c r="W130" t="s">
        <v>2855</v>
      </c>
      <c r="X130" t="s">
        <v>2856</v>
      </c>
      <c r="Y130" t="s">
        <v>2857</v>
      </c>
      <c r="Z130" t="s">
        <v>2858</v>
      </c>
      <c r="AA130" t="s">
        <v>74</v>
      </c>
      <c r="AB130" t="s">
        <v>2859</v>
      </c>
      <c r="AC130" t="s">
        <v>2860</v>
      </c>
      <c r="AD130" t="s">
        <v>2860</v>
      </c>
      <c r="AE130" t="s">
        <v>2861</v>
      </c>
      <c r="AF130" t="s">
        <v>74</v>
      </c>
      <c r="AG130">
        <v>57</v>
      </c>
      <c r="AH130">
        <v>0</v>
      </c>
      <c r="AI130">
        <v>0</v>
      </c>
      <c r="AJ130">
        <v>1</v>
      </c>
      <c r="AK130">
        <v>1</v>
      </c>
      <c r="AL130" t="s">
        <v>2862</v>
      </c>
      <c r="AM130" t="s">
        <v>2863</v>
      </c>
      <c r="AN130" t="s">
        <v>2864</v>
      </c>
      <c r="AO130" t="s">
        <v>2865</v>
      </c>
      <c r="AP130" t="s">
        <v>2866</v>
      </c>
      <c r="AQ130" t="s">
        <v>74</v>
      </c>
      <c r="AR130" t="s">
        <v>2867</v>
      </c>
      <c r="AS130" t="s">
        <v>2868</v>
      </c>
      <c r="AT130" t="s">
        <v>2869</v>
      </c>
      <c r="AU130">
        <v>2023</v>
      </c>
      <c r="AV130">
        <v>42</v>
      </c>
      <c r="AW130" t="s">
        <v>74</v>
      </c>
      <c r="AX130" t="s">
        <v>74</v>
      </c>
      <c r="AY130" t="s">
        <v>74</v>
      </c>
      <c r="AZ130" t="s">
        <v>74</v>
      </c>
      <c r="BA130" t="s">
        <v>74</v>
      </c>
      <c r="BB130" t="s">
        <v>74</v>
      </c>
      <c r="BC130" t="s">
        <v>74</v>
      </c>
      <c r="BD130">
        <v>9108</v>
      </c>
      <c r="BE130" t="s">
        <v>2870</v>
      </c>
      <c r="BF130" t="str">
        <f>HYPERLINK("http://dx.doi.org/10.33265/polar.v42.9108","http://dx.doi.org/10.33265/polar.v42.9108")</f>
        <v>http://dx.doi.org/10.33265/polar.v42.9108</v>
      </c>
      <c r="BG130" t="s">
        <v>74</v>
      </c>
      <c r="BH130" t="s">
        <v>74</v>
      </c>
      <c r="BI130">
        <v>12</v>
      </c>
      <c r="BJ130" t="s">
        <v>2871</v>
      </c>
      <c r="BK130" t="s">
        <v>104</v>
      </c>
      <c r="BL130" t="s">
        <v>2872</v>
      </c>
      <c r="BM130" t="s">
        <v>2873</v>
      </c>
      <c r="BN130" t="s">
        <v>74</v>
      </c>
      <c r="BO130" t="s">
        <v>206</v>
      </c>
      <c r="BP130" t="s">
        <v>74</v>
      </c>
      <c r="BQ130" t="s">
        <v>74</v>
      </c>
      <c r="BR130" t="s">
        <v>107</v>
      </c>
      <c r="BS130" t="s">
        <v>2874</v>
      </c>
      <c r="BT130" t="str">
        <f>HYPERLINK("https%3A%2F%2Fwww.webofscience.com%2Fwos%2Fwoscc%2Ffull-record%2FWOS:001075471600001","View Full Record in Web of Science")</f>
        <v>View Full Record in Web of Science</v>
      </c>
    </row>
    <row r="131" spans="1:72" x14ac:dyDescent="0.15">
      <c r="A131" t="s">
        <v>72</v>
      </c>
      <c r="B131" t="s">
        <v>2875</v>
      </c>
      <c r="C131" t="s">
        <v>74</v>
      </c>
      <c r="D131" t="s">
        <v>74</v>
      </c>
      <c r="E131" t="s">
        <v>74</v>
      </c>
      <c r="F131" t="s">
        <v>2876</v>
      </c>
      <c r="G131" t="s">
        <v>74</v>
      </c>
      <c r="H131" t="s">
        <v>74</v>
      </c>
      <c r="I131" t="s">
        <v>2877</v>
      </c>
      <c r="J131" t="s">
        <v>2878</v>
      </c>
      <c r="K131" t="s">
        <v>74</v>
      </c>
      <c r="L131" t="s">
        <v>74</v>
      </c>
      <c r="M131" t="s">
        <v>78</v>
      </c>
      <c r="N131" t="s">
        <v>79</v>
      </c>
      <c r="O131" t="s">
        <v>74</v>
      </c>
      <c r="P131" t="s">
        <v>74</v>
      </c>
      <c r="Q131" t="s">
        <v>74</v>
      </c>
      <c r="R131" t="s">
        <v>74</v>
      </c>
      <c r="S131" t="s">
        <v>74</v>
      </c>
      <c r="T131" t="s">
        <v>2879</v>
      </c>
      <c r="U131" t="s">
        <v>2880</v>
      </c>
      <c r="V131" t="s">
        <v>2881</v>
      </c>
      <c r="W131" t="s">
        <v>2882</v>
      </c>
      <c r="X131" t="s">
        <v>2883</v>
      </c>
      <c r="Y131" t="s">
        <v>2884</v>
      </c>
      <c r="Z131" t="s">
        <v>2885</v>
      </c>
      <c r="AA131" t="s">
        <v>74</v>
      </c>
      <c r="AB131" t="s">
        <v>2886</v>
      </c>
      <c r="AC131" t="s">
        <v>74</v>
      </c>
      <c r="AD131" t="s">
        <v>74</v>
      </c>
      <c r="AE131" t="s">
        <v>74</v>
      </c>
      <c r="AF131" t="s">
        <v>74</v>
      </c>
      <c r="AG131">
        <v>78</v>
      </c>
      <c r="AH131">
        <v>1</v>
      </c>
      <c r="AI131">
        <v>1</v>
      </c>
      <c r="AJ131">
        <v>3</v>
      </c>
      <c r="AK131">
        <v>3</v>
      </c>
      <c r="AL131" t="s">
        <v>537</v>
      </c>
      <c r="AM131" t="s">
        <v>538</v>
      </c>
      <c r="AN131" t="s">
        <v>539</v>
      </c>
      <c r="AO131" t="s">
        <v>2887</v>
      </c>
      <c r="AP131" t="s">
        <v>2888</v>
      </c>
      <c r="AQ131" t="s">
        <v>74</v>
      </c>
      <c r="AR131" t="s">
        <v>2889</v>
      </c>
      <c r="AS131" t="s">
        <v>2890</v>
      </c>
      <c r="AT131" t="s">
        <v>2869</v>
      </c>
      <c r="AU131">
        <v>2023</v>
      </c>
      <c r="AV131">
        <v>99</v>
      </c>
      <c r="AW131">
        <v>9</v>
      </c>
      <c r="AX131" t="s">
        <v>74</v>
      </c>
      <c r="AY131" t="s">
        <v>74</v>
      </c>
      <c r="AZ131" t="s">
        <v>74</v>
      </c>
      <c r="BA131" t="s">
        <v>74</v>
      </c>
      <c r="BB131" t="s">
        <v>74</v>
      </c>
      <c r="BC131" t="s">
        <v>74</v>
      </c>
      <c r="BD131" t="s">
        <v>2891</v>
      </c>
      <c r="BE131" t="s">
        <v>2892</v>
      </c>
      <c r="BF131" t="str">
        <f>HYPERLINK("http://dx.doi.org/10.1093/femsec/fiad088","http://dx.doi.org/10.1093/femsec/fiad088")</f>
        <v>http://dx.doi.org/10.1093/femsec/fiad088</v>
      </c>
      <c r="BG131" t="s">
        <v>74</v>
      </c>
      <c r="BH131" t="s">
        <v>74</v>
      </c>
      <c r="BI131">
        <v>10</v>
      </c>
      <c r="BJ131" t="s">
        <v>702</v>
      </c>
      <c r="BK131" t="s">
        <v>104</v>
      </c>
      <c r="BL131" t="s">
        <v>702</v>
      </c>
      <c r="BM131" t="s">
        <v>2893</v>
      </c>
      <c r="BN131">
        <v>37553143</v>
      </c>
      <c r="BO131" t="s">
        <v>2894</v>
      </c>
      <c r="BP131" t="s">
        <v>74</v>
      </c>
      <c r="BQ131" t="s">
        <v>74</v>
      </c>
      <c r="BR131" t="s">
        <v>107</v>
      </c>
      <c r="BS131" t="s">
        <v>2895</v>
      </c>
      <c r="BT131" t="str">
        <f>HYPERLINK("https%3A%2F%2Fwww.webofscience.com%2Fwos%2Fwoscc%2Ffull-record%2FWOS:001062500700001","View Full Record in Web of Science")</f>
        <v>View Full Record in Web of Science</v>
      </c>
    </row>
    <row r="132" spans="1:72" x14ac:dyDescent="0.15">
      <c r="A132" t="s">
        <v>72</v>
      </c>
      <c r="B132" t="s">
        <v>2896</v>
      </c>
      <c r="C132" t="s">
        <v>74</v>
      </c>
      <c r="D132" t="s">
        <v>74</v>
      </c>
      <c r="E132" t="s">
        <v>74</v>
      </c>
      <c r="F132" t="s">
        <v>2897</v>
      </c>
      <c r="G132" t="s">
        <v>74</v>
      </c>
      <c r="H132" t="s">
        <v>74</v>
      </c>
      <c r="I132" t="s">
        <v>2898</v>
      </c>
      <c r="J132" t="s">
        <v>2031</v>
      </c>
      <c r="K132" t="s">
        <v>74</v>
      </c>
      <c r="L132" t="s">
        <v>74</v>
      </c>
      <c r="M132" t="s">
        <v>78</v>
      </c>
      <c r="N132" t="s">
        <v>79</v>
      </c>
      <c r="O132" t="s">
        <v>74</v>
      </c>
      <c r="P132" t="s">
        <v>74</v>
      </c>
      <c r="Q132" t="s">
        <v>74</v>
      </c>
      <c r="R132" t="s">
        <v>74</v>
      </c>
      <c r="S132" t="s">
        <v>74</v>
      </c>
      <c r="T132" t="s">
        <v>2899</v>
      </c>
      <c r="U132" t="s">
        <v>2900</v>
      </c>
      <c r="V132" t="s">
        <v>2901</v>
      </c>
      <c r="W132" t="s">
        <v>2902</v>
      </c>
      <c r="X132" t="s">
        <v>2903</v>
      </c>
      <c r="Y132" t="s">
        <v>2904</v>
      </c>
      <c r="Z132" t="s">
        <v>2905</v>
      </c>
      <c r="AA132" t="s">
        <v>2906</v>
      </c>
      <c r="AB132" t="s">
        <v>2907</v>
      </c>
      <c r="AC132" t="s">
        <v>2908</v>
      </c>
      <c r="AD132" t="s">
        <v>2909</v>
      </c>
      <c r="AE132" t="s">
        <v>2910</v>
      </c>
      <c r="AF132" t="s">
        <v>74</v>
      </c>
      <c r="AG132">
        <v>74</v>
      </c>
      <c r="AH132">
        <v>5</v>
      </c>
      <c r="AI132">
        <v>5</v>
      </c>
      <c r="AJ132">
        <v>36</v>
      </c>
      <c r="AK132">
        <v>42</v>
      </c>
      <c r="AL132" t="s">
        <v>172</v>
      </c>
      <c r="AM132" t="s">
        <v>173</v>
      </c>
      <c r="AN132" t="s">
        <v>174</v>
      </c>
      <c r="AO132" t="s">
        <v>2044</v>
      </c>
      <c r="AP132" t="s">
        <v>2045</v>
      </c>
      <c r="AQ132" t="s">
        <v>74</v>
      </c>
      <c r="AR132" t="s">
        <v>2046</v>
      </c>
      <c r="AS132" t="s">
        <v>2047</v>
      </c>
      <c r="AT132" t="s">
        <v>2643</v>
      </c>
      <c r="AU132">
        <v>2023</v>
      </c>
      <c r="AV132">
        <v>904</v>
      </c>
      <c r="AW132" t="s">
        <v>74</v>
      </c>
      <c r="AX132" t="s">
        <v>74</v>
      </c>
      <c r="AY132" t="s">
        <v>74</v>
      </c>
      <c r="AZ132" t="s">
        <v>74</v>
      </c>
      <c r="BA132" t="s">
        <v>74</v>
      </c>
      <c r="BB132" t="s">
        <v>74</v>
      </c>
      <c r="BC132" t="s">
        <v>74</v>
      </c>
      <c r="BD132">
        <v>166357</v>
      </c>
      <c r="BE132" t="s">
        <v>2911</v>
      </c>
      <c r="BF132" t="str">
        <f>HYPERLINK("http://dx.doi.org/10.1016/j.scitotenv.2023.166357","http://dx.doi.org/10.1016/j.scitotenv.2023.166357")</f>
        <v>http://dx.doi.org/10.1016/j.scitotenv.2023.166357</v>
      </c>
      <c r="BG132" t="s">
        <v>74</v>
      </c>
      <c r="BH132" t="s">
        <v>1812</v>
      </c>
      <c r="BI132">
        <v>10</v>
      </c>
      <c r="BJ132" t="s">
        <v>2050</v>
      </c>
      <c r="BK132" t="s">
        <v>104</v>
      </c>
      <c r="BL132" t="s">
        <v>1535</v>
      </c>
      <c r="BM132" t="s">
        <v>2912</v>
      </c>
      <c r="BN132">
        <v>37595913</v>
      </c>
      <c r="BO132" t="s">
        <v>1128</v>
      </c>
      <c r="BP132" t="s">
        <v>74</v>
      </c>
      <c r="BQ132" t="s">
        <v>74</v>
      </c>
      <c r="BR132" t="s">
        <v>107</v>
      </c>
      <c r="BS132" t="s">
        <v>2913</v>
      </c>
      <c r="BT132" t="str">
        <f>HYPERLINK("https%3A%2F%2Fwww.webofscience.com%2Fwos%2Fwoscc%2Ffull-record%2FWOS:001066348500001","View Full Record in Web of Science")</f>
        <v>View Full Record in Web of Science</v>
      </c>
    </row>
    <row r="133" spans="1:72" x14ac:dyDescent="0.15">
      <c r="A133" t="s">
        <v>72</v>
      </c>
      <c r="B133" t="s">
        <v>2914</v>
      </c>
      <c r="C133" t="s">
        <v>74</v>
      </c>
      <c r="D133" t="s">
        <v>74</v>
      </c>
      <c r="E133" t="s">
        <v>74</v>
      </c>
      <c r="F133" t="s">
        <v>2915</v>
      </c>
      <c r="G133" t="s">
        <v>74</v>
      </c>
      <c r="H133" t="s">
        <v>74</v>
      </c>
      <c r="I133" t="s">
        <v>2916</v>
      </c>
      <c r="J133" t="s">
        <v>2917</v>
      </c>
      <c r="K133" t="s">
        <v>74</v>
      </c>
      <c r="L133" t="s">
        <v>74</v>
      </c>
      <c r="M133" t="s">
        <v>78</v>
      </c>
      <c r="N133" t="s">
        <v>79</v>
      </c>
      <c r="O133" t="s">
        <v>74</v>
      </c>
      <c r="P133" t="s">
        <v>74</v>
      </c>
      <c r="Q133" t="s">
        <v>74</v>
      </c>
      <c r="R133" t="s">
        <v>74</v>
      </c>
      <c r="S133" t="s">
        <v>74</v>
      </c>
      <c r="T133" t="s">
        <v>74</v>
      </c>
      <c r="U133" t="s">
        <v>2918</v>
      </c>
      <c r="V133" t="s">
        <v>2919</v>
      </c>
      <c r="W133" t="s">
        <v>2920</v>
      </c>
      <c r="X133" t="s">
        <v>2921</v>
      </c>
      <c r="Y133" t="s">
        <v>2922</v>
      </c>
      <c r="Z133" t="s">
        <v>2923</v>
      </c>
      <c r="AA133" t="s">
        <v>2924</v>
      </c>
      <c r="AB133" t="s">
        <v>2925</v>
      </c>
      <c r="AC133" t="s">
        <v>2926</v>
      </c>
      <c r="AD133" t="s">
        <v>2927</v>
      </c>
      <c r="AE133" t="s">
        <v>2928</v>
      </c>
      <c r="AF133" t="s">
        <v>74</v>
      </c>
      <c r="AG133">
        <v>59</v>
      </c>
      <c r="AH133">
        <v>6</v>
      </c>
      <c r="AI133">
        <v>6</v>
      </c>
      <c r="AJ133">
        <v>5</v>
      </c>
      <c r="AK133">
        <v>8</v>
      </c>
      <c r="AL133" t="s">
        <v>146</v>
      </c>
      <c r="AM133" t="s">
        <v>147</v>
      </c>
      <c r="AN133" t="s">
        <v>148</v>
      </c>
      <c r="AO133" t="s">
        <v>74</v>
      </c>
      <c r="AP133" t="s">
        <v>2929</v>
      </c>
      <c r="AQ133" t="s">
        <v>74</v>
      </c>
      <c r="AR133" t="s">
        <v>2930</v>
      </c>
      <c r="AS133" t="s">
        <v>2931</v>
      </c>
      <c r="AT133" t="s">
        <v>2869</v>
      </c>
      <c r="AU133">
        <v>2023</v>
      </c>
      <c r="AV133">
        <v>14</v>
      </c>
      <c r="AW133">
        <v>1</v>
      </c>
      <c r="AX133" t="s">
        <v>74</v>
      </c>
      <c r="AY133" t="s">
        <v>74</v>
      </c>
      <c r="AZ133" t="s">
        <v>74</v>
      </c>
      <c r="BA133" t="s">
        <v>74</v>
      </c>
      <c r="BB133" t="s">
        <v>74</v>
      </c>
      <c r="BC133" t="s">
        <v>74</v>
      </c>
      <c r="BD133" t="s">
        <v>74</v>
      </c>
      <c r="BE133" t="s">
        <v>2932</v>
      </c>
      <c r="BF133" t="str">
        <f>HYPERLINK("http://dx.doi.org/10.1038/s41467-023-40848-z","http://dx.doi.org/10.1038/s41467-023-40848-z")</f>
        <v>http://dx.doi.org/10.1038/s41467-023-40848-z</v>
      </c>
      <c r="BG133" t="s">
        <v>74</v>
      </c>
      <c r="BH133" t="s">
        <v>74</v>
      </c>
      <c r="BI133">
        <v>10</v>
      </c>
      <c r="BJ133" t="s">
        <v>1881</v>
      </c>
      <c r="BK133" t="s">
        <v>104</v>
      </c>
      <c r="BL133" t="s">
        <v>1882</v>
      </c>
      <c r="BM133" t="s">
        <v>2933</v>
      </c>
      <c r="BN133">
        <v>37607914</v>
      </c>
      <c r="BO133" t="s">
        <v>2934</v>
      </c>
      <c r="BP133" t="s">
        <v>74</v>
      </c>
      <c r="BQ133" t="s">
        <v>74</v>
      </c>
      <c r="BR133" t="s">
        <v>107</v>
      </c>
      <c r="BS133" t="s">
        <v>2935</v>
      </c>
      <c r="BT133" t="str">
        <f>HYPERLINK("https%3A%2F%2Fwww.webofscience.com%2Fwos%2Fwoscc%2Ffull-record%2FWOS:001053269200017","View Full Record in Web of Science")</f>
        <v>View Full Record in Web of Science</v>
      </c>
    </row>
    <row r="134" spans="1:72" x14ac:dyDescent="0.15">
      <c r="A134" t="s">
        <v>72</v>
      </c>
      <c r="B134" t="s">
        <v>2936</v>
      </c>
      <c r="C134" t="s">
        <v>74</v>
      </c>
      <c r="D134" t="s">
        <v>74</v>
      </c>
      <c r="E134" t="s">
        <v>74</v>
      </c>
      <c r="F134" t="s">
        <v>2937</v>
      </c>
      <c r="G134" t="s">
        <v>74</v>
      </c>
      <c r="H134" t="s">
        <v>74</v>
      </c>
      <c r="I134" t="s">
        <v>2938</v>
      </c>
      <c r="J134" t="s">
        <v>2878</v>
      </c>
      <c r="K134" t="s">
        <v>74</v>
      </c>
      <c r="L134" t="s">
        <v>74</v>
      </c>
      <c r="M134" t="s">
        <v>78</v>
      </c>
      <c r="N134" t="s">
        <v>79</v>
      </c>
      <c r="O134" t="s">
        <v>74</v>
      </c>
      <c r="P134" t="s">
        <v>74</v>
      </c>
      <c r="Q134" t="s">
        <v>74</v>
      </c>
      <c r="R134" t="s">
        <v>74</v>
      </c>
      <c r="S134" t="s">
        <v>74</v>
      </c>
      <c r="T134" t="s">
        <v>2939</v>
      </c>
      <c r="U134" t="s">
        <v>2940</v>
      </c>
      <c r="V134" t="s">
        <v>2941</v>
      </c>
      <c r="W134" t="s">
        <v>2942</v>
      </c>
      <c r="X134" t="s">
        <v>2943</v>
      </c>
      <c r="Y134" t="s">
        <v>2944</v>
      </c>
      <c r="Z134" t="s">
        <v>2945</v>
      </c>
      <c r="AA134" t="s">
        <v>2946</v>
      </c>
      <c r="AB134" t="s">
        <v>2947</v>
      </c>
      <c r="AC134" t="s">
        <v>2948</v>
      </c>
      <c r="AD134" t="s">
        <v>2949</v>
      </c>
      <c r="AE134" t="s">
        <v>2950</v>
      </c>
      <c r="AF134" t="s">
        <v>74</v>
      </c>
      <c r="AG134">
        <v>97</v>
      </c>
      <c r="AH134">
        <v>1</v>
      </c>
      <c r="AI134">
        <v>1</v>
      </c>
      <c r="AJ134">
        <v>6</v>
      </c>
      <c r="AK134">
        <v>12</v>
      </c>
      <c r="AL134" t="s">
        <v>537</v>
      </c>
      <c r="AM134" t="s">
        <v>538</v>
      </c>
      <c r="AN134" t="s">
        <v>539</v>
      </c>
      <c r="AO134" t="s">
        <v>2887</v>
      </c>
      <c r="AP134" t="s">
        <v>2888</v>
      </c>
      <c r="AQ134" t="s">
        <v>74</v>
      </c>
      <c r="AR134" t="s">
        <v>2889</v>
      </c>
      <c r="AS134" t="s">
        <v>2890</v>
      </c>
      <c r="AT134" t="s">
        <v>2869</v>
      </c>
      <c r="AU134">
        <v>2023</v>
      </c>
      <c r="AV134">
        <v>99</v>
      </c>
      <c r="AW134">
        <v>9</v>
      </c>
      <c r="AX134" t="s">
        <v>74</v>
      </c>
      <c r="AY134" t="s">
        <v>74</v>
      </c>
      <c r="AZ134" t="s">
        <v>74</v>
      </c>
      <c r="BA134" t="s">
        <v>74</v>
      </c>
      <c r="BB134" t="s">
        <v>74</v>
      </c>
      <c r="BC134" t="s">
        <v>74</v>
      </c>
      <c r="BD134" t="s">
        <v>2951</v>
      </c>
      <c r="BE134" t="s">
        <v>2952</v>
      </c>
      <c r="BF134" t="str">
        <f>HYPERLINK("http://dx.doi.org/10.1093/femsec/fiad087","http://dx.doi.org/10.1093/femsec/fiad087")</f>
        <v>http://dx.doi.org/10.1093/femsec/fiad087</v>
      </c>
      <c r="BG134" t="s">
        <v>74</v>
      </c>
      <c r="BH134" t="s">
        <v>74</v>
      </c>
      <c r="BI134">
        <v>15</v>
      </c>
      <c r="BJ134" t="s">
        <v>702</v>
      </c>
      <c r="BK134" t="s">
        <v>104</v>
      </c>
      <c r="BL134" t="s">
        <v>702</v>
      </c>
      <c r="BM134" t="s">
        <v>2953</v>
      </c>
      <c r="BN134">
        <v>37516444</v>
      </c>
      <c r="BO134" t="s">
        <v>1128</v>
      </c>
      <c r="BP134" t="s">
        <v>74</v>
      </c>
      <c r="BQ134" t="s">
        <v>74</v>
      </c>
      <c r="BR134" t="s">
        <v>107</v>
      </c>
      <c r="BS134" t="s">
        <v>2954</v>
      </c>
      <c r="BT134" t="str">
        <f>HYPERLINK("https%3A%2F%2Fwww.webofscience.com%2Fwos%2Fwoscc%2Ffull-record%2FWOS:001053115600001","View Full Record in Web of Science")</f>
        <v>View Full Record in Web of Science</v>
      </c>
    </row>
    <row r="135" spans="1:72" x14ac:dyDescent="0.15">
      <c r="A135" t="s">
        <v>72</v>
      </c>
      <c r="B135" t="s">
        <v>2955</v>
      </c>
      <c r="C135" t="s">
        <v>74</v>
      </c>
      <c r="D135" t="s">
        <v>74</v>
      </c>
      <c r="E135" t="s">
        <v>74</v>
      </c>
      <c r="F135" t="s">
        <v>2956</v>
      </c>
      <c r="G135" t="s">
        <v>74</v>
      </c>
      <c r="H135" t="s">
        <v>74</v>
      </c>
      <c r="I135" t="s">
        <v>2957</v>
      </c>
      <c r="J135" t="s">
        <v>2958</v>
      </c>
      <c r="K135" t="s">
        <v>74</v>
      </c>
      <c r="L135" t="s">
        <v>74</v>
      </c>
      <c r="M135" t="s">
        <v>78</v>
      </c>
      <c r="N135" t="s">
        <v>79</v>
      </c>
      <c r="O135" t="s">
        <v>74</v>
      </c>
      <c r="P135" t="s">
        <v>74</v>
      </c>
      <c r="Q135" t="s">
        <v>74</v>
      </c>
      <c r="R135" t="s">
        <v>74</v>
      </c>
      <c r="S135" t="s">
        <v>74</v>
      </c>
      <c r="T135" t="s">
        <v>2959</v>
      </c>
      <c r="U135" t="s">
        <v>2960</v>
      </c>
      <c r="V135" t="s">
        <v>2961</v>
      </c>
      <c r="W135" t="s">
        <v>2962</v>
      </c>
      <c r="X135" t="s">
        <v>2963</v>
      </c>
      <c r="Y135" t="s">
        <v>2964</v>
      </c>
      <c r="Z135" t="s">
        <v>2965</v>
      </c>
      <c r="AA135" t="s">
        <v>2966</v>
      </c>
      <c r="AB135" t="s">
        <v>2967</v>
      </c>
      <c r="AC135" t="s">
        <v>74</v>
      </c>
      <c r="AD135" t="s">
        <v>74</v>
      </c>
      <c r="AE135" t="s">
        <v>74</v>
      </c>
      <c r="AF135" t="s">
        <v>74</v>
      </c>
      <c r="AG135">
        <v>65</v>
      </c>
      <c r="AH135">
        <v>1</v>
      </c>
      <c r="AI135">
        <v>1</v>
      </c>
      <c r="AJ135">
        <v>9</v>
      </c>
      <c r="AK135">
        <v>15</v>
      </c>
      <c r="AL135" t="s">
        <v>1527</v>
      </c>
      <c r="AM135" t="s">
        <v>1528</v>
      </c>
      <c r="AN135" t="s">
        <v>1529</v>
      </c>
      <c r="AO135" t="s">
        <v>2968</v>
      </c>
      <c r="AP135" t="s">
        <v>74</v>
      </c>
      <c r="AQ135" t="s">
        <v>74</v>
      </c>
      <c r="AR135" t="s">
        <v>2969</v>
      </c>
      <c r="AS135" t="s">
        <v>2970</v>
      </c>
      <c r="AT135" t="s">
        <v>2869</v>
      </c>
      <c r="AU135">
        <v>2023</v>
      </c>
      <c r="AV135">
        <v>23</v>
      </c>
      <c r="AW135">
        <v>1</v>
      </c>
      <c r="AX135" t="s">
        <v>74</v>
      </c>
      <c r="AY135" t="s">
        <v>74</v>
      </c>
      <c r="AZ135" t="s">
        <v>74</v>
      </c>
      <c r="BA135" t="s">
        <v>74</v>
      </c>
      <c r="BB135" t="s">
        <v>74</v>
      </c>
      <c r="BC135" t="s">
        <v>74</v>
      </c>
      <c r="BD135">
        <v>399</v>
      </c>
      <c r="BE135" t="s">
        <v>2971</v>
      </c>
      <c r="BF135" t="str">
        <f>HYPERLINK("http://dx.doi.org/10.1186/s12870-023-04366-w","http://dx.doi.org/10.1186/s12870-023-04366-w")</f>
        <v>http://dx.doi.org/10.1186/s12870-023-04366-w</v>
      </c>
      <c r="BG135" t="s">
        <v>74</v>
      </c>
      <c r="BH135" t="s">
        <v>74</v>
      </c>
      <c r="BI135">
        <v>20</v>
      </c>
      <c r="BJ135" t="s">
        <v>375</v>
      </c>
      <c r="BK135" t="s">
        <v>104</v>
      </c>
      <c r="BL135" t="s">
        <v>375</v>
      </c>
      <c r="BM135" t="s">
        <v>2972</v>
      </c>
      <c r="BN135">
        <v>37605165</v>
      </c>
      <c r="BO135" t="s">
        <v>181</v>
      </c>
      <c r="BP135" t="s">
        <v>74</v>
      </c>
      <c r="BQ135" t="s">
        <v>74</v>
      </c>
      <c r="BR135" t="s">
        <v>107</v>
      </c>
      <c r="BS135" t="s">
        <v>2973</v>
      </c>
      <c r="BT135" t="str">
        <f>HYPERLINK("https%3A%2F%2Fwww.webofscience.com%2Fwos%2Fwoscc%2Ffull-record%2FWOS:001052808600001","View Full Record in Web of Science")</f>
        <v>View Full Record in Web of Science</v>
      </c>
    </row>
    <row r="136" spans="1:72" x14ac:dyDescent="0.15">
      <c r="A136" t="s">
        <v>72</v>
      </c>
      <c r="B136" t="s">
        <v>2974</v>
      </c>
      <c r="C136" t="s">
        <v>74</v>
      </c>
      <c r="D136" t="s">
        <v>74</v>
      </c>
      <c r="E136" t="s">
        <v>74</v>
      </c>
      <c r="F136" t="s">
        <v>2975</v>
      </c>
      <c r="G136" t="s">
        <v>74</v>
      </c>
      <c r="H136" t="s">
        <v>74</v>
      </c>
      <c r="I136" t="s">
        <v>2976</v>
      </c>
      <c r="J136" t="s">
        <v>2977</v>
      </c>
      <c r="K136" t="s">
        <v>74</v>
      </c>
      <c r="L136" t="s">
        <v>74</v>
      </c>
      <c r="M136" t="s">
        <v>78</v>
      </c>
      <c r="N136" t="s">
        <v>79</v>
      </c>
      <c r="O136" t="s">
        <v>74</v>
      </c>
      <c r="P136" t="s">
        <v>74</v>
      </c>
      <c r="Q136" t="s">
        <v>74</v>
      </c>
      <c r="R136" t="s">
        <v>74</v>
      </c>
      <c r="S136" t="s">
        <v>74</v>
      </c>
      <c r="T136" t="s">
        <v>74</v>
      </c>
      <c r="U136" t="s">
        <v>2978</v>
      </c>
      <c r="V136" t="s">
        <v>2979</v>
      </c>
      <c r="W136" t="s">
        <v>2980</v>
      </c>
      <c r="X136" t="s">
        <v>2981</v>
      </c>
      <c r="Y136" t="s">
        <v>2982</v>
      </c>
      <c r="Z136" t="s">
        <v>2965</v>
      </c>
      <c r="AA136" t="s">
        <v>2983</v>
      </c>
      <c r="AB136" t="s">
        <v>74</v>
      </c>
      <c r="AC136" t="s">
        <v>2984</v>
      </c>
      <c r="AD136" t="s">
        <v>2985</v>
      </c>
      <c r="AE136" t="s">
        <v>2986</v>
      </c>
      <c r="AF136" t="s">
        <v>74</v>
      </c>
      <c r="AG136">
        <v>61</v>
      </c>
      <c r="AH136">
        <v>1</v>
      </c>
      <c r="AI136">
        <v>1</v>
      </c>
      <c r="AJ136">
        <v>12</v>
      </c>
      <c r="AK136">
        <v>15</v>
      </c>
      <c r="AL136" t="s">
        <v>2987</v>
      </c>
      <c r="AM136" t="s">
        <v>1804</v>
      </c>
      <c r="AN136" t="s">
        <v>2988</v>
      </c>
      <c r="AO136" t="s">
        <v>2989</v>
      </c>
      <c r="AP136" t="s">
        <v>2990</v>
      </c>
      <c r="AQ136" t="s">
        <v>74</v>
      </c>
      <c r="AR136" t="s">
        <v>2991</v>
      </c>
      <c r="AS136" t="s">
        <v>2992</v>
      </c>
      <c r="AT136" t="s">
        <v>2993</v>
      </c>
      <c r="AU136">
        <v>2023</v>
      </c>
      <c r="AV136">
        <v>14</v>
      </c>
      <c r="AW136">
        <v>18</v>
      </c>
      <c r="AX136" t="s">
        <v>74</v>
      </c>
      <c r="AY136" t="s">
        <v>74</v>
      </c>
      <c r="AZ136" t="s">
        <v>74</v>
      </c>
      <c r="BA136" t="s">
        <v>74</v>
      </c>
      <c r="BB136">
        <v>8331</v>
      </c>
      <c r="BC136">
        <v>8350</v>
      </c>
      <c r="BD136" t="s">
        <v>74</v>
      </c>
      <c r="BE136" t="s">
        <v>2994</v>
      </c>
      <c r="BF136" t="str">
        <f>HYPERLINK("http://dx.doi.org/10.1039/d3fo02502k","http://dx.doi.org/10.1039/d3fo02502k")</f>
        <v>http://dx.doi.org/10.1039/d3fo02502k</v>
      </c>
      <c r="BG136" t="s">
        <v>74</v>
      </c>
      <c r="BH136" t="s">
        <v>1812</v>
      </c>
      <c r="BI136">
        <v>20</v>
      </c>
      <c r="BJ136" t="s">
        <v>2995</v>
      </c>
      <c r="BK136" t="s">
        <v>104</v>
      </c>
      <c r="BL136" t="s">
        <v>2995</v>
      </c>
      <c r="BM136" t="s">
        <v>2996</v>
      </c>
      <c r="BN136">
        <v>37606633</v>
      </c>
      <c r="BO136" t="s">
        <v>74</v>
      </c>
      <c r="BP136" t="s">
        <v>74</v>
      </c>
      <c r="BQ136" t="s">
        <v>74</v>
      </c>
      <c r="BR136" t="s">
        <v>107</v>
      </c>
      <c r="BS136" t="s">
        <v>2997</v>
      </c>
      <c r="BT136" t="str">
        <f>HYPERLINK("https%3A%2F%2Fwww.webofscience.com%2Fwos%2Fwoscc%2Ffull-record%2FWOS:001052189900001","View Full Record in Web of Science")</f>
        <v>View Full Record in Web of Science</v>
      </c>
    </row>
    <row r="137" spans="1:72" x14ac:dyDescent="0.15">
      <c r="A137" t="s">
        <v>72</v>
      </c>
      <c r="B137" t="s">
        <v>2998</v>
      </c>
      <c r="C137" t="s">
        <v>74</v>
      </c>
      <c r="D137" t="s">
        <v>74</v>
      </c>
      <c r="E137" t="s">
        <v>74</v>
      </c>
      <c r="F137" t="s">
        <v>2999</v>
      </c>
      <c r="G137" t="s">
        <v>74</v>
      </c>
      <c r="H137" t="s">
        <v>74</v>
      </c>
      <c r="I137" t="s">
        <v>3000</v>
      </c>
      <c r="J137" t="s">
        <v>3001</v>
      </c>
      <c r="K137" t="s">
        <v>74</v>
      </c>
      <c r="L137" t="s">
        <v>74</v>
      </c>
      <c r="M137" t="s">
        <v>78</v>
      </c>
      <c r="N137" t="s">
        <v>79</v>
      </c>
      <c r="O137" t="s">
        <v>74</v>
      </c>
      <c r="P137" t="s">
        <v>74</v>
      </c>
      <c r="Q137" t="s">
        <v>74</v>
      </c>
      <c r="R137" t="s">
        <v>74</v>
      </c>
      <c r="S137" t="s">
        <v>74</v>
      </c>
      <c r="T137" t="s">
        <v>3002</v>
      </c>
      <c r="U137" t="s">
        <v>3003</v>
      </c>
      <c r="V137" t="s">
        <v>3004</v>
      </c>
      <c r="W137" t="s">
        <v>3005</v>
      </c>
      <c r="X137" t="s">
        <v>3006</v>
      </c>
      <c r="Y137" t="s">
        <v>3007</v>
      </c>
      <c r="Z137" t="s">
        <v>3008</v>
      </c>
      <c r="AA137" t="s">
        <v>74</v>
      </c>
      <c r="AB137" t="s">
        <v>3009</v>
      </c>
      <c r="AC137" t="s">
        <v>3010</v>
      </c>
      <c r="AD137" t="s">
        <v>3011</v>
      </c>
      <c r="AE137" t="s">
        <v>3012</v>
      </c>
      <c r="AF137" t="s">
        <v>74</v>
      </c>
      <c r="AG137">
        <v>20</v>
      </c>
      <c r="AH137">
        <v>0</v>
      </c>
      <c r="AI137">
        <v>0</v>
      </c>
      <c r="AJ137">
        <v>4</v>
      </c>
      <c r="AK137">
        <v>5</v>
      </c>
      <c r="AL137" t="s">
        <v>3013</v>
      </c>
      <c r="AM137" t="s">
        <v>3014</v>
      </c>
      <c r="AN137" t="s">
        <v>3015</v>
      </c>
      <c r="AO137" t="s">
        <v>3016</v>
      </c>
      <c r="AP137" t="s">
        <v>3017</v>
      </c>
      <c r="AQ137" t="s">
        <v>74</v>
      </c>
      <c r="AR137" t="s">
        <v>3018</v>
      </c>
      <c r="AS137" t="s">
        <v>3019</v>
      </c>
      <c r="AT137" t="s">
        <v>74</v>
      </c>
      <c r="AU137">
        <v>2023</v>
      </c>
      <c r="AV137">
        <v>74</v>
      </c>
      <c r="AW137">
        <v>13</v>
      </c>
      <c r="AX137" t="s">
        <v>74</v>
      </c>
      <c r="AY137" t="s">
        <v>74</v>
      </c>
      <c r="AZ137" t="s">
        <v>74</v>
      </c>
      <c r="BA137" t="s">
        <v>74</v>
      </c>
      <c r="BB137">
        <v>1171</v>
      </c>
      <c r="BC137">
        <v>1177</v>
      </c>
      <c r="BD137" t="s">
        <v>74</v>
      </c>
      <c r="BE137" t="s">
        <v>3020</v>
      </c>
      <c r="BF137" t="str">
        <f>HYPERLINK("http://dx.doi.org/10.1071/MF23009","http://dx.doi.org/10.1071/MF23009")</f>
        <v>http://dx.doi.org/10.1071/MF23009</v>
      </c>
      <c r="BG137" t="s">
        <v>74</v>
      </c>
      <c r="BH137" t="s">
        <v>1812</v>
      </c>
      <c r="BI137">
        <v>7</v>
      </c>
      <c r="BJ137" t="s">
        <v>3021</v>
      </c>
      <c r="BK137" t="s">
        <v>104</v>
      </c>
      <c r="BL137" t="s">
        <v>2771</v>
      </c>
      <c r="BM137" t="s">
        <v>3022</v>
      </c>
      <c r="BN137" t="s">
        <v>74</v>
      </c>
      <c r="BO137" t="s">
        <v>74</v>
      </c>
      <c r="BP137" t="s">
        <v>74</v>
      </c>
      <c r="BQ137" t="s">
        <v>74</v>
      </c>
      <c r="BR137" t="s">
        <v>107</v>
      </c>
      <c r="BS137" t="s">
        <v>3023</v>
      </c>
      <c r="BT137" t="str">
        <f>HYPERLINK("https%3A%2F%2Fwww.webofscience.com%2Fwos%2Fwoscc%2Ffull-record%2FWOS:001052462400001","View Full Record in Web of Science")</f>
        <v>View Full Record in Web of Science</v>
      </c>
    </row>
    <row r="138" spans="1:72" x14ac:dyDescent="0.15">
      <c r="A138" t="s">
        <v>72</v>
      </c>
      <c r="B138" t="s">
        <v>3024</v>
      </c>
      <c r="C138" t="s">
        <v>74</v>
      </c>
      <c r="D138" t="s">
        <v>74</v>
      </c>
      <c r="E138" t="s">
        <v>74</v>
      </c>
      <c r="F138" t="s">
        <v>3025</v>
      </c>
      <c r="G138" t="s">
        <v>74</v>
      </c>
      <c r="H138" t="s">
        <v>74</v>
      </c>
      <c r="I138" t="s">
        <v>3026</v>
      </c>
      <c r="J138" t="s">
        <v>3027</v>
      </c>
      <c r="K138" t="s">
        <v>74</v>
      </c>
      <c r="L138" t="s">
        <v>74</v>
      </c>
      <c r="M138" t="s">
        <v>78</v>
      </c>
      <c r="N138" t="s">
        <v>79</v>
      </c>
      <c r="O138" t="s">
        <v>74</v>
      </c>
      <c r="P138" t="s">
        <v>74</v>
      </c>
      <c r="Q138" t="s">
        <v>74</v>
      </c>
      <c r="R138" t="s">
        <v>74</v>
      </c>
      <c r="S138" t="s">
        <v>74</v>
      </c>
      <c r="T138" t="s">
        <v>3028</v>
      </c>
      <c r="U138" t="s">
        <v>3029</v>
      </c>
      <c r="V138" t="s">
        <v>3030</v>
      </c>
      <c r="W138" t="s">
        <v>3031</v>
      </c>
      <c r="X138" t="s">
        <v>3032</v>
      </c>
      <c r="Y138" t="s">
        <v>3033</v>
      </c>
      <c r="Z138" t="s">
        <v>3034</v>
      </c>
      <c r="AA138" t="s">
        <v>3035</v>
      </c>
      <c r="AB138" t="s">
        <v>3036</v>
      </c>
      <c r="AC138" t="s">
        <v>3037</v>
      </c>
      <c r="AD138" t="s">
        <v>3038</v>
      </c>
      <c r="AE138" t="s">
        <v>3039</v>
      </c>
      <c r="AF138" t="s">
        <v>74</v>
      </c>
      <c r="AG138">
        <v>79</v>
      </c>
      <c r="AH138">
        <v>1</v>
      </c>
      <c r="AI138">
        <v>1</v>
      </c>
      <c r="AJ138">
        <v>1</v>
      </c>
      <c r="AK138">
        <v>4</v>
      </c>
      <c r="AL138" t="s">
        <v>172</v>
      </c>
      <c r="AM138" t="s">
        <v>173</v>
      </c>
      <c r="AN138" t="s">
        <v>174</v>
      </c>
      <c r="AO138" t="s">
        <v>3040</v>
      </c>
      <c r="AP138" t="s">
        <v>3041</v>
      </c>
      <c r="AQ138" t="s">
        <v>74</v>
      </c>
      <c r="AR138" t="s">
        <v>3042</v>
      </c>
      <c r="AS138" t="s">
        <v>3043</v>
      </c>
      <c r="AT138" t="s">
        <v>3044</v>
      </c>
      <c r="AU138">
        <v>2023</v>
      </c>
      <c r="AV138">
        <v>620</v>
      </c>
      <c r="AW138" t="s">
        <v>74</v>
      </c>
      <c r="AX138" t="s">
        <v>74</v>
      </c>
      <c r="AY138" t="s">
        <v>74</v>
      </c>
      <c r="AZ138" t="s">
        <v>74</v>
      </c>
      <c r="BA138" t="s">
        <v>74</v>
      </c>
      <c r="BB138" t="s">
        <v>74</v>
      </c>
      <c r="BC138" t="s">
        <v>74</v>
      </c>
      <c r="BD138">
        <v>118341</v>
      </c>
      <c r="BE138" t="s">
        <v>3045</v>
      </c>
      <c r="BF138" t="str">
        <f>HYPERLINK("http://dx.doi.org/10.1016/j.epsl.2023.118341","http://dx.doi.org/10.1016/j.epsl.2023.118341")</f>
        <v>http://dx.doi.org/10.1016/j.epsl.2023.118341</v>
      </c>
      <c r="BG138" t="s">
        <v>74</v>
      </c>
      <c r="BH138" t="s">
        <v>1812</v>
      </c>
      <c r="BI138">
        <v>11</v>
      </c>
      <c r="BJ138" t="s">
        <v>597</v>
      </c>
      <c r="BK138" t="s">
        <v>104</v>
      </c>
      <c r="BL138" t="s">
        <v>597</v>
      </c>
      <c r="BM138" t="s">
        <v>3046</v>
      </c>
      <c r="BN138" t="s">
        <v>74</v>
      </c>
      <c r="BO138" t="s">
        <v>74</v>
      </c>
      <c r="BP138" t="s">
        <v>74</v>
      </c>
      <c r="BQ138" t="s">
        <v>74</v>
      </c>
      <c r="BR138" t="s">
        <v>107</v>
      </c>
      <c r="BS138" t="s">
        <v>3047</v>
      </c>
      <c r="BT138" t="str">
        <f>HYPERLINK("https%3A%2F%2Fwww.webofscience.com%2Fwos%2Fwoscc%2Ffull-record%2FWOS:001061316800001","View Full Record in Web of Science")</f>
        <v>View Full Record in Web of Science</v>
      </c>
    </row>
    <row r="139" spans="1:72" x14ac:dyDescent="0.15">
      <c r="A139" t="s">
        <v>72</v>
      </c>
      <c r="B139" t="s">
        <v>3048</v>
      </c>
      <c r="C139" t="s">
        <v>74</v>
      </c>
      <c r="D139" t="s">
        <v>74</v>
      </c>
      <c r="E139" t="s">
        <v>74</v>
      </c>
      <c r="F139" t="s">
        <v>3049</v>
      </c>
      <c r="G139" t="s">
        <v>74</v>
      </c>
      <c r="H139" t="s">
        <v>74</v>
      </c>
      <c r="I139" t="s">
        <v>3050</v>
      </c>
      <c r="J139" t="s">
        <v>138</v>
      </c>
      <c r="K139" t="s">
        <v>74</v>
      </c>
      <c r="L139" t="s">
        <v>74</v>
      </c>
      <c r="M139" t="s">
        <v>78</v>
      </c>
      <c r="N139" t="s">
        <v>79</v>
      </c>
      <c r="O139" t="s">
        <v>74</v>
      </c>
      <c r="P139" t="s">
        <v>74</v>
      </c>
      <c r="Q139" t="s">
        <v>74</v>
      </c>
      <c r="R139" t="s">
        <v>74</v>
      </c>
      <c r="S139" t="s">
        <v>74</v>
      </c>
      <c r="T139" t="s">
        <v>74</v>
      </c>
      <c r="U139" t="s">
        <v>3051</v>
      </c>
      <c r="V139" t="s">
        <v>3052</v>
      </c>
      <c r="W139" t="s">
        <v>3053</v>
      </c>
      <c r="X139" t="s">
        <v>3054</v>
      </c>
      <c r="Y139" t="s">
        <v>3055</v>
      </c>
      <c r="Z139" t="s">
        <v>3056</v>
      </c>
      <c r="AA139" t="s">
        <v>3057</v>
      </c>
      <c r="AB139" t="s">
        <v>3058</v>
      </c>
      <c r="AC139" t="s">
        <v>3059</v>
      </c>
      <c r="AD139" t="s">
        <v>3060</v>
      </c>
      <c r="AE139" t="s">
        <v>3061</v>
      </c>
      <c r="AF139" t="s">
        <v>74</v>
      </c>
      <c r="AG139">
        <v>79</v>
      </c>
      <c r="AH139">
        <v>11</v>
      </c>
      <c r="AI139">
        <v>11</v>
      </c>
      <c r="AJ139">
        <v>20</v>
      </c>
      <c r="AK139">
        <v>31</v>
      </c>
      <c r="AL139" t="s">
        <v>146</v>
      </c>
      <c r="AM139" t="s">
        <v>147</v>
      </c>
      <c r="AN139" t="s">
        <v>148</v>
      </c>
      <c r="AO139" t="s">
        <v>149</v>
      </c>
      <c r="AP139" t="s">
        <v>150</v>
      </c>
      <c r="AQ139" t="s">
        <v>74</v>
      </c>
      <c r="AR139" t="s">
        <v>151</v>
      </c>
      <c r="AS139" t="s">
        <v>152</v>
      </c>
      <c r="AT139" t="s">
        <v>97</v>
      </c>
      <c r="AU139">
        <v>2023</v>
      </c>
      <c r="AV139">
        <v>16</v>
      </c>
      <c r="AW139">
        <v>9</v>
      </c>
      <c r="AX139" t="s">
        <v>74</v>
      </c>
      <c r="AY139" t="s">
        <v>74</v>
      </c>
      <c r="AZ139" t="s">
        <v>74</v>
      </c>
      <c r="BA139" t="s">
        <v>74</v>
      </c>
      <c r="BB139">
        <v>789</v>
      </c>
      <c r="BC139" t="s">
        <v>153</v>
      </c>
      <c r="BD139" t="s">
        <v>74</v>
      </c>
      <c r="BE139" t="s">
        <v>3062</v>
      </c>
      <c r="BF139" t="str">
        <f>HYPERLINK("http://dx.doi.org/10.1038/s41561-023-01247-7","http://dx.doi.org/10.1038/s41561-023-01247-7")</f>
        <v>http://dx.doi.org/10.1038/s41561-023-01247-7</v>
      </c>
      <c r="BG139" t="s">
        <v>74</v>
      </c>
      <c r="BH139" t="s">
        <v>1812</v>
      </c>
      <c r="BI139">
        <v>17</v>
      </c>
      <c r="BJ139" t="s">
        <v>155</v>
      </c>
      <c r="BK139" t="s">
        <v>104</v>
      </c>
      <c r="BL139" t="s">
        <v>156</v>
      </c>
      <c r="BM139" t="s">
        <v>3063</v>
      </c>
      <c r="BN139" t="s">
        <v>74</v>
      </c>
      <c r="BO139" t="s">
        <v>418</v>
      </c>
      <c r="BP139" t="s">
        <v>74</v>
      </c>
      <c r="BQ139" t="s">
        <v>74</v>
      </c>
      <c r="BR139" t="s">
        <v>107</v>
      </c>
      <c r="BS139" t="s">
        <v>3064</v>
      </c>
      <c r="BT139" t="str">
        <f>HYPERLINK("https%3A%2F%2Fwww.webofscience.com%2Fwos%2Fwoscc%2Ffull-record%2FWOS:001052021200002","View Full Record in Web of Science")</f>
        <v>View Full Record in Web of Science</v>
      </c>
    </row>
    <row r="140" spans="1:72" x14ac:dyDescent="0.15">
      <c r="A140" t="s">
        <v>72</v>
      </c>
      <c r="B140" t="s">
        <v>3065</v>
      </c>
      <c r="C140" t="s">
        <v>74</v>
      </c>
      <c r="D140" t="s">
        <v>74</v>
      </c>
      <c r="E140" t="s">
        <v>74</v>
      </c>
      <c r="F140" t="s">
        <v>3066</v>
      </c>
      <c r="G140" t="s">
        <v>74</v>
      </c>
      <c r="H140" t="s">
        <v>74</v>
      </c>
      <c r="I140" t="s">
        <v>3067</v>
      </c>
      <c r="J140" t="s">
        <v>3068</v>
      </c>
      <c r="K140" t="s">
        <v>74</v>
      </c>
      <c r="L140" t="s">
        <v>74</v>
      </c>
      <c r="M140" t="s">
        <v>78</v>
      </c>
      <c r="N140" t="s">
        <v>79</v>
      </c>
      <c r="O140" t="s">
        <v>74</v>
      </c>
      <c r="P140" t="s">
        <v>74</v>
      </c>
      <c r="Q140" t="s">
        <v>74</v>
      </c>
      <c r="R140" t="s">
        <v>74</v>
      </c>
      <c r="S140" t="s">
        <v>74</v>
      </c>
      <c r="T140" t="s">
        <v>74</v>
      </c>
      <c r="U140" t="s">
        <v>3069</v>
      </c>
      <c r="V140" t="s">
        <v>3070</v>
      </c>
      <c r="W140" t="s">
        <v>3071</v>
      </c>
      <c r="X140" t="s">
        <v>3072</v>
      </c>
      <c r="Y140" t="s">
        <v>3073</v>
      </c>
      <c r="Z140" t="s">
        <v>3074</v>
      </c>
      <c r="AA140" t="s">
        <v>3075</v>
      </c>
      <c r="AB140" t="s">
        <v>3076</v>
      </c>
      <c r="AC140" t="s">
        <v>3077</v>
      </c>
      <c r="AD140" t="s">
        <v>3077</v>
      </c>
      <c r="AE140" t="s">
        <v>3078</v>
      </c>
      <c r="AF140" t="s">
        <v>74</v>
      </c>
      <c r="AG140">
        <v>22</v>
      </c>
      <c r="AH140">
        <v>0</v>
      </c>
      <c r="AI140">
        <v>0</v>
      </c>
      <c r="AJ140">
        <v>1</v>
      </c>
      <c r="AK140">
        <v>2</v>
      </c>
      <c r="AL140" t="s">
        <v>460</v>
      </c>
      <c r="AM140" t="s">
        <v>461</v>
      </c>
      <c r="AN140" t="s">
        <v>462</v>
      </c>
      <c r="AO140" t="s">
        <v>3079</v>
      </c>
      <c r="AP140" t="s">
        <v>74</v>
      </c>
      <c r="AQ140" t="s">
        <v>74</v>
      </c>
      <c r="AR140" t="s">
        <v>3080</v>
      </c>
      <c r="AS140" t="s">
        <v>3081</v>
      </c>
      <c r="AT140" t="s">
        <v>3082</v>
      </c>
      <c r="AU140">
        <v>2023</v>
      </c>
      <c r="AV140">
        <v>21</v>
      </c>
      <c r="AW140">
        <v>11</v>
      </c>
      <c r="AX140" t="s">
        <v>74</v>
      </c>
      <c r="AY140" t="s">
        <v>74</v>
      </c>
      <c r="AZ140" t="s">
        <v>74</v>
      </c>
      <c r="BA140" t="s">
        <v>74</v>
      </c>
      <c r="BB140">
        <v>637</v>
      </c>
      <c r="BC140">
        <v>644</v>
      </c>
      <c r="BD140" t="s">
        <v>74</v>
      </c>
      <c r="BE140" t="s">
        <v>3083</v>
      </c>
      <c r="BF140" t="str">
        <f>HYPERLINK("http://dx.doi.org/10.1002/lom3.10570","http://dx.doi.org/10.1002/lom3.10570")</f>
        <v>http://dx.doi.org/10.1002/lom3.10570</v>
      </c>
      <c r="BG140" t="s">
        <v>74</v>
      </c>
      <c r="BH140" t="s">
        <v>1812</v>
      </c>
      <c r="BI140">
        <v>8</v>
      </c>
      <c r="BJ140" t="s">
        <v>2533</v>
      </c>
      <c r="BK140" t="s">
        <v>104</v>
      </c>
      <c r="BL140" t="s">
        <v>569</v>
      </c>
      <c r="BM140" t="s">
        <v>3084</v>
      </c>
      <c r="BN140" t="s">
        <v>74</v>
      </c>
      <c r="BO140" t="s">
        <v>549</v>
      </c>
      <c r="BP140" t="s">
        <v>74</v>
      </c>
      <c r="BQ140" t="s">
        <v>74</v>
      </c>
      <c r="BR140" t="s">
        <v>107</v>
      </c>
      <c r="BS140" t="s">
        <v>3085</v>
      </c>
      <c r="BT140" t="str">
        <f>HYPERLINK("https%3A%2F%2Fwww.webofscience.com%2Fwos%2Fwoscc%2Ffull-record%2FWOS:001051390200001","View Full Record in Web of Science")</f>
        <v>View Full Record in Web of Science</v>
      </c>
    </row>
    <row r="141" spans="1:72" x14ac:dyDescent="0.15">
      <c r="A141" t="s">
        <v>72</v>
      </c>
      <c r="B141" t="s">
        <v>3086</v>
      </c>
      <c r="C141" t="s">
        <v>74</v>
      </c>
      <c r="D141" t="s">
        <v>74</v>
      </c>
      <c r="E141" t="s">
        <v>74</v>
      </c>
      <c r="F141" t="s">
        <v>3087</v>
      </c>
      <c r="G141" t="s">
        <v>74</v>
      </c>
      <c r="H141" t="s">
        <v>74</v>
      </c>
      <c r="I141" t="s">
        <v>3088</v>
      </c>
      <c r="J141" t="s">
        <v>2031</v>
      </c>
      <c r="K141" t="s">
        <v>74</v>
      </c>
      <c r="L141" t="s">
        <v>74</v>
      </c>
      <c r="M141" t="s">
        <v>78</v>
      </c>
      <c r="N141" t="s">
        <v>79</v>
      </c>
      <c r="O141" t="s">
        <v>74</v>
      </c>
      <c r="P141" t="s">
        <v>74</v>
      </c>
      <c r="Q141" t="s">
        <v>74</v>
      </c>
      <c r="R141" t="s">
        <v>74</v>
      </c>
      <c r="S141" t="s">
        <v>74</v>
      </c>
      <c r="T141" t="s">
        <v>3089</v>
      </c>
      <c r="U141" t="s">
        <v>3090</v>
      </c>
      <c r="V141" t="s">
        <v>3091</v>
      </c>
      <c r="W141" t="s">
        <v>3092</v>
      </c>
      <c r="X141" t="s">
        <v>3093</v>
      </c>
      <c r="Y141" t="s">
        <v>3094</v>
      </c>
      <c r="Z141" t="s">
        <v>3095</v>
      </c>
      <c r="AA141" t="s">
        <v>3096</v>
      </c>
      <c r="AB141" t="s">
        <v>3097</v>
      </c>
      <c r="AC141" t="s">
        <v>3098</v>
      </c>
      <c r="AD141" t="s">
        <v>3099</v>
      </c>
      <c r="AE141" t="s">
        <v>3100</v>
      </c>
      <c r="AF141" t="s">
        <v>74</v>
      </c>
      <c r="AG141">
        <v>48</v>
      </c>
      <c r="AH141">
        <v>1</v>
      </c>
      <c r="AI141">
        <v>1</v>
      </c>
      <c r="AJ141">
        <v>17</v>
      </c>
      <c r="AK141">
        <v>31</v>
      </c>
      <c r="AL141" t="s">
        <v>172</v>
      </c>
      <c r="AM141" t="s">
        <v>173</v>
      </c>
      <c r="AN141" t="s">
        <v>174</v>
      </c>
      <c r="AO141" t="s">
        <v>2044</v>
      </c>
      <c r="AP141" t="s">
        <v>2045</v>
      </c>
      <c r="AQ141" t="s">
        <v>74</v>
      </c>
      <c r="AR141" t="s">
        <v>2046</v>
      </c>
      <c r="AS141" t="s">
        <v>2047</v>
      </c>
      <c r="AT141" t="s">
        <v>2643</v>
      </c>
      <c r="AU141">
        <v>2023</v>
      </c>
      <c r="AV141">
        <v>904</v>
      </c>
      <c r="AW141" t="s">
        <v>74</v>
      </c>
      <c r="AX141" t="s">
        <v>74</v>
      </c>
      <c r="AY141" t="s">
        <v>74</v>
      </c>
      <c r="AZ141" t="s">
        <v>74</v>
      </c>
      <c r="BA141" t="s">
        <v>74</v>
      </c>
      <c r="BB141" t="s">
        <v>74</v>
      </c>
      <c r="BC141" t="s">
        <v>74</v>
      </c>
      <c r="BD141">
        <v>166358</v>
      </c>
      <c r="BE141" t="s">
        <v>3101</v>
      </c>
      <c r="BF141" t="str">
        <f>HYPERLINK("http://dx.doi.org/10.1016/j.scitotenv.2023.166358","http://dx.doi.org/10.1016/j.scitotenv.2023.166358")</f>
        <v>http://dx.doi.org/10.1016/j.scitotenv.2023.166358</v>
      </c>
      <c r="BG141" t="s">
        <v>74</v>
      </c>
      <c r="BH141" t="s">
        <v>1812</v>
      </c>
      <c r="BI141">
        <v>10</v>
      </c>
      <c r="BJ141" t="s">
        <v>2050</v>
      </c>
      <c r="BK141" t="s">
        <v>104</v>
      </c>
      <c r="BL141" t="s">
        <v>1535</v>
      </c>
      <c r="BM141" t="s">
        <v>3102</v>
      </c>
      <c r="BN141">
        <v>37595911</v>
      </c>
      <c r="BO141" t="s">
        <v>74</v>
      </c>
      <c r="BP141" t="s">
        <v>74</v>
      </c>
      <c r="BQ141" t="s">
        <v>74</v>
      </c>
      <c r="BR141" t="s">
        <v>107</v>
      </c>
      <c r="BS141" t="s">
        <v>3103</v>
      </c>
      <c r="BT141" t="str">
        <f>HYPERLINK("https%3A%2F%2Fwww.webofscience.com%2Fwos%2Fwoscc%2Ffull-record%2FWOS:001062148000001","View Full Record in Web of Science")</f>
        <v>View Full Record in Web of Science</v>
      </c>
    </row>
    <row r="142" spans="1:72" x14ac:dyDescent="0.15">
      <c r="A142" t="s">
        <v>72</v>
      </c>
      <c r="B142" t="s">
        <v>3104</v>
      </c>
      <c r="C142" t="s">
        <v>74</v>
      </c>
      <c r="D142" t="s">
        <v>74</v>
      </c>
      <c r="E142" t="s">
        <v>74</v>
      </c>
      <c r="F142" t="s">
        <v>3105</v>
      </c>
      <c r="G142" t="s">
        <v>74</v>
      </c>
      <c r="H142" t="s">
        <v>74</v>
      </c>
      <c r="I142" t="s">
        <v>3106</v>
      </c>
      <c r="J142" t="s">
        <v>3107</v>
      </c>
      <c r="K142" t="s">
        <v>74</v>
      </c>
      <c r="L142" t="s">
        <v>74</v>
      </c>
      <c r="M142" t="s">
        <v>78</v>
      </c>
      <c r="N142" t="s">
        <v>1911</v>
      </c>
      <c r="O142" t="s">
        <v>74</v>
      </c>
      <c r="P142" t="s">
        <v>74</v>
      </c>
      <c r="Q142" t="s">
        <v>74</v>
      </c>
      <c r="R142" t="s">
        <v>74</v>
      </c>
      <c r="S142" t="s">
        <v>74</v>
      </c>
      <c r="T142" t="s">
        <v>74</v>
      </c>
      <c r="U142" t="s">
        <v>3108</v>
      </c>
      <c r="V142" t="s">
        <v>3109</v>
      </c>
      <c r="W142" t="s">
        <v>3110</v>
      </c>
      <c r="X142" t="s">
        <v>3111</v>
      </c>
      <c r="Y142" t="s">
        <v>3112</v>
      </c>
      <c r="Z142" t="s">
        <v>3113</v>
      </c>
      <c r="AA142" t="s">
        <v>3114</v>
      </c>
      <c r="AB142" t="s">
        <v>3115</v>
      </c>
      <c r="AC142" t="s">
        <v>3116</v>
      </c>
      <c r="AD142" t="s">
        <v>3117</v>
      </c>
      <c r="AE142" t="s">
        <v>3118</v>
      </c>
      <c r="AF142" t="s">
        <v>74</v>
      </c>
      <c r="AG142">
        <v>57</v>
      </c>
      <c r="AH142">
        <v>3</v>
      </c>
      <c r="AI142">
        <v>3</v>
      </c>
      <c r="AJ142">
        <v>5</v>
      </c>
      <c r="AK142">
        <v>5</v>
      </c>
      <c r="AL142" t="s">
        <v>460</v>
      </c>
      <c r="AM142" t="s">
        <v>461</v>
      </c>
      <c r="AN142" t="s">
        <v>462</v>
      </c>
      <c r="AO142" t="s">
        <v>3119</v>
      </c>
      <c r="AP142" t="s">
        <v>3120</v>
      </c>
      <c r="AQ142" t="s">
        <v>74</v>
      </c>
      <c r="AR142" t="s">
        <v>3121</v>
      </c>
      <c r="AS142" t="s">
        <v>3122</v>
      </c>
      <c r="AT142" t="s">
        <v>3123</v>
      </c>
      <c r="AU142">
        <v>2023</v>
      </c>
      <c r="AV142" t="s">
        <v>74</v>
      </c>
      <c r="AW142" t="s">
        <v>74</v>
      </c>
      <c r="AX142" t="s">
        <v>74</v>
      </c>
      <c r="AY142" t="s">
        <v>74</v>
      </c>
      <c r="AZ142" t="s">
        <v>74</v>
      </c>
      <c r="BA142" t="s">
        <v>74</v>
      </c>
      <c r="BB142" t="s">
        <v>74</v>
      </c>
      <c r="BC142" t="s">
        <v>74</v>
      </c>
      <c r="BD142" t="s">
        <v>74</v>
      </c>
      <c r="BE142" t="s">
        <v>3124</v>
      </c>
      <c r="BF142" t="str">
        <f>HYPERLINK("http://dx.doi.org/10.1111/maps.14064","http://dx.doi.org/10.1111/maps.14064")</f>
        <v>http://dx.doi.org/10.1111/maps.14064</v>
      </c>
      <c r="BG142" t="s">
        <v>74</v>
      </c>
      <c r="BH142" t="s">
        <v>1812</v>
      </c>
      <c r="BI142">
        <v>14</v>
      </c>
      <c r="BJ142" t="s">
        <v>597</v>
      </c>
      <c r="BK142" t="s">
        <v>104</v>
      </c>
      <c r="BL142" t="s">
        <v>597</v>
      </c>
      <c r="BM142" t="s">
        <v>3125</v>
      </c>
      <c r="BN142" t="s">
        <v>74</v>
      </c>
      <c r="BO142" t="s">
        <v>74</v>
      </c>
      <c r="BP142" t="s">
        <v>74</v>
      </c>
      <c r="BQ142" t="s">
        <v>74</v>
      </c>
      <c r="BR142" t="s">
        <v>107</v>
      </c>
      <c r="BS142" t="s">
        <v>3126</v>
      </c>
      <c r="BT142" t="str">
        <f>HYPERLINK("https%3A%2F%2Fwww.webofscience.com%2Fwos%2Fwoscc%2Ffull-record%2FWOS:001053433900001","View Full Record in Web of Science")</f>
        <v>View Full Record in Web of Science</v>
      </c>
    </row>
    <row r="143" spans="1:72" x14ac:dyDescent="0.15">
      <c r="A143" t="s">
        <v>72</v>
      </c>
      <c r="B143" t="s">
        <v>3127</v>
      </c>
      <c r="C143" t="s">
        <v>74</v>
      </c>
      <c r="D143" t="s">
        <v>74</v>
      </c>
      <c r="E143" t="s">
        <v>74</v>
      </c>
      <c r="F143" t="s">
        <v>3128</v>
      </c>
      <c r="G143" t="s">
        <v>74</v>
      </c>
      <c r="H143" t="s">
        <v>74</v>
      </c>
      <c r="I143" t="s">
        <v>3129</v>
      </c>
      <c r="J143" t="s">
        <v>3130</v>
      </c>
      <c r="K143" t="s">
        <v>74</v>
      </c>
      <c r="L143" t="s">
        <v>74</v>
      </c>
      <c r="M143" t="s">
        <v>78</v>
      </c>
      <c r="N143" t="s">
        <v>79</v>
      </c>
      <c r="O143" t="s">
        <v>74</v>
      </c>
      <c r="P143" t="s">
        <v>74</v>
      </c>
      <c r="Q143" t="s">
        <v>74</v>
      </c>
      <c r="R143" t="s">
        <v>74</v>
      </c>
      <c r="S143" t="s">
        <v>74</v>
      </c>
      <c r="T143" t="s">
        <v>3131</v>
      </c>
      <c r="U143" t="s">
        <v>3132</v>
      </c>
      <c r="V143" t="s">
        <v>3133</v>
      </c>
      <c r="W143" t="s">
        <v>3134</v>
      </c>
      <c r="X143" t="s">
        <v>3135</v>
      </c>
      <c r="Y143" t="s">
        <v>3136</v>
      </c>
      <c r="Z143" t="s">
        <v>3137</v>
      </c>
      <c r="AA143" t="s">
        <v>3138</v>
      </c>
      <c r="AB143" t="s">
        <v>3139</v>
      </c>
      <c r="AC143" t="s">
        <v>3140</v>
      </c>
      <c r="AD143" t="s">
        <v>3141</v>
      </c>
      <c r="AE143" t="s">
        <v>3142</v>
      </c>
      <c r="AF143" t="s">
        <v>74</v>
      </c>
      <c r="AG143">
        <v>87</v>
      </c>
      <c r="AH143">
        <v>2</v>
      </c>
      <c r="AI143">
        <v>2</v>
      </c>
      <c r="AJ143">
        <v>11</v>
      </c>
      <c r="AK143">
        <v>15</v>
      </c>
      <c r="AL143" t="s">
        <v>460</v>
      </c>
      <c r="AM143" t="s">
        <v>461</v>
      </c>
      <c r="AN143" t="s">
        <v>462</v>
      </c>
      <c r="AO143" t="s">
        <v>3143</v>
      </c>
      <c r="AP143" t="s">
        <v>3144</v>
      </c>
      <c r="AQ143" t="s">
        <v>74</v>
      </c>
      <c r="AR143" t="s">
        <v>3145</v>
      </c>
      <c r="AS143" t="s">
        <v>3146</v>
      </c>
      <c r="AT143" t="s">
        <v>1810</v>
      </c>
      <c r="AU143">
        <v>2023</v>
      </c>
      <c r="AV143">
        <v>59</v>
      </c>
      <c r="AW143">
        <v>5</v>
      </c>
      <c r="AX143" t="s">
        <v>74</v>
      </c>
      <c r="AY143" t="s">
        <v>74</v>
      </c>
      <c r="AZ143" t="s">
        <v>74</v>
      </c>
      <c r="BA143" t="s">
        <v>74</v>
      </c>
      <c r="BB143">
        <v>879</v>
      </c>
      <c r="BC143">
        <v>892</v>
      </c>
      <c r="BD143" t="s">
        <v>74</v>
      </c>
      <c r="BE143" t="s">
        <v>3147</v>
      </c>
      <c r="BF143" t="str">
        <f>HYPERLINK("http://dx.doi.org/10.1111/jpy.13381","http://dx.doi.org/10.1111/jpy.13381")</f>
        <v>http://dx.doi.org/10.1111/jpy.13381</v>
      </c>
      <c r="BG143" t="s">
        <v>74</v>
      </c>
      <c r="BH143" t="s">
        <v>1812</v>
      </c>
      <c r="BI143">
        <v>14</v>
      </c>
      <c r="BJ143" t="s">
        <v>3148</v>
      </c>
      <c r="BK143" t="s">
        <v>104</v>
      </c>
      <c r="BL143" t="s">
        <v>3148</v>
      </c>
      <c r="BM143" t="s">
        <v>3149</v>
      </c>
      <c r="BN143">
        <v>37596958</v>
      </c>
      <c r="BO143" t="s">
        <v>549</v>
      </c>
      <c r="BP143" t="s">
        <v>74</v>
      </c>
      <c r="BQ143" t="s">
        <v>74</v>
      </c>
      <c r="BR143" t="s">
        <v>107</v>
      </c>
      <c r="BS143" t="s">
        <v>3150</v>
      </c>
      <c r="BT143" t="str">
        <f>HYPERLINK("https%3A%2F%2Fwww.webofscience.com%2Fwos%2Fwoscc%2Ffull-record%2FWOS:001051240100001","View Full Record in Web of Science")</f>
        <v>View Full Record in Web of Science</v>
      </c>
    </row>
    <row r="144" spans="1:72" x14ac:dyDescent="0.15">
      <c r="A144" t="s">
        <v>72</v>
      </c>
      <c r="B144" t="s">
        <v>3151</v>
      </c>
      <c r="C144" t="s">
        <v>74</v>
      </c>
      <c r="D144" t="s">
        <v>74</v>
      </c>
      <c r="E144" t="s">
        <v>74</v>
      </c>
      <c r="F144" t="s">
        <v>3152</v>
      </c>
      <c r="G144" t="s">
        <v>74</v>
      </c>
      <c r="H144" t="s">
        <v>74</v>
      </c>
      <c r="I144" t="s">
        <v>3153</v>
      </c>
      <c r="J144" t="s">
        <v>3154</v>
      </c>
      <c r="K144" t="s">
        <v>74</v>
      </c>
      <c r="L144" t="s">
        <v>74</v>
      </c>
      <c r="M144" t="s">
        <v>78</v>
      </c>
      <c r="N144" t="s">
        <v>79</v>
      </c>
      <c r="O144" t="s">
        <v>74</v>
      </c>
      <c r="P144" t="s">
        <v>74</v>
      </c>
      <c r="Q144" t="s">
        <v>74</v>
      </c>
      <c r="R144" t="s">
        <v>74</v>
      </c>
      <c r="S144" t="s">
        <v>74</v>
      </c>
      <c r="T144" t="s">
        <v>3155</v>
      </c>
      <c r="U144" t="s">
        <v>3156</v>
      </c>
      <c r="V144" t="s">
        <v>3157</v>
      </c>
      <c r="W144" t="s">
        <v>3158</v>
      </c>
      <c r="X144" t="s">
        <v>3159</v>
      </c>
      <c r="Y144" t="s">
        <v>3160</v>
      </c>
      <c r="Z144" t="s">
        <v>3161</v>
      </c>
      <c r="AA144" t="s">
        <v>3162</v>
      </c>
      <c r="AB144" t="s">
        <v>3163</v>
      </c>
      <c r="AC144" t="s">
        <v>3164</v>
      </c>
      <c r="AD144" t="s">
        <v>3165</v>
      </c>
      <c r="AE144" t="s">
        <v>3166</v>
      </c>
      <c r="AF144" t="s">
        <v>74</v>
      </c>
      <c r="AG144">
        <v>97</v>
      </c>
      <c r="AH144">
        <v>1</v>
      </c>
      <c r="AI144">
        <v>1</v>
      </c>
      <c r="AJ144">
        <v>2</v>
      </c>
      <c r="AK144">
        <v>3</v>
      </c>
      <c r="AL144" t="s">
        <v>2305</v>
      </c>
      <c r="AM144" t="s">
        <v>538</v>
      </c>
      <c r="AN144" t="s">
        <v>2306</v>
      </c>
      <c r="AO144" t="s">
        <v>3167</v>
      </c>
      <c r="AP144" t="s">
        <v>3168</v>
      </c>
      <c r="AQ144" t="s">
        <v>74</v>
      </c>
      <c r="AR144" t="s">
        <v>3169</v>
      </c>
      <c r="AS144" t="s">
        <v>3170</v>
      </c>
      <c r="AT144" t="s">
        <v>3171</v>
      </c>
      <c r="AU144">
        <v>2023</v>
      </c>
      <c r="AV144">
        <v>358</v>
      </c>
      <c r="AW144" t="s">
        <v>74</v>
      </c>
      <c r="AX144" t="s">
        <v>74</v>
      </c>
      <c r="AY144" t="s">
        <v>74</v>
      </c>
      <c r="AZ144" t="s">
        <v>74</v>
      </c>
      <c r="BA144" t="s">
        <v>74</v>
      </c>
      <c r="BB144">
        <v>49</v>
      </c>
      <c r="BC144">
        <v>60</v>
      </c>
      <c r="BD144" t="s">
        <v>74</v>
      </c>
      <c r="BE144" t="s">
        <v>3172</v>
      </c>
      <c r="BF144" t="str">
        <f>HYPERLINK("http://dx.doi.org/10.1016/j.gca.2023.07.025","http://dx.doi.org/10.1016/j.gca.2023.07.025")</f>
        <v>http://dx.doi.org/10.1016/j.gca.2023.07.025</v>
      </c>
      <c r="BG144" t="s">
        <v>74</v>
      </c>
      <c r="BH144" t="s">
        <v>1812</v>
      </c>
      <c r="BI144">
        <v>12</v>
      </c>
      <c r="BJ144" t="s">
        <v>597</v>
      </c>
      <c r="BK144" t="s">
        <v>104</v>
      </c>
      <c r="BL144" t="s">
        <v>597</v>
      </c>
      <c r="BM144" t="s">
        <v>3173</v>
      </c>
      <c r="BN144" t="s">
        <v>74</v>
      </c>
      <c r="BO144" t="s">
        <v>74</v>
      </c>
      <c r="BP144" t="s">
        <v>74</v>
      </c>
      <c r="BQ144" t="s">
        <v>74</v>
      </c>
      <c r="BR144" t="s">
        <v>107</v>
      </c>
      <c r="BS144" t="s">
        <v>3174</v>
      </c>
      <c r="BT144" t="str">
        <f>HYPERLINK("https%3A%2F%2Fwww.webofscience.com%2Fwos%2Fwoscc%2Ffull-record%2FWOS:001064739200001","View Full Record in Web of Science")</f>
        <v>View Full Record in Web of Science</v>
      </c>
    </row>
    <row r="145" spans="1:72" x14ac:dyDescent="0.15">
      <c r="A145" t="s">
        <v>72</v>
      </c>
      <c r="B145" t="s">
        <v>3175</v>
      </c>
      <c r="C145" t="s">
        <v>74</v>
      </c>
      <c r="D145" t="s">
        <v>74</v>
      </c>
      <c r="E145" t="s">
        <v>74</v>
      </c>
      <c r="F145" t="s">
        <v>3176</v>
      </c>
      <c r="G145" t="s">
        <v>74</v>
      </c>
      <c r="H145" t="s">
        <v>74</v>
      </c>
      <c r="I145" t="s">
        <v>3177</v>
      </c>
      <c r="J145" t="s">
        <v>2917</v>
      </c>
      <c r="K145" t="s">
        <v>74</v>
      </c>
      <c r="L145" t="s">
        <v>74</v>
      </c>
      <c r="M145" t="s">
        <v>78</v>
      </c>
      <c r="N145" t="s">
        <v>79</v>
      </c>
      <c r="O145" t="s">
        <v>74</v>
      </c>
      <c r="P145" t="s">
        <v>74</v>
      </c>
      <c r="Q145" t="s">
        <v>74</v>
      </c>
      <c r="R145" t="s">
        <v>74</v>
      </c>
      <c r="S145" t="s">
        <v>74</v>
      </c>
      <c r="T145" t="s">
        <v>74</v>
      </c>
      <c r="U145" t="s">
        <v>3178</v>
      </c>
      <c r="V145" t="s">
        <v>3179</v>
      </c>
      <c r="W145" t="s">
        <v>3180</v>
      </c>
      <c r="X145" t="s">
        <v>3181</v>
      </c>
      <c r="Y145" t="s">
        <v>3182</v>
      </c>
      <c r="Z145" t="s">
        <v>3183</v>
      </c>
      <c r="AA145" t="s">
        <v>3184</v>
      </c>
      <c r="AB145" t="s">
        <v>3185</v>
      </c>
      <c r="AC145" t="s">
        <v>3186</v>
      </c>
      <c r="AD145" t="s">
        <v>3187</v>
      </c>
      <c r="AE145" t="s">
        <v>3188</v>
      </c>
      <c r="AF145" t="s">
        <v>74</v>
      </c>
      <c r="AG145">
        <v>58</v>
      </c>
      <c r="AH145">
        <v>3</v>
      </c>
      <c r="AI145">
        <v>3</v>
      </c>
      <c r="AJ145">
        <v>6</v>
      </c>
      <c r="AK145">
        <v>6</v>
      </c>
      <c r="AL145" t="s">
        <v>146</v>
      </c>
      <c r="AM145" t="s">
        <v>147</v>
      </c>
      <c r="AN145" t="s">
        <v>148</v>
      </c>
      <c r="AO145" t="s">
        <v>74</v>
      </c>
      <c r="AP145" t="s">
        <v>2929</v>
      </c>
      <c r="AQ145" t="s">
        <v>74</v>
      </c>
      <c r="AR145" t="s">
        <v>2930</v>
      </c>
      <c r="AS145" t="s">
        <v>2931</v>
      </c>
      <c r="AT145" t="s">
        <v>3189</v>
      </c>
      <c r="AU145">
        <v>2023</v>
      </c>
      <c r="AV145">
        <v>14</v>
      </c>
      <c r="AW145">
        <v>1</v>
      </c>
      <c r="AX145" t="s">
        <v>74</v>
      </c>
      <c r="AY145" t="s">
        <v>74</v>
      </c>
      <c r="AZ145" t="s">
        <v>74</v>
      </c>
      <c r="BA145" t="s">
        <v>74</v>
      </c>
      <c r="BB145" t="s">
        <v>74</v>
      </c>
      <c r="BC145" t="s">
        <v>74</v>
      </c>
      <c r="BD145">
        <v>4955</v>
      </c>
      <c r="BE145" t="s">
        <v>3190</v>
      </c>
      <c r="BF145" t="str">
        <f>HYPERLINK("http://dx.doi.org/10.1038/s41467-023-39764-z","http://dx.doi.org/10.1038/s41467-023-39764-z")</f>
        <v>http://dx.doi.org/10.1038/s41467-023-39764-z</v>
      </c>
      <c r="BG145" t="s">
        <v>74</v>
      </c>
      <c r="BH145" t="s">
        <v>74</v>
      </c>
      <c r="BI145">
        <v>15</v>
      </c>
      <c r="BJ145" t="s">
        <v>1881</v>
      </c>
      <c r="BK145" t="s">
        <v>104</v>
      </c>
      <c r="BL145" t="s">
        <v>1882</v>
      </c>
      <c r="BM145" t="s">
        <v>3191</v>
      </c>
      <c r="BN145">
        <v>37591840</v>
      </c>
      <c r="BO145" t="s">
        <v>821</v>
      </c>
      <c r="BP145" t="s">
        <v>74</v>
      </c>
      <c r="BQ145" t="s">
        <v>74</v>
      </c>
      <c r="BR145" t="s">
        <v>107</v>
      </c>
      <c r="BS145" t="s">
        <v>3192</v>
      </c>
      <c r="BT145" t="str">
        <f>HYPERLINK("https%3A%2F%2Fwww.webofscience.com%2Fwos%2Fwoscc%2Ffull-record%2FWOS:001067877800003","View Full Record in Web of Science")</f>
        <v>View Full Record in Web of Science</v>
      </c>
    </row>
    <row r="146" spans="1:72" x14ac:dyDescent="0.15">
      <c r="A146" t="s">
        <v>72</v>
      </c>
      <c r="B146" t="s">
        <v>3193</v>
      </c>
      <c r="C146" t="s">
        <v>74</v>
      </c>
      <c r="D146" t="s">
        <v>74</v>
      </c>
      <c r="E146" t="s">
        <v>74</v>
      </c>
      <c r="F146" t="s">
        <v>3194</v>
      </c>
      <c r="G146" t="s">
        <v>74</v>
      </c>
      <c r="H146" t="s">
        <v>74</v>
      </c>
      <c r="I146" t="s">
        <v>3195</v>
      </c>
      <c r="J146" t="s">
        <v>3196</v>
      </c>
      <c r="K146" t="s">
        <v>74</v>
      </c>
      <c r="L146" t="s">
        <v>74</v>
      </c>
      <c r="M146" t="s">
        <v>78</v>
      </c>
      <c r="N146" t="s">
        <v>3197</v>
      </c>
      <c r="O146" t="s">
        <v>74</v>
      </c>
      <c r="P146" t="s">
        <v>74</v>
      </c>
      <c r="Q146" t="s">
        <v>74</v>
      </c>
      <c r="R146" t="s">
        <v>74</v>
      </c>
      <c r="S146" t="s">
        <v>74</v>
      </c>
      <c r="T146" t="s">
        <v>3198</v>
      </c>
      <c r="U146" t="s">
        <v>3199</v>
      </c>
      <c r="V146" t="s">
        <v>3200</v>
      </c>
      <c r="W146" t="s">
        <v>3201</v>
      </c>
      <c r="X146" t="s">
        <v>3202</v>
      </c>
      <c r="Y146" t="s">
        <v>3203</v>
      </c>
      <c r="Z146" t="s">
        <v>3204</v>
      </c>
      <c r="AA146" t="s">
        <v>3205</v>
      </c>
      <c r="AB146" t="s">
        <v>3206</v>
      </c>
      <c r="AC146" t="s">
        <v>3207</v>
      </c>
      <c r="AD146" t="s">
        <v>3208</v>
      </c>
      <c r="AE146" t="s">
        <v>3209</v>
      </c>
      <c r="AF146" t="s">
        <v>74</v>
      </c>
      <c r="AG146">
        <v>59</v>
      </c>
      <c r="AH146">
        <v>1</v>
      </c>
      <c r="AI146">
        <v>1</v>
      </c>
      <c r="AJ146">
        <v>1</v>
      </c>
      <c r="AK146">
        <v>1</v>
      </c>
      <c r="AL146" t="s">
        <v>3210</v>
      </c>
      <c r="AM146" t="s">
        <v>615</v>
      </c>
      <c r="AN146" t="s">
        <v>3211</v>
      </c>
      <c r="AO146" t="s">
        <v>3212</v>
      </c>
      <c r="AP146" t="s">
        <v>3213</v>
      </c>
      <c r="AQ146" t="s">
        <v>74</v>
      </c>
      <c r="AR146" t="s">
        <v>3214</v>
      </c>
      <c r="AS146" t="s">
        <v>3215</v>
      </c>
      <c r="AT146" t="s">
        <v>3189</v>
      </c>
      <c r="AU146">
        <v>2023</v>
      </c>
      <c r="AV146">
        <v>11</v>
      </c>
      <c r="AW146" t="s">
        <v>74</v>
      </c>
      <c r="AX146" t="s">
        <v>74</v>
      </c>
      <c r="AY146" t="s">
        <v>74</v>
      </c>
      <c r="AZ146" t="s">
        <v>74</v>
      </c>
      <c r="BA146" t="s">
        <v>74</v>
      </c>
      <c r="BB146" t="s">
        <v>74</v>
      </c>
      <c r="BC146" t="s">
        <v>74</v>
      </c>
      <c r="BD146" t="s">
        <v>3216</v>
      </c>
      <c r="BE146" t="s">
        <v>3217</v>
      </c>
      <c r="BF146" t="str">
        <f>HYPERLINK("http://dx.doi.org/10.3897/BDJ.11.e108566","http://dx.doi.org/10.3897/BDJ.11.e108566")</f>
        <v>http://dx.doi.org/10.3897/BDJ.11.e108566</v>
      </c>
      <c r="BG146" t="s">
        <v>74</v>
      </c>
      <c r="BH146" t="s">
        <v>74</v>
      </c>
      <c r="BI146">
        <v>25</v>
      </c>
      <c r="BJ146" t="s">
        <v>444</v>
      </c>
      <c r="BK146" t="s">
        <v>104</v>
      </c>
      <c r="BL146" t="s">
        <v>445</v>
      </c>
      <c r="BM146" t="s">
        <v>3218</v>
      </c>
      <c r="BN146">
        <v>38318521</v>
      </c>
      <c r="BO146" t="s">
        <v>181</v>
      </c>
      <c r="BP146" t="s">
        <v>74</v>
      </c>
      <c r="BQ146" t="s">
        <v>74</v>
      </c>
      <c r="BR146" t="s">
        <v>107</v>
      </c>
      <c r="BS146" t="s">
        <v>3219</v>
      </c>
      <c r="BT146" t="str">
        <f>HYPERLINK("https%3A%2F%2Fwww.webofscience.com%2Fwos%2Fwoscc%2Ffull-record%2FWOS:001074498700002","View Full Record in Web of Science")</f>
        <v>View Full Record in Web of Science</v>
      </c>
    </row>
    <row r="147" spans="1:72" x14ac:dyDescent="0.15">
      <c r="A147" t="s">
        <v>72</v>
      </c>
      <c r="B147" t="s">
        <v>3220</v>
      </c>
      <c r="C147" t="s">
        <v>74</v>
      </c>
      <c r="D147" t="s">
        <v>74</v>
      </c>
      <c r="E147" t="s">
        <v>74</v>
      </c>
      <c r="F147" t="s">
        <v>3221</v>
      </c>
      <c r="G147" t="s">
        <v>74</v>
      </c>
      <c r="H147" t="s">
        <v>74</v>
      </c>
      <c r="I147" t="s">
        <v>3222</v>
      </c>
      <c r="J147" t="s">
        <v>3223</v>
      </c>
      <c r="K147" t="s">
        <v>74</v>
      </c>
      <c r="L147" t="s">
        <v>74</v>
      </c>
      <c r="M147" t="s">
        <v>78</v>
      </c>
      <c r="N147" t="s">
        <v>79</v>
      </c>
      <c r="O147" t="s">
        <v>74</v>
      </c>
      <c r="P147" t="s">
        <v>74</v>
      </c>
      <c r="Q147" t="s">
        <v>74</v>
      </c>
      <c r="R147" t="s">
        <v>74</v>
      </c>
      <c r="S147" t="s">
        <v>74</v>
      </c>
      <c r="T147" t="s">
        <v>3224</v>
      </c>
      <c r="U147" t="s">
        <v>3225</v>
      </c>
      <c r="V147" t="s">
        <v>3226</v>
      </c>
      <c r="W147" t="s">
        <v>3227</v>
      </c>
      <c r="X147" t="s">
        <v>3228</v>
      </c>
      <c r="Y147" t="s">
        <v>3229</v>
      </c>
      <c r="Z147" t="s">
        <v>3230</v>
      </c>
      <c r="AA147" t="s">
        <v>3231</v>
      </c>
      <c r="AB147" t="s">
        <v>3232</v>
      </c>
      <c r="AC147" t="s">
        <v>3233</v>
      </c>
      <c r="AD147" t="s">
        <v>3234</v>
      </c>
      <c r="AE147" t="s">
        <v>3235</v>
      </c>
      <c r="AF147" t="s">
        <v>74</v>
      </c>
      <c r="AG147">
        <v>85</v>
      </c>
      <c r="AH147">
        <v>0</v>
      </c>
      <c r="AI147">
        <v>0</v>
      </c>
      <c r="AJ147">
        <v>9</v>
      </c>
      <c r="AK147">
        <v>10</v>
      </c>
      <c r="AL147" t="s">
        <v>3236</v>
      </c>
      <c r="AM147" t="s">
        <v>3237</v>
      </c>
      <c r="AN147" t="s">
        <v>3238</v>
      </c>
      <c r="AO147" t="s">
        <v>3239</v>
      </c>
      <c r="AP147" t="s">
        <v>74</v>
      </c>
      <c r="AQ147" t="s">
        <v>74</v>
      </c>
      <c r="AR147" t="s">
        <v>3223</v>
      </c>
      <c r="AS147" t="s">
        <v>3240</v>
      </c>
      <c r="AT147" t="s">
        <v>3189</v>
      </c>
      <c r="AU147">
        <v>2023</v>
      </c>
      <c r="AV147">
        <v>8</v>
      </c>
      <c r="AW147" t="s">
        <v>74</v>
      </c>
      <c r="AX147" t="s">
        <v>74</v>
      </c>
      <c r="AY147" t="s">
        <v>74</v>
      </c>
      <c r="AZ147" t="s">
        <v>74</v>
      </c>
      <c r="BA147" t="s">
        <v>74</v>
      </c>
      <c r="BB147" t="s">
        <v>74</v>
      </c>
      <c r="BC147" t="s">
        <v>74</v>
      </c>
      <c r="BD147">
        <v>24</v>
      </c>
      <c r="BE147" t="s">
        <v>3241</v>
      </c>
      <c r="BF147" t="str">
        <f>HYPERLINK("http://dx.doi.org/10.1139/facets-2023-0024","http://dx.doi.org/10.1139/facets-2023-0024")</f>
        <v>http://dx.doi.org/10.1139/facets-2023-0024</v>
      </c>
      <c r="BG147" t="s">
        <v>74</v>
      </c>
      <c r="BH147" t="s">
        <v>74</v>
      </c>
      <c r="BI147">
        <v>16</v>
      </c>
      <c r="BJ147" t="s">
        <v>1881</v>
      </c>
      <c r="BK147" t="s">
        <v>104</v>
      </c>
      <c r="BL147" t="s">
        <v>1882</v>
      </c>
      <c r="BM147" t="s">
        <v>3242</v>
      </c>
      <c r="BN147" t="s">
        <v>74</v>
      </c>
      <c r="BO147" t="s">
        <v>3243</v>
      </c>
      <c r="BP147" t="s">
        <v>74</v>
      </c>
      <c r="BQ147" t="s">
        <v>74</v>
      </c>
      <c r="BR147" t="s">
        <v>107</v>
      </c>
      <c r="BS147" t="s">
        <v>3244</v>
      </c>
      <c r="BT147" t="str">
        <f>HYPERLINK("https%3A%2F%2Fwww.webofscience.com%2Fwos%2Fwoscc%2Ffull-record%2FWOS:001072816700001","View Full Record in Web of Science")</f>
        <v>View Full Record in Web of Science</v>
      </c>
    </row>
    <row r="148" spans="1:72" x14ac:dyDescent="0.15">
      <c r="A148" t="s">
        <v>72</v>
      </c>
      <c r="B148" t="s">
        <v>3245</v>
      </c>
      <c r="C148" t="s">
        <v>74</v>
      </c>
      <c r="D148" t="s">
        <v>74</v>
      </c>
      <c r="E148" t="s">
        <v>74</v>
      </c>
      <c r="F148" t="s">
        <v>3246</v>
      </c>
      <c r="G148" t="s">
        <v>74</v>
      </c>
      <c r="H148" t="s">
        <v>74</v>
      </c>
      <c r="I148" t="s">
        <v>3247</v>
      </c>
      <c r="J148" t="s">
        <v>3248</v>
      </c>
      <c r="K148" t="s">
        <v>74</v>
      </c>
      <c r="L148" t="s">
        <v>74</v>
      </c>
      <c r="M148" t="s">
        <v>78</v>
      </c>
      <c r="N148" t="s">
        <v>79</v>
      </c>
      <c r="O148" t="s">
        <v>74</v>
      </c>
      <c r="P148" t="s">
        <v>74</v>
      </c>
      <c r="Q148" t="s">
        <v>74</v>
      </c>
      <c r="R148" t="s">
        <v>74</v>
      </c>
      <c r="S148" t="s">
        <v>74</v>
      </c>
      <c r="T148" t="s">
        <v>74</v>
      </c>
      <c r="U148" t="s">
        <v>3249</v>
      </c>
      <c r="V148" t="s">
        <v>3250</v>
      </c>
      <c r="W148" t="s">
        <v>3251</v>
      </c>
      <c r="X148" t="s">
        <v>3252</v>
      </c>
      <c r="Y148" t="s">
        <v>3253</v>
      </c>
      <c r="Z148" t="s">
        <v>3254</v>
      </c>
      <c r="AA148" t="s">
        <v>3255</v>
      </c>
      <c r="AB148" t="s">
        <v>3256</v>
      </c>
      <c r="AC148" t="s">
        <v>3257</v>
      </c>
      <c r="AD148" t="s">
        <v>3258</v>
      </c>
      <c r="AE148" t="s">
        <v>3259</v>
      </c>
      <c r="AF148" t="s">
        <v>74</v>
      </c>
      <c r="AG148">
        <v>33</v>
      </c>
      <c r="AH148">
        <v>1</v>
      </c>
      <c r="AI148">
        <v>1</v>
      </c>
      <c r="AJ148">
        <v>8</v>
      </c>
      <c r="AK148">
        <v>9</v>
      </c>
      <c r="AL148" t="s">
        <v>408</v>
      </c>
      <c r="AM148" t="s">
        <v>409</v>
      </c>
      <c r="AN148" t="s">
        <v>410</v>
      </c>
      <c r="AO148" t="s">
        <v>3260</v>
      </c>
      <c r="AP148" t="s">
        <v>3261</v>
      </c>
      <c r="AQ148" t="s">
        <v>74</v>
      </c>
      <c r="AR148" t="s">
        <v>3248</v>
      </c>
      <c r="AS148" t="s">
        <v>156</v>
      </c>
      <c r="AT148" t="s">
        <v>3082</v>
      </c>
      <c r="AU148">
        <v>2023</v>
      </c>
      <c r="AV148">
        <v>51</v>
      </c>
      <c r="AW148">
        <v>11</v>
      </c>
      <c r="AX148" t="s">
        <v>74</v>
      </c>
      <c r="AY148" t="s">
        <v>74</v>
      </c>
      <c r="AZ148" t="s">
        <v>74</v>
      </c>
      <c r="BA148" t="s">
        <v>74</v>
      </c>
      <c r="BB148">
        <v>1033</v>
      </c>
      <c r="BC148">
        <v>1037</v>
      </c>
      <c r="BD148" t="s">
        <v>74</v>
      </c>
      <c r="BE148" t="s">
        <v>3262</v>
      </c>
      <c r="BF148" t="str">
        <f>HYPERLINK("http://dx.doi.org/10.1130/G51326.1","http://dx.doi.org/10.1130/G51326.1")</f>
        <v>http://dx.doi.org/10.1130/G51326.1</v>
      </c>
      <c r="BG148" t="s">
        <v>74</v>
      </c>
      <c r="BH148" t="s">
        <v>1812</v>
      </c>
      <c r="BI148">
        <v>5</v>
      </c>
      <c r="BJ148" t="s">
        <v>156</v>
      </c>
      <c r="BK148" t="s">
        <v>104</v>
      </c>
      <c r="BL148" t="s">
        <v>156</v>
      </c>
      <c r="BM148" t="s">
        <v>3263</v>
      </c>
      <c r="BN148" t="s">
        <v>74</v>
      </c>
      <c r="BO148" t="s">
        <v>3264</v>
      </c>
      <c r="BP148" t="s">
        <v>74</v>
      </c>
      <c r="BQ148" t="s">
        <v>74</v>
      </c>
      <c r="BR148" t="s">
        <v>107</v>
      </c>
      <c r="BS148" t="s">
        <v>3265</v>
      </c>
      <c r="BT148" t="str">
        <f>HYPERLINK("https%3A%2F%2Fwww.webofscience.com%2Fwos%2Fwoscc%2Ffull-record%2FWOS:001057727900001","View Full Record in Web of Science")</f>
        <v>View Full Record in Web of Science</v>
      </c>
    </row>
    <row r="149" spans="1:72" x14ac:dyDescent="0.15">
      <c r="A149" t="s">
        <v>72</v>
      </c>
      <c r="B149" t="s">
        <v>3266</v>
      </c>
      <c r="C149" t="s">
        <v>74</v>
      </c>
      <c r="D149" t="s">
        <v>74</v>
      </c>
      <c r="E149" t="s">
        <v>74</v>
      </c>
      <c r="F149" t="s">
        <v>3267</v>
      </c>
      <c r="G149" t="s">
        <v>74</v>
      </c>
      <c r="H149" t="s">
        <v>74</v>
      </c>
      <c r="I149" t="s">
        <v>3268</v>
      </c>
      <c r="J149" t="s">
        <v>1868</v>
      </c>
      <c r="K149" t="s">
        <v>74</v>
      </c>
      <c r="L149" t="s">
        <v>74</v>
      </c>
      <c r="M149" t="s">
        <v>78</v>
      </c>
      <c r="N149" t="s">
        <v>79</v>
      </c>
      <c r="O149" t="s">
        <v>74</v>
      </c>
      <c r="P149" t="s">
        <v>74</v>
      </c>
      <c r="Q149" t="s">
        <v>74</v>
      </c>
      <c r="R149" t="s">
        <v>74</v>
      </c>
      <c r="S149" t="s">
        <v>74</v>
      </c>
      <c r="T149" t="s">
        <v>74</v>
      </c>
      <c r="U149" t="s">
        <v>3269</v>
      </c>
      <c r="V149" t="s">
        <v>3270</v>
      </c>
      <c r="W149" t="s">
        <v>3271</v>
      </c>
      <c r="X149" t="s">
        <v>3272</v>
      </c>
      <c r="Y149" t="s">
        <v>3273</v>
      </c>
      <c r="Z149" t="s">
        <v>3274</v>
      </c>
      <c r="AA149" t="s">
        <v>3275</v>
      </c>
      <c r="AB149" t="s">
        <v>3276</v>
      </c>
      <c r="AC149" t="s">
        <v>3277</v>
      </c>
      <c r="AD149" t="s">
        <v>3278</v>
      </c>
      <c r="AE149" t="s">
        <v>3279</v>
      </c>
      <c r="AF149" t="s">
        <v>74</v>
      </c>
      <c r="AG149">
        <v>99</v>
      </c>
      <c r="AH149">
        <v>16</v>
      </c>
      <c r="AI149">
        <v>16</v>
      </c>
      <c r="AJ149">
        <v>42</v>
      </c>
      <c r="AK149">
        <v>73</v>
      </c>
      <c r="AL149" t="s">
        <v>146</v>
      </c>
      <c r="AM149" t="s">
        <v>147</v>
      </c>
      <c r="AN149" t="s">
        <v>148</v>
      </c>
      <c r="AO149" t="s">
        <v>1877</v>
      </c>
      <c r="AP149" t="s">
        <v>1878</v>
      </c>
      <c r="AQ149" t="s">
        <v>74</v>
      </c>
      <c r="AR149" t="s">
        <v>1868</v>
      </c>
      <c r="AS149" t="s">
        <v>1879</v>
      </c>
      <c r="AT149" t="s">
        <v>3189</v>
      </c>
      <c r="AU149">
        <v>2023</v>
      </c>
      <c r="AV149">
        <v>620</v>
      </c>
      <c r="AW149">
        <v>7974</v>
      </c>
      <c r="AX149" t="s">
        <v>74</v>
      </c>
      <c r="AY149" t="s">
        <v>74</v>
      </c>
      <c r="AZ149" t="s">
        <v>74</v>
      </c>
      <c r="BA149" t="s">
        <v>74</v>
      </c>
      <c r="BB149">
        <v>562</v>
      </c>
      <c r="BC149" t="s">
        <v>153</v>
      </c>
      <c r="BD149" t="s">
        <v>74</v>
      </c>
      <c r="BE149" t="s">
        <v>3280</v>
      </c>
      <c r="BF149" t="str">
        <f>HYPERLINK("http://dx.doi.org/10.1038/s41586-023-06302-2","http://dx.doi.org/10.1038/s41586-023-06302-2")</f>
        <v>http://dx.doi.org/10.1038/s41586-023-06302-2</v>
      </c>
      <c r="BG149" t="s">
        <v>74</v>
      </c>
      <c r="BH149" t="s">
        <v>74</v>
      </c>
      <c r="BI149">
        <v>19</v>
      </c>
      <c r="BJ149" t="s">
        <v>1881</v>
      </c>
      <c r="BK149" t="s">
        <v>104</v>
      </c>
      <c r="BL149" t="s">
        <v>1882</v>
      </c>
      <c r="BM149" t="s">
        <v>3281</v>
      </c>
      <c r="BN149">
        <v>37587299</v>
      </c>
      <c r="BO149" t="s">
        <v>418</v>
      </c>
      <c r="BP149" t="s">
        <v>74</v>
      </c>
      <c r="BQ149" t="s">
        <v>74</v>
      </c>
      <c r="BR149" t="s">
        <v>107</v>
      </c>
      <c r="BS149" t="s">
        <v>3282</v>
      </c>
      <c r="BT149" t="str">
        <f>HYPERLINK("https%3A%2F%2Fwww.webofscience.com%2Fwos%2Fwoscc%2Ffull-record%2FWOS:001050475100002","View Full Record in Web of Science")</f>
        <v>View Full Record in Web of Science</v>
      </c>
    </row>
    <row r="150" spans="1:72" x14ac:dyDescent="0.15">
      <c r="A150" t="s">
        <v>72</v>
      </c>
      <c r="B150" t="s">
        <v>3283</v>
      </c>
      <c r="C150" t="s">
        <v>74</v>
      </c>
      <c r="D150" t="s">
        <v>74</v>
      </c>
      <c r="E150" t="s">
        <v>74</v>
      </c>
      <c r="F150" t="s">
        <v>3284</v>
      </c>
      <c r="G150" t="s">
        <v>74</v>
      </c>
      <c r="H150" t="s">
        <v>74</v>
      </c>
      <c r="I150" t="s">
        <v>3285</v>
      </c>
      <c r="J150" t="s">
        <v>3286</v>
      </c>
      <c r="K150" t="s">
        <v>74</v>
      </c>
      <c r="L150" t="s">
        <v>74</v>
      </c>
      <c r="M150" t="s">
        <v>78</v>
      </c>
      <c r="N150" t="s">
        <v>79</v>
      </c>
      <c r="O150" t="s">
        <v>74</v>
      </c>
      <c r="P150" t="s">
        <v>74</v>
      </c>
      <c r="Q150" t="s">
        <v>74</v>
      </c>
      <c r="R150" t="s">
        <v>74</v>
      </c>
      <c r="S150" t="s">
        <v>74</v>
      </c>
      <c r="T150" t="s">
        <v>74</v>
      </c>
      <c r="U150" t="s">
        <v>3287</v>
      </c>
      <c r="V150" t="s">
        <v>3288</v>
      </c>
      <c r="W150" t="s">
        <v>3289</v>
      </c>
      <c r="X150" t="s">
        <v>3290</v>
      </c>
      <c r="Y150" t="s">
        <v>3291</v>
      </c>
      <c r="Z150" t="s">
        <v>3292</v>
      </c>
      <c r="AA150" t="s">
        <v>3293</v>
      </c>
      <c r="AB150" t="s">
        <v>3294</v>
      </c>
      <c r="AC150" t="s">
        <v>3295</v>
      </c>
      <c r="AD150" t="s">
        <v>3296</v>
      </c>
      <c r="AE150" t="s">
        <v>3297</v>
      </c>
      <c r="AF150" t="s">
        <v>74</v>
      </c>
      <c r="AG150">
        <v>118</v>
      </c>
      <c r="AH150">
        <v>1</v>
      </c>
      <c r="AI150">
        <v>1</v>
      </c>
      <c r="AJ150">
        <v>14</v>
      </c>
      <c r="AK150">
        <v>17</v>
      </c>
      <c r="AL150" t="s">
        <v>1775</v>
      </c>
      <c r="AM150" t="s">
        <v>1776</v>
      </c>
      <c r="AN150" t="s">
        <v>1777</v>
      </c>
      <c r="AO150" t="s">
        <v>3298</v>
      </c>
      <c r="AP150" t="s">
        <v>3299</v>
      </c>
      <c r="AQ150" t="s">
        <v>74</v>
      </c>
      <c r="AR150" t="s">
        <v>3300</v>
      </c>
      <c r="AS150" t="s">
        <v>3301</v>
      </c>
      <c r="AT150" t="s">
        <v>3189</v>
      </c>
      <c r="AU150">
        <v>2023</v>
      </c>
      <c r="AV150">
        <v>23</v>
      </c>
      <c r="AW150">
        <v>16</v>
      </c>
      <c r="AX150" t="s">
        <v>74</v>
      </c>
      <c r="AY150" t="s">
        <v>74</v>
      </c>
      <c r="AZ150" t="s">
        <v>74</v>
      </c>
      <c r="BA150" t="s">
        <v>74</v>
      </c>
      <c r="BB150">
        <v>9037</v>
      </c>
      <c r="BC150">
        <v>9069</v>
      </c>
      <c r="BD150" t="s">
        <v>74</v>
      </c>
      <c r="BE150" t="s">
        <v>3302</v>
      </c>
      <c r="BF150" t="str">
        <f>HYPERLINK("http://dx.doi.org/10.5194/acp-23-9037-2023","http://dx.doi.org/10.5194/acp-23-9037-2023")</f>
        <v>http://dx.doi.org/10.5194/acp-23-9037-2023</v>
      </c>
      <c r="BG150" t="s">
        <v>74</v>
      </c>
      <c r="BH150" t="s">
        <v>74</v>
      </c>
      <c r="BI150">
        <v>33</v>
      </c>
      <c r="BJ150" t="s">
        <v>3303</v>
      </c>
      <c r="BK150" t="s">
        <v>104</v>
      </c>
      <c r="BL150" t="s">
        <v>2372</v>
      </c>
      <c r="BM150" t="s">
        <v>3304</v>
      </c>
      <c r="BN150" t="s">
        <v>74</v>
      </c>
      <c r="BO150" t="s">
        <v>206</v>
      </c>
      <c r="BP150" t="s">
        <v>74</v>
      </c>
      <c r="BQ150" t="s">
        <v>74</v>
      </c>
      <c r="BR150" t="s">
        <v>107</v>
      </c>
      <c r="BS150" t="s">
        <v>3305</v>
      </c>
      <c r="BT150" t="str">
        <f>HYPERLINK("https%3A%2F%2Fwww.webofscience.com%2Fwos%2Fwoscc%2Ffull-record%2FWOS:001049957800001","View Full Record in Web of Science")</f>
        <v>View Full Record in Web of Science</v>
      </c>
    </row>
    <row r="151" spans="1:72" x14ac:dyDescent="0.15">
      <c r="A151" t="s">
        <v>72</v>
      </c>
      <c r="B151" t="s">
        <v>3306</v>
      </c>
      <c r="C151" t="s">
        <v>74</v>
      </c>
      <c r="D151" t="s">
        <v>74</v>
      </c>
      <c r="E151" t="s">
        <v>74</v>
      </c>
      <c r="F151" t="s">
        <v>3307</v>
      </c>
      <c r="G151" t="s">
        <v>74</v>
      </c>
      <c r="H151" t="s">
        <v>74</v>
      </c>
      <c r="I151" t="s">
        <v>3308</v>
      </c>
      <c r="J151" t="s">
        <v>3309</v>
      </c>
      <c r="K151" t="s">
        <v>74</v>
      </c>
      <c r="L151" t="s">
        <v>74</v>
      </c>
      <c r="M151" t="s">
        <v>78</v>
      </c>
      <c r="N151" t="s">
        <v>79</v>
      </c>
      <c r="O151" t="s">
        <v>74</v>
      </c>
      <c r="P151" t="s">
        <v>74</v>
      </c>
      <c r="Q151" t="s">
        <v>74</v>
      </c>
      <c r="R151" t="s">
        <v>74</v>
      </c>
      <c r="S151" t="s">
        <v>74</v>
      </c>
      <c r="T151" t="s">
        <v>74</v>
      </c>
      <c r="U151" t="s">
        <v>3310</v>
      </c>
      <c r="V151" t="s">
        <v>3311</v>
      </c>
      <c r="W151" t="s">
        <v>3312</v>
      </c>
      <c r="X151" t="s">
        <v>3313</v>
      </c>
      <c r="Y151" t="s">
        <v>3314</v>
      </c>
      <c r="Z151" t="s">
        <v>3315</v>
      </c>
      <c r="AA151" t="s">
        <v>74</v>
      </c>
      <c r="AB151" t="s">
        <v>3316</v>
      </c>
      <c r="AC151" t="s">
        <v>3317</v>
      </c>
      <c r="AD151" t="s">
        <v>3318</v>
      </c>
      <c r="AE151" t="s">
        <v>3319</v>
      </c>
      <c r="AF151" t="s">
        <v>74</v>
      </c>
      <c r="AG151">
        <v>36</v>
      </c>
      <c r="AH151">
        <v>0</v>
      </c>
      <c r="AI151">
        <v>0</v>
      </c>
      <c r="AJ151">
        <v>1</v>
      </c>
      <c r="AK151">
        <v>1</v>
      </c>
      <c r="AL151" t="s">
        <v>3320</v>
      </c>
      <c r="AM151" t="s">
        <v>3321</v>
      </c>
      <c r="AN151" t="s">
        <v>3322</v>
      </c>
      <c r="AO151" t="s">
        <v>3323</v>
      </c>
      <c r="AP151" t="s">
        <v>3324</v>
      </c>
      <c r="AQ151" t="s">
        <v>74</v>
      </c>
      <c r="AR151" t="s">
        <v>3325</v>
      </c>
      <c r="AS151" t="s">
        <v>3326</v>
      </c>
      <c r="AT151" t="s">
        <v>3082</v>
      </c>
      <c r="AU151">
        <v>2023</v>
      </c>
      <c r="AV151">
        <v>154</v>
      </c>
      <c r="AW151" t="s">
        <v>3327</v>
      </c>
      <c r="AX151" t="s">
        <v>74</v>
      </c>
      <c r="AY151" t="s">
        <v>74</v>
      </c>
      <c r="AZ151" t="s">
        <v>74</v>
      </c>
      <c r="BA151" t="s">
        <v>74</v>
      </c>
      <c r="BB151">
        <v>815</v>
      </c>
      <c r="BC151">
        <v>831</v>
      </c>
      <c r="BD151" t="s">
        <v>74</v>
      </c>
      <c r="BE151" t="s">
        <v>3328</v>
      </c>
      <c r="BF151" t="str">
        <f>HYPERLINK("http://dx.doi.org/10.1007/s00704-023-04598-8","http://dx.doi.org/10.1007/s00704-023-04598-8")</f>
        <v>http://dx.doi.org/10.1007/s00704-023-04598-8</v>
      </c>
      <c r="BG151" t="s">
        <v>74</v>
      </c>
      <c r="BH151" t="s">
        <v>1812</v>
      </c>
      <c r="BI151">
        <v>17</v>
      </c>
      <c r="BJ151" t="s">
        <v>103</v>
      </c>
      <c r="BK151" t="s">
        <v>104</v>
      </c>
      <c r="BL151" t="s">
        <v>103</v>
      </c>
      <c r="BM151" t="s">
        <v>3329</v>
      </c>
      <c r="BN151" t="s">
        <v>74</v>
      </c>
      <c r="BO151" t="s">
        <v>74</v>
      </c>
      <c r="BP151" t="s">
        <v>74</v>
      </c>
      <c r="BQ151" t="s">
        <v>74</v>
      </c>
      <c r="BR151" t="s">
        <v>107</v>
      </c>
      <c r="BS151" t="s">
        <v>3330</v>
      </c>
      <c r="BT151" t="str">
        <f>HYPERLINK("https%3A%2F%2Fwww.webofscience.com%2Fwos%2Fwoscc%2Ffull-record%2FWOS:001050403400001","View Full Record in Web of Science")</f>
        <v>View Full Record in Web of Science</v>
      </c>
    </row>
    <row r="152" spans="1:72" x14ac:dyDescent="0.15">
      <c r="A152" t="s">
        <v>72</v>
      </c>
      <c r="B152" t="s">
        <v>3331</v>
      </c>
      <c r="C152" t="s">
        <v>74</v>
      </c>
      <c r="D152" t="s">
        <v>74</v>
      </c>
      <c r="E152" t="s">
        <v>74</v>
      </c>
      <c r="F152" t="s">
        <v>3332</v>
      </c>
      <c r="G152" t="s">
        <v>74</v>
      </c>
      <c r="H152" t="s">
        <v>74</v>
      </c>
      <c r="I152" t="s">
        <v>3333</v>
      </c>
      <c r="J152" t="s">
        <v>3334</v>
      </c>
      <c r="K152" t="s">
        <v>74</v>
      </c>
      <c r="L152" t="s">
        <v>74</v>
      </c>
      <c r="M152" t="s">
        <v>78</v>
      </c>
      <c r="N152" t="s">
        <v>79</v>
      </c>
      <c r="O152" t="s">
        <v>74</v>
      </c>
      <c r="P152" t="s">
        <v>74</v>
      </c>
      <c r="Q152" t="s">
        <v>74</v>
      </c>
      <c r="R152" t="s">
        <v>74</v>
      </c>
      <c r="S152" t="s">
        <v>74</v>
      </c>
      <c r="T152" t="s">
        <v>74</v>
      </c>
      <c r="U152" t="s">
        <v>3335</v>
      </c>
      <c r="V152" t="s">
        <v>3336</v>
      </c>
      <c r="W152" t="s">
        <v>3337</v>
      </c>
      <c r="X152" t="s">
        <v>3338</v>
      </c>
      <c r="Y152" t="s">
        <v>3339</v>
      </c>
      <c r="Z152" t="s">
        <v>3340</v>
      </c>
      <c r="AA152" t="s">
        <v>3341</v>
      </c>
      <c r="AB152" t="s">
        <v>3342</v>
      </c>
      <c r="AC152" t="s">
        <v>3343</v>
      </c>
      <c r="AD152" t="s">
        <v>3344</v>
      </c>
      <c r="AE152" t="s">
        <v>3345</v>
      </c>
      <c r="AF152" t="s">
        <v>74</v>
      </c>
      <c r="AG152">
        <v>75</v>
      </c>
      <c r="AH152">
        <v>0</v>
      </c>
      <c r="AI152">
        <v>0</v>
      </c>
      <c r="AJ152">
        <v>6</v>
      </c>
      <c r="AK152">
        <v>6</v>
      </c>
      <c r="AL152" t="s">
        <v>1775</v>
      </c>
      <c r="AM152" t="s">
        <v>1776</v>
      </c>
      <c r="AN152" t="s">
        <v>1777</v>
      </c>
      <c r="AO152" t="s">
        <v>3346</v>
      </c>
      <c r="AP152" t="s">
        <v>3347</v>
      </c>
      <c r="AQ152" t="s">
        <v>74</v>
      </c>
      <c r="AR152" t="s">
        <v>3348</v>
      </c>
      <c r="AS152" t="s">
        <v>3349</v>
      </c>
      <c r="AT152" t="s">
        <v>3189</v>
      </c>
      <c r="AU152">
        <v>2023</v>
      </c>
      <c r="AV152">
        <v>19</v>
      </c>
      <c r="AW152">
        <v>8</v>
      </c>
      <c r="AX152" t="s">
        <v>74</v>
      </c>
      <c r="AY152" t="s">
        <v>74</v>
      </c>
      <c r="AZ152" t="s">
        <v>74</v>
      </c>
      <c r="BA152" t="s">
        <v>74</v>
      </c>
      <c r="BB152">
        <v>1699</v>
      </c>
      <c r="BC152">
        <v>1714</v>
      </c>
      <c r="BD152" t="s">
        <v>74</v>
      </c>
      <c r="BE152" t="s">
        <v>3350</v>
      </c>
      <c r="BF152" t="str">
        <f>HYPERLINK("http://dx.doi.org/10.5194/cp-19-1699-2023","http://dx.doi.org/10.5194/cp-19-1699-2023")</f>
        <v>http://dx.doi.org/10.5194/cp-19-1699-2023</v>
      </c>
      <c r="BG152" t="s">
        <v>74</v>
      </c>
      <c r="BH152" t="s">
        <v>74</v>
      </c>
      <c r="BI152">
        <v>16</v>
      </c>
      <c r="BJ152" t="s">
        <v>3351</v>
      </c>
      <c r="BK152" t="s">
        <v>104</v>
      </c>
      <c r="BL152" t="s">
        <v>3352</v>
      </c>
      <c r="BM152" t="s">
        <v>3353</v>
      </c>
      <c r="BN152" t="s">
        <v>74</v>
      </c>
      <c r="BO152" t="s">
        <v>3354</v>
      </c>
      <c r="BP152" t="s">
        <v>74</v>
      </c>
      <c r="BQ152" t="s">
        <v>74</v>
      </c>
      <c r="BR152" t="s">
        <v>107</v>
      </c>
      <c r="BS152" t="s">
        <v>3355</v>
      </c>
      <c r="BT152" t="str">
        <f>HYPERLINK("https%3A%2F%2Fwww.webofscience.com%2Fwos%2Fwoscc%2Ffull-record%2FWOS:001050005800001","View Full Record in Web of Science")</f>
        <v>View Full Record in Web of Science</v>
      </c>
    </row>
    <row r="153" spans="1:72" x14ac:dyDescent="0.15">
      <c r="A153" t="s">
        <v>72</v>
      </c>
      <c r="B153" t="s">
        <v>3356</v>
      </c>
      <c r="C153" t="s">
        <v>74</v>
      </c>
      <c r="D153" t="s">
        <v>74</v>
      </c>
      <c r="E153" t="s">
        <v>74</v>
      </c>
      <c r="F153" t="s">
        <v>3357</v>
      </c>
      <c r="G153" t="s">
        <v>74</v>
      </c>
      <c r="H153" t="s">
        <v>74</v>
      </c>
      <c r="I153" t="s">
        <v>3358</v>
      </c>
      <c r="J153" t="s">
        <v>1763</v>
      </c>
      <c r="K153" t="s">
        <v>74</v>
      </c>
      <c r="L153" t="s">
        <v>74</v>
      </c>
      <c r="M153" t="s">
        <v>78</v>
      </c>
      <c r="N153" t="s">
        <v>79</v>
      </c>
      <c r="O153" t="s">
        <v>74</v>
      </c>
      <c r="P153" t="s">
        <v>74</v>
      </c>
      <c r="Q153" t="s">
        <v>74</v>
      </c>
      <c r="R153" t="s">
        <v>74</v>
      </c>
      <c r="S153" t="s">
        <v>74</v>
      </c>
      <c r="T153" t="s">
        <v>74</v>
      </c>
      <c r="U153" t="s">
        <v>3359</v>
      </c>
      <c r="V153" t="s">
        <v>3360</v>
      </c>
      <c r="W153" t="s">
        <v>3361</v>
      </c>
      <c r="X153" t="s">
        <v>3362</v>
      </c>
      <c r="Y153" t="s">
        <v>3363</v>
      </c>
      <c r="Z153" t="s">
        <v>3364</v>
      </c>
      <c r="AA153" t="s">
        <v>74</v>
      </c>
      <c r="AB153" t="s">
        <v>74</v>
      </c>
      <c r="AC153" t="s">
        <v>3365</v>
      </c>
      <c r="AD153" t="s">
        <v>3366</v>
      </c>
      <c r="AE153" t="s">
        <v>3367</v>
      </c>
      <c r="AF153" t="s">
        <v>74</v>
      </c>
      <c r="AG153">
        <v>75</v>
      </c>
      <c r="AH153">
        <v>1</v>
      </c>
      <c r="AI153">
        <v>1</v>
      </c>
      <c r="AJ153">
        <v>9</v>
      </c>
      <c r="AK153">
        <v>9</v>
      </c>
      <c r="AL153" t="s">
        <v>1775</v>
      </c>
      <c r="AM153" t="s">
        <v>1776</v>
      </c>
      <c r="AN153" t="s">
        <v>1777</v>
      </c>
      <c r="AO153" t="s">
        <v>1778</v>
      </c>
      <c r="AP153" t="s">
        <v>1779</v>
      </c>
      <c r="AQ153" t="s">
        <v>74</v>
      </c>
      <c r="AR153" t="s">
        <v>1763</v>
      </c>
      <c r="AS153" t="s">
        <v>1780</v>
      </c>
      <c r="AT153" t="s">
        <v>3189</v>
      </c>
      <c r="AU153">
        <v>2023</v>
      </c>
      <c r="AV153">
        <v>17</v>
      </c>
      <c r="AW153">
        <v>8</v>
      </c>
      <c r="AX153" t="s">
        <v>74</v>
      </c>
      <c r="AY153" t="s">
        <v>74</v>
      </c>
      <c r="AZ153" t="s">
        <v>74</v>
      </c>
      <c r="BA153" t="s">
        <v>74</v>
      </c>
      <c r="BB153">
        <v>3291</v>
      </c>
      <c r="BC153">
        <v>3308</v>
      </c>
      <c r="BD153" t="s">
        <v>74</v>
      </c>
      <c r="BE153" t="s">
        <v>3368</v>
      </c>
      <c r="BF153" t="str">
        <f>HYPERLINK("http://dx.doi.org/10.5194/tc-17-3291-2023","http://dx.doi.org/10.5194/tc-17-3291-2023")</f>
        <v>http://dx.doi.org/10.5194/tc-17-3291-2023</v>
      </c>
      <c r="BG153" t="s">
        <v>74</v>
      </c>
      <c r="BH153" t="s">
        <v>74</v>
      </c>
      <c r="BI153">
        <v>18</v>
      </c>
      <c r="BJ153" t="s">
        <v>1783</v>
      </c>
      <c r="BK153" t="s">
        <v>104</v>
      </c>
      <c r="BL153" t="s">
        <v>1784</v>
      </c>
      <c r="BM153" t="s">
        <v>3369</v>
      </c>
      <c r="BN153" t="s">
        <v>74</v>
      </c>
      <c r="BO153" t="s">
        <v>206</v>
      </c>
      <c r="BP153" t="s">
        <v>74</v>
      </c>
      <c r="BQ153" t="s">
        <v>74</v>
      </c>
      <c r="BR153" t="s">
        <v>107</v>
      </c>
      <c r="BS153" t="s">
        <v>3370</v>
      </c>
      <c r="BT153" t="str">
        <f>HYPERLINK("https%3A%2F%2Fwww.webofscience.com%2Fwos%2Fwoscc%2Ffull-record%2FWOS:001050008400001","View Full Record in Web of Science")</f>
        <v>View Full Record in Web of Science</v>
      </c>
    </row>
    <row r="154" spans="1:72" x14ac:dyDescent="0.15">
      <c r="A154" t="s">
        <v>72</v>
      </c>
      <c r="B154" t="s">
        <v>3371</v>
      </c>
      <c r="C154" t="s">
        <v>74</v>
      </c>
      <c r="D154" t="s">
        <v>74</v>
      </c>
      <c r="E154" t="s">
        <v>74</v>
      </c>
      <c r="F154" t="s">
        <v>3372</v>
      </c>
      <c r="G154" t="s">
        <v>74</v>
      </c>
      <c r="H154" t="s">
        <v>74</v>
      </c>
      <c r="I154" t="s">
        <v>3373</v>
      </c>
      <c r="J154" t="s">
        <v>3130</v>
      </c>
      <c r="K154" t="s">
        <v>74</v>
      </c>
      <c r="L154" t="s">
        <v>74</v>
      </c>
      <c r="M154" t="s">
        <v>78</v>
      </c>
      <c r="N154" t="s">
        <v>79</v>
      </c>
      <c r="O154" t="s">
        <v>74</v>
      </c>
      <c r="P154" t="s">
        <v>74</v>
      </c>
      <c r="Q154" t="s">
        <v>74</v>
      </c>
      <c r="R154" t="s">
        <v>74</v>
      </c>
      <c r="S154" t="s">
        <v>74</v>
      </c>
      <c r="T154" t="s">
        <v>3374</v>
      </c>
      <c r="U154" t="s">
        <v>3375</v>
      </c>
      <c r="V154" t="s">
        <v>3376</v>
      </c>
      <c r="W154" t="s">
        <v>3377</v>
      </c>
      <c r="X154" t="s">
        <v>3378</v>
      </c>
      <c r="Y154" t="s">
        <v>3379</v>
      </c>
      <c r="Z154" t="s">
        <v>3380</v>
      </c>
      <c r="AA154" t="s">
        <v>74</v>
      </c>
      <c r="AB154" t="s">
        <v>3381</v>
      </c>
      <c r="AC154" t="s">
        <v>74</v>
      </c>
      <c r="AD154" t="s">
        <v>74</v>
      </c>
      <c r="AE154" t="s">
        <v>74</v>
      </c>
      <c r="AF154" t="s">
        <v>74</v>
      </c>
      <c r="AG154">
        <v>32</v>
      </c>
      <c r="AH154">
        <v>0</v>
      </c>
      <c r="AI154">
        <v>0</v>
      </c>
      <c r="AJ154">
        <v>3</v>
      </c>
      <c r="AK154">
        <v>5</v>
      </c>
      <c r="AL154" t="s">
        <v>460</v>
      </c>
      <c r="AM154" t="s">
        <v>461</v>
      </c>
      <c r="AN154" t="s">
        <v>462</v>
      </c>
      <c r="AO154" t="s">
        <v>3143</v>
      </c>
      <c r="AP154" t="s">
        <v>3144</v>
      </c>
      <c r="AQ154" t="s">
        <v>74</v>
      </c>
      <c r="AR154" t="s">
        <v>3145</v>
      </c>
      <c r="AS154" t="s">
        <v>3146</v>
      </c>
      <c r="AT154" t="s">
        <v>1810</v>
      </c>
      <c r="AU154">
        <v>2023</v>
      </c>
      <c r="AV154">
        <v>59</v>
      </c>
      <c r="AW154">
        <v>5</v>
      </c>
      <c r="AX154" t="s">
        <v>74</v>
      </c>
      <c r="AY154" t="s">
        <v>74</v>
      </c>
      <c r="AZ154" t="s">
        <v>74</v>
      </c>
      <c r="BA154" t="s">
        <v>74</v>
      </c>
      <c r="BB154">
        <v>1053</v>
      </c>
      <c r="BC154">
        <v>1063</v>
      </c>
      <c r="BD154" t="s">
        <v>74</v>
      </c>
      <c r="BE154" t="s">
        <v>3382</v>
      </c>
      <c r="BF154" t="str">
        <f>HYPERLINK("http://dx.doi.org/10.1111/jpy.13374","http://dx.doi.org/10.1111/jpy.13374")</f>
        <v>http://dx.doi.org/10.1111/jpy.13374</v>
      </c>
      <c r="BG154" t="s">
        <v>74</v>
      </c>
      <c r="BH154" t="s">
        <v>1812</v>
      </c>
      <c r="BI154">
        <v>11</v>
      </c>
      <c r="BJ154" t="s">
        <v>3148</v>
      </c>
      <c r="BK154" t="s">
        <v>104</v>
      </c>
      <c r="BL154" t="s">
        <v>3148</v>
      </c>
      <c r="BM154" t="s">
        <v>3149</v>
      </c>
      <c r="BN154">
        <v>37589181</v>
      </c>
      <c r="BO154" t="s">
        <v>1217</v>
      </c>
      <c r="BP154" t="s">
        <v>74</v>
      </c>
      <c r="BQ154" t="s">
        <v>74</v>
      </c>
      <c r="BR154" t="s">
        <v>107</v>
      </c>
      <c r="BS154" t="s">
        <v>3383</v>
      </c>
      <c r="BT154" t="str">
        <f>HYPERLINK("https%3A%2F%2Fwww.webofscience.com%2Fwos%2Fwoscc%2Ffull-record%2FWOS:001049968700001","View Full Record in Web of Science")</f>
        <v>View Full Record in Web of Science</v>
      </c>
    </row>
    <row r="155" spans="1:72" x14ac:dyDescent="0.15">
      <c r="A155" t="s">
        <v>72</v>
      </c>
      <c r="B155" t="s">
        <v>3384</v>
      </c>
      <c r="C155" t="s">
        <v>74</v>
      </c>
      <c r="D155" t="s">
        <v>74</v>
      </c>
      <c r="E155" t="s">
        <v>74</v>
      </c>
      <c r="F155" t="s">
        <v>3385</v>
      </c>
      <c r="G155" t="s">
        <v>74</v>
      </c>
      <c r="H155" t="s">
        <v>74</v>
      </c>
      <c r="I155" t="s">
        <v>3386</v>
      </c>
      <c r="J155" t="s">
        <v>3387</v>
      </c>
      <c r="K155" t="s">
        <v>74</v>
      </c>
      <c r="L155" t="s">
        <v>74</v>
      </c>
      <c r="M155" t="s">
        <v>78</v>
      </c>
      <c r="N155" t="s">
        <v>79</v>
      </c>
      <c r="O155" t="s">
        <v>74</v>
      </c>
      <c r="P155" t="s">
        <v>74</v>
      </c>
      <c r="Q155" t="s">
        <v>74</v>
      </c>
      <c r="R155" t="s">
        <v>74</v>
      </c>
      <c r="S155" t="s">
        <v>74</v>
      </c>
      <c r="T155" t="s">
        <v>3388</v>
      </c>
      <c r="U155" t="s">
        <v>3389</v>
      </c>
      <c r="V155" t="s">
        <v>3390</v>
      </c>
      <c r="W155" t="s">
        <v>3391</v>
      </c>
      <c r="X155" t="s">
        <v>3392</v>
      </c>
      <c r="Y155" t="s">
        <v>3393</v>
      </c>
      <c r="Z155" t="s">
        <v>3394</v>
      </c>
      <c r="AA155" t="s">
        <v>74</v>
      </c>
      <c r="AB155" t="s">
        <v>3395</v>
      </c>
      <c r="AC155" t="s">
        <v>74</v>
      </c>
      <c r="AD155" t="s">
        <v>74</v>
      </c>
      <c r="AE155" t="s">
        <v>74</v>
      </c>
      <c r="AF155" t="s">
        <v>74</v>
      </c>
      <c r="AG155">
        <v>33</v>
      </c>
      <c r="AH155">
        <v>0</v>
      </c>
      <c r="AI155">
        <v>0</v>
      </c>
      <c r="AJ155">
        <v>3</v>
      </c>
      <c r="AK155">
        <v>9</v>
      </c>
      <c r="AL155" t="s">
        <v>460</v>
      </c>
      <c r="AM155" t="s">
        <v>461</v>
      </c>
      <c r="AN155" t="s">
        <v>462</v>
      </c>
      <c r="AO155" t="s">
        <v>3396</v>
      </c>
      <c r="AP155" t="s">
        <v>3397</v>
      </c>
      <c r="AQ155" t="s">
        <v>74</v>
      </c>
      <c r="AR155" t="s">
        <v>3398</v>
      </c>
      <c r="AS155" t="s">
        <v>3399</v>
      </c>
      <c r="AT155" t="s">
        <v>3082</v>
      </c>
      <c r="AU155">
        <v>2023</v>
      </c>
      <c r="AV155">
        <v>33</v>
      </c>
      <c r="AW155">
        <v>11</v>
      </c>
      <c r="AX155" t="s">
        <v>74</v>
      </c>
      <c r="AY155" t="s">
        <v>74</v>
      </c>
      <c r="AZ155" t="s">
        <v>74</v>
      </c>
      <c r="BA155" t="s">
        <v>74</v>
      </c>
      <c r="BB155">
        <v>1218</v>
      </c>
      <c r="BC155">
        <v>1228</v>
      </c>
      <c r="BD155" t="s">
        <v>74</v>
      </c>
      <c r="BE155" t="s">
        <v>3400</v>
      </c>
      <c r="BF155" t="str">
        <f>HYPERLINK("http://dx.doi.org/10.1002/aqc.4006","http://dx.doi.org/10.1002/aqc.4006")</f>
        <v>http://dx.doi.org/10.1002/aqc.4006</v>
      </c>
      <c r="BG155" t="s">
        <v>74</v>
      </c>
      <c r="BH155" t="s">
        <v>1812</v>
      </c>
      <c r="BI155">
        <v>11</v>
      </c>
      <c r="BJ155" t="s">
        <v>3401</v>
      </c>
      <c r="BK155" t="s">
        <v>104</v>
      </c>
      <c r="BL155" t="s">
        <v>3402</v>
      </c>
      <c r="BM155" t="s">
        <v>3403</v>
      </c>
      <c r="BN155" t="s">
        <v>74</v>
      </c>
      <c r="BO155" t="s">
        <v>549</v>
      </c>
      <c r="BP155" t="s">
        <v>74</v>
      </c>
      <c r="BQ155" t="s">
        <v>74</v>
      </c>
      <c r="BR155" t="s">
        <v>107</v>
      </c>
      <c r="BS155" t="s">
        <v>3404</v>
      </c>
      <c r="BT155" t="str">
        <f>HYPERLINK("https%3A%2F%2Fwww.webofscience.com%2Fwos%2Fwoscc%2Ffull-record%2FWOS:001049706400001","View Full Record in Web of Science")</f>
        <v>View Full Record in Web of Science</v>
      </c>
    </row>
    <row r="156" spans="1:72" x14ac:dyDescent="0.15">
      <c r="A156" t="s">
        <v>72</v>
      </c>
      <c r="B156" t="s">
        <v>3405</v>
      </c>
      <c r="C156" t="s">
        <v>74</v>
      </c>
      <c r="D156" t="s">
        <v>74</v>
      </c>
      <c r="E156" t="s">
        <v>74</v>
      </c>
      <c r="F156" t="s">
        <v>3406</v>
      </c>
      <c r="G156" t="s">
        <v>74</v>
      </c>
      <c r="H156" t="s">
        <v>74</v>
      </c>
      <c r="I156" t="s">
        <v>3407</v>
      </c>
      <c r="J156" t="s">
        <v>2413</v>
      </c>
      <c r="K156" t="s">
        <v>74</v>
      </c>
      <c r="L156" t="s">
        <v>74</v>
      </c>
      <c r="M156" t="s">
        <v>78</v>
      </c>
      <c r="N156" t="s">
        <v>79</v>
      </c>
      <c r="O156" t="s">
        <v>74</v>
      </c>
      <c r="P156" t="s">
        <v>74</v>
      </c>
      <c r="Q156" t="s">
        <v>74</v>
      </c>
      <c r="R156" t="s">
        <v>74</v>
      </c>
      <c r="S156" t="s">
        <v>74</v>
      </c>
      <c r="T156" t="s">
        <v>74</v>
      </c>
      <c r="U156" t="s">
        <v>3408</v>
      </c>
      <c r="V156" t="s">
        <v>3409</v>
      </c>
      <c r="W156" t="s">
        <v>3410</v>
      </c>
      <c r="X156" t="s">
        <v>3411</v>
      </c>
      <c r="Y156" t="s">
        <v>3412</v>
      </c>
      <c r="Z156" t="s">
        <v>3413</v>
      </c>
      <c r="AA156" t="s">
        <v>3414</v>
      </c>
      <c r="AB156" t="s">
        <v>3415</v>
      </c>
      <c r="AC156" t="s">
        <v>3416</v>
      </c>
      <c r="AD156" t="s">
        <v>3417</v>
      </c>
      <c r="AE156" t="s">
        <v>3418</v>
      </c>
      <c r="AF156" t="s">
        <v>74</v>
      </c>
      <c r="AG156">
        <v>75</v>
      </c>
      <c r="AH156">
        <v>0</v>
      </c>
      <c r="AI156">
        <v>0</v>
      </c>
      <c r="AJ156">
        <v>1</v>
      </c>
      <c r="AK156">
        <v>1</v>
      </c>
      <c r="AL156" t="s">
        <v>588</v>
      </c>
      <c r="AM156" t="s">
        <v>589</v>
      </c>
      <c r="AN156" t="s">
        <v>590</v>
      </c>
      <c r="AO156" t="s">
        <v>2426</v>
      </c>
      <c r="AP156" t="s">
        <v>2427</v>
      </c>
      <c r="AQ156" t="s">
        <v>74</v>
      </c>
      <c r="AR156" t="s">
        <v>2428</v>
      </c>
      <c r="AS156" t="s">
        <v>2429</v>
      </c>
      <c r="AT156" t="s">
        <v>3419</v>
      </c>
      <c r="AU156">
        <v>2023</v>
      </c>
      <c r="AV156">
        <v>128</v>
      </c>
      <c r="AW156">
        <v>15</v>
      </c>
      <c r="AX156" t="s">
        <v>74</v>
      </c>
      <c r="AY156" t="s">
        <v>74</v>
      </c>
      <c r="AZ156" t="s">
        <v>74</v>
      </c>
      <c r="BA156" t="s">
        <v>74</v>
      </c>
      <c r="BB156" t="s">
        <v>74</v>
      </c>
      <c r="BC156" t="s">
        <v>74</v>
      </c>
      <c r="BD156" t="s">
        <v>3420</v>
      </c>
      <c r="BE156" t="s">
        <v>3421</v>
      </c>
      <c r="BF156" t="str">
        <f>HYPERLINK("http://dx.doi.org/10.1029/2022JD038364","http://dx.doi.org/10.1029/2022JD038364")</f>
        <v>http://dx.doi.org/10.1029/2022JD038364</v>
      </c>
      <c r="BG156" t="s">
        <v>74</v>
      </c>
      <c r="BH156" t="s">
        <v>74</v>
      </c>
      <c r="BI156">
        <v>19</v>
      </c>
      <c r="BJ156" t="s">
        <v>103</v>
      </c>
      <c r="BK156" t="s">
        <v>104</v>
      </c>
      <c r="BL156" t="s">
        <v>103</v>
      </c>
      <c r="BM156" t="s">
        <v>3422</v>
      </c>
      <c r="BN156" t="s">
        <v>74</v>
      </c>
      <c r="BO156" t="s">
        <v>133</v>
      </c>
      <c r="BP156" t="s">
        <v>74</v>
      </c>
      <c r="BQ156" t="s">
        <v>74</v>
      </c>
      <c r="BR156" t="s">
        <v>107</v>
      </c>
      <c r="BS156" t="s">
        <v>3423</v>
      </c>
      <c r="BT156" t="str">
        <f>HYPERLINK("https%3A%2F%2Fwww.webofscience.com%2Fwos%2Fwoscc%2Ffull-record%2FWOS:001040741800001","View Full Record in Web of Science")</f>
        <v>View Full Record in Web of Science</v>
      </c>
    </row>
    <row r="157" spans="1:72" x14ac:dyDescent="0.15">
      <c r="A157" t="s">
        <v>72</v>
      </c>
      <c r="B157" t="s">
        <v>3424</v>
      </c>
      <c r="C157" t="s">
        <v>74</v>
      </c>
      <c r="D157" t="s">
        <v>74</v>
      </c>
      <c r="E157" t="s">
        <v>74</v>
      </c>
      <c r="F157" t="s">
        <v>3425</v>
      </c>
      <c r="G157" t="s">
        <v>74</v>
      </c>
      <c r="H157" t="s">
        <v>74</v>
      </c>
      <c r="I157" t="s">
        <v>3426</v>
      </c>
      <c r="J157" t="s">
        <v>2031</v>
      </c>
      <c r="K157" t="s">
        <v>74</v>
      </c>
      <c r="L157" t="s">
        <v>74</v>
      </c>
      <c r="M157" t="s">
        <v>78</v>
      </c>
      <c r="N157" t="s">
        <v>79</v>
      </c>
      <c r="O157" t="s">
        <v>74</v>
      </c>
      <c r="P157" t="s">
        <v>74</v>
      </c>
      <c r="Q157" t="s">
        <v>74</v>
      </c>
      <c r="R157" t="s">
        <v>74</v>
      </c>
      <c r="S157" t="s">
        <v>74</v>
      </c>
      <c r="T157" t="s">
        <v>3427</v>
      </c>
      <c r="U157" t="s">
        <v>3428</v>
      </c>
      <c r="V157" t="s">
        <v>3429</v>
      </c>
      <c r="W157" t="s">
        <v>3430</v>
      </c>
      <c r="X157" t="s">
        <v>3431</v>
      </c>
      <c r="Y157" t="s">
        <v>3432</v>
      </c>
      <c r="Z157" t="s">
        <v>3433</v>
      </c>
      <c r="AA157" t="s">
        <v>74</v>
      </c>
      <c r="AB157" t="s">
        <v>74</v>
      </c>
      <c r="AC157" t="s">
        <v>3434</v>
      </c>
      <c r="AD157" t="s">
        <v>3435</v>
      </c>
      <c r="AE157" t="s">
        <v>3436</v>
      </c>
      <c r="AF157" t="s">
        <v>74</v>
      </c>
      <c r="AG157">
        <v>69</v>
      </c>
      <c r="AH157">
        <v>1</v>
      </c>
      <c r="AI157">
        <v>1</v>
      </c>
      <c r="AJ157">
        <v>20</v>
      </c>
      <c r="AK157">
        <v>30</v>
      </c>
      <c r="AL157" t="s">
        <v>172</v>
      </c>
      <c r="AM157" t="s">
        <v>173</v>
      </c>
      <c r="AN157" t="s">
        <v>174</v>
      </c>
      <c r="AO157" t="s">
        <v>2044</v>
      </c>
      <c r="AP157" t="s">
        <v>2045</v>
      </c>
      <c r="AQ157" t="s">
        <v>74</v>
      </c>
      <c r="AR157" t="s">
        <v>2046</v>
      </c>
      <c r="AS157" t="s">
        <v>2047</v>
      </c>
      <c r="AT157" t="s">
        <v>3437</v>
      </c>
      <c r="AU157">
        <v>2023</v>
      </c>
      <c r="AV157">
        <v>903</v>
      </c>
      <c r="AW157" t="s">
        <v>74</v>
      </c>
      <c r="AX157" t="s">
        <v>74</v>
      </c>
      <c r="AY157" t="s">
        <v>74</v>
      </c>
      <c r="AZ157" t="s">
        <v>74</v>
      </c>
      <c r="BA157" t="s">
        <v>74</v>
      </c>
      <c r="BB157" t="s">
        <v>74</v>
      </c>
      <c r="BC157" t="s">
        <v>74</v>
      </c>
      <c r="BD157">
        <v>166186</v>
      </c>
      <c r="BE157" t="s">
        <v>3438</v>
      </c>
      <c r="BF157" t="str">
        <f>HYPERLINK("http://dx.doi.org/10.1016/j.scitotenv.2023.166186","http://dx.doi.org/10.1016/j.scitotenv.2023.166186")</f>
        <v>http://dx.doi.org/10.1016/j.scitotenv.2023.166186</v>
      </c>
      <c r="BG157" t="s">
        <v>74</v>
      </c>
      <c r="BH157" t="s">
        <v>1812</v>
      </c>
      <c r="BI157">
        <v>7</v>
      </c>
      <c r="BJ157" t="s">
        <v>2050</v>
      </c>
      <c r="BK157" t="s">
        <v>104</v>
      </c>
      <c r="BL157" t="s">
        <v>1535</v>
      </c>
      <c r="BM157" t="s">
        <v>3439</v>
      </c>
      <c r="BN157">
        <v>37582441</v>
      </c>
      <c r="BO157" t="s">
        <v>74</v>
      </c>
      <c r="BP157" t="s">
        <v>74</v>
      </c>
      <c r="BQ157" t="s">
        <v>74</v>
      </c>
      <c r="BR157" t="s">
        <v>107</v>
      </c>
      <c r="BS157" t="s">
        <v>3440</v>
      </c>
      <c r="BT157" t="str">
        <f>HYPERLINK("https%3A%2F%2Fwww.webofscience.com%2Fwos%2Fwoscc%2Ffull-record%2FWOS:001062649400001","View Full Record in Web of Science")</f>
        <v>View Full Record in Web of Science</v>
      </c>
    </row>
    <row r="158" spans="1:72" x14ac:dyDescent="0.15">
      <c r="A158" t="s">
        <v>72</v>
      </c>
      <c r="B158" t="s">
        <v>3441</v>
      </c>
      <c r="C158" t="s">
        <v>74</v>
      </c>
      <c r="D158" t="s">
        <v>74</v>
      </c>
      <c r="E158" t="s">
        <v>74</v>
      </c>
      <c r="F158" t="s">
        <v>3442</v>
      </c>
      <c r="G158" t="s">
        <v>74</v>
      </c>
      <c r="H158" t="s">
        <v>74</v>
      </c>
      <c r="I158" t="s">
        <v>3443</v>
      </c>
      <c r="J158" t="s">
        <v>3444</v>
      </c>
      <c r="K158" t="s">
        <v>74</v>
      </c>
      <c r="L158" t="s">
        <v>74</v>
      </c>
      <c r="M158" t="s">
        <v>78</v>
      </c>
      <c r="N158" t="s">
        <v>79</v>
      </c>
      <c r="O158" t="s">
        <v>74</v>
      </c>
      <c r="P158" t="s">
        <v>74</v>
      </c>
      <c r="Q158" t="s">
        <v>74</v>
      </c>
      <c r="R158" t="s">
        <v>74</v>
      </c>
      <c r="S158" t="s">
        <v>74</v>
      </c>
      <c r="T158" t="s">
        <v>3445</v>
      </c>
      <c r="U158" t="s">
        <v>3446</v>
      </c>
      <c r="V158" t="s">
        <v>3447</v>
      </c>
      <c r="W158" t="s">
        <v>3448</v>
      </c>
      <c r="X158" t="s">
        <v>3449</v>
      </c>
      <c r="Y158" t="s">
        <v>3450</v>
      </c>
      <c r="Z158" t="s">
        <v>3451</v>
      </c>
      <c r="AA158" t="s">
        <v>3452</v>
      </c>
      <c r="AB158" t="s">
        <v>3453</v>
      </c>
      <c r="AC158" t="s">
        <v>74</v>
      </c>
      <c r="AD158" t="s">
        <v>74</v>
      </c>
      <c r="AE158" t="s">
        <v>74</v>
      </c>
      <c r="AF158" t="s">
        <v>74</v>
      </c>
      <c r="AG158">
        <v>49</v>
      </c>
      <c r="AH158">
        <v>0</v>
      </c>
      <c r="AI158">
        <v>0</v>
      </c>
      <c r="AJ158">
        <v>3</v>
      </c>
      <c r="AK158">
        <v>6</v>
      </c>
      <c r="AL158" t="s">
        <v>3454</v>
      </c>
      <c r="AM158" t="s">
        <v>1528</v>
      </c>
      <c r="AN158" t="s">
        <v>3455</v>
      </c>
      <c r="AO158" t="s">
        <v>3456</v>
      </c>
      <c r="AP158" t="s">
        <v>74</v>
      </c>
      <c r="AQ158" t="s">
        <v>74</v>
      </c>
      <c r="AR158" t="s">
        <v>3457</v>
      </c>
      <c r="AS158" t="s">
        <v>3458</v>
      </c>
      <c r="AT158" t="s">
        <v>3419</v>
      </c>
      <c r="AU158">
        <v>2023</v>
      </c>
      <c r="AV158">
        <v>10</v>
      </c>
      <c r="AW158">
        <v>8</v>
      </c>
      <c r="AX158" t="s">
        <v>74</v>
      </c>
      <c r="AY158" t="s">
        <v>74</v>
      </c>
      <c r="AZ158" t="s">
        <v>74</v>
      </c>
      <c r="BA158" t="s">
        <v>74</v>
      </c>
      <c r="BB158" t="s">
        <v>74</v>
      </c>
      <c r="BC158" t="s">
        <v>74</v>
      </c>
      <c r="BD158">
        <v>230751</v>
      </c>
      <c r="BE158" t="s">
        <v>3459</v>
      </c>
      <c r="BF158" t="str">
        <f>HYPERLINK("http://dx.doi.org/10.1098/rsos.230751","http://dx.doi.org/10.1098/rsos.230751")</f>
        <v>http://dx.doi.org/10.1098/rsos.230751</v>
      </c>
      <c r="BG158" t="s">
        <v>74</v>
      </c>
      <c r="BH158" t="s">
        <v>74</v>
      </c>
      <c r="BI158">
        <v>13</v>
      </c>
      <c r="BJ158" t="s">
        <v>1881</v>
      </c>
      <c r="BK158" t="s">
        <v>104</v>
      </c>
      <c r="BL158" t="s">
        <v>1882</v>
      </c>
      <c r="BM158" t="s">
        <v>3460</v>
      </c>
      <c r="BN158">
        <v>37593712</v>
      </c>
      <c r="BO158" t="s">
        <v>181</v>
      </c>
      <c r="BP158" t="s">
        <v>74</v>
      </c>
      <c r="BQ158" t="s">
        <v>74</v>
      </c>
      <c r="BR158" t="s">
        <v>107</v>
      </c>
      <c r="BS158" t="s">
        <v>3461</v>
      </c>
      <c r="BT158" t="str">
        <f>HYPERLINK("https%3A%2F%2Fwww.webofscience.com%2Fwos%2Fwoscc%2Ffull-record%2FWOS:001049114700011","View Full Record in Web of Science")</f>
        <v>View Full Record in Web of Science</v>
      </c>
    </row>
    <row r="159" spans="1:72" x14ac:dyDescent="0.15">
      <c r="A159" t="s">
        <v>72</v>
      </c>
      <c r="B159" t="s">
        <v>3462</v>
      </c>
      <c r="C159" t="s">
        <v>74</v>
      </c>
      <c r="D159" t="s">
        <v>74</v>
      </c>
      <c r="E159" t="s">
        <v>74</v>
      </c>
      <c r="F159" t="s">
        <v>3463</v>
      </c>
      <c r="G159" t="s">
        <v>74</v>
      </c>
      <c r="H159" t="s">
        <v>74</v>
      </c>
      <c r="I159" t="s">
        <v>3464</v>
      </c>
      <c r="J159" t="s">
        <v>1330</v>
      </c>
      <c r="K159" t="s">
        <v>74</v>
      </c>
      <c r="L159" t="s">
        <v>74</v>
      </c>
      <c r="M159" t="s">
        <v>78</v>
      </c>
      <c r="N159" t="s">
        <v>79</v>
      </c>
      <c r="O159" t="s">
        <v>74</v>
      </c>
      <c r="P159" t="s">
        <v>74</v>
      </c>
      <c r="Q159" t="s">
        <v>74</v>
      </c>
      <c r="R159" t="s">
        <v>74</v>
      </c>
      <c r="S159" t="s">
        <v>74</v>
      </c>
      <c r="T159" t="s">
        <v>3465</v>
      </c>
      <c r="U159" t="s">
        <v>3466</v>
      </c>
      <c r="V159" t="s">
        <v>3467</v>
      </c>
      <c r="W159" t="s">
        <v>3468</v>
      </c>
      <c r="X159" t="s">
        <v>3469</v>
      </c>
      <c r="Y159" t="s">
        <v>3470</v>
      </c>
      <c r="Z159" t="s">
        <v>3471</v>
      </c>
      <c r="AA159" t="s">
        <v>3472</v>
      </c>
      <c r="AB159" t="s">
        <v>3473</v>
      </c>
      <c r="AC159" t="s">
        <v>3474</v>
      </c>
      <c r="AD159" t="s">
        <v>3475</v>
      </c>
      <c r="AE159" t="s">
        <v>3476</v>
      </c>
      <c r="AF159" t="s">
        <v>74</v>
      </c>
      <c r="AG159">
        <v>87</v>
      </c>
      <c r="AH159">
        <v>2</v>
      </c>
      <c r="AI159">
        <v>2</v>
      </c>
      <c r="AJ159">
        <v>18</v>
      </c>
      <c r="AK159">
        <v>31</v>
      </c>
      <c r="AL159" t="s">
        <v>1343</v>
      </c>
      <c r="AM159" t="s">
        <v>589</v>
      </c>
      <c r="AN159" t="s">
        <v>1344</v>
      </c>
      <c r="AO159" t="s">
        <v>1345</v>
      </c>
      <c r="AP159" t="s">
        <v>1346</v>
      </c>
      <c r="AQ159" t="s">
        <v>74</v>
      </c>
      <c r="AR159" t="s">
        <v>1347</v>
      </c>
      <c r="AS159" t="s">
        <v>1348</v>
      </c>
      <c r="AT159" t="s">
        <v>3419</v>
      </c>
      <c r="AU159">
        <v>2023</v>
      </c>
      <c r="AV159">
        <v>57</v>
      </c>
      <c r="AW159">
        <v>39</v>
      </c>
      <c r="AX159" t="s">
        <v>74</v>
      </c>
      <c r="AY159" t="s">
        <v>74</v>
      </c>
      <c r="AZ159" t="s">
        <v>74</v>
      </c>
      <c r="BA159" t="s">
        <v>74</v>
      </c>
      <c r="BB159">
        <v>14589</v>
      </c>
      <c r="BC159">
        <v>14601</v>
      </c>
      <c r="BD159" t="s">
        <v>74</v>
      </c>
      <c r="BE159" t="s">
        <v>3477</v>
      </c>
      <c r="BF159" t="str">
        <f>HYPERLINK("http://dx.doi.org/10.1021/acs.est.3c05080","http://dx.doi.org/10.1021/acs.est.3c05080")</f>
        <v>http://dx.doi.org/10.1021/acs.est.3c05080</v>
      </c>
      <c r="BG159" t="s">
        <v>74</v>
      </c>
      <c r="BH159" t="s">
        <v>1812</v>
      </c>
      <c r="BI159">
        <v>13</v>
      </c>
      <c r="BJ159" t="s">
        <v>1350</v>
      </c>
      <c r="BK159" t="s">
        <v>104</v>
      </c>
      <c r="BL159" t="s">
        <v>1351</v>
      </c>
      <c r="BM159" t="s">
        <v>3478</v>
      </c>
      <c r="BN159">
        <v>37585923</v>
      </c>
      <c r="BO159" t="s">
        <v>74</v>
      </c>
      <c r="BP159" t="s">
        <v>74</v>
      </c>
      <c r="BQ159" t="s">
        <v>74</v>
      </c>
      <c r="BR159" t="s">
        <v>107</v>
      </c>
      <c r="BS159" t="s">
        <v>3479</v>
      </c>
      <c r="BT159" t="str">
        <f>HYPERLINK("https%3A%2F%2Fwww.webofscience.com%2Fwos%2Fwoscc%2Ffull-record%2FWOS:001049443700001","View Full Record in Web of Science")</f>
        <v>View Full Record in Web of Science</v>
      </c>
    </row>
    <row r="160" spans="1:72" x14ac:dyDescent="0.15">
      <c r="A160" t="s">
        <v>72</v>
      </c>
      <c r="B160" t="s">
        <v>3480</v>
      </c>
      <c r="C160" t="s">
        <v>74</v>
      </c>
      <c r="D160" t="s">
        <v>74</v>
      </c>
      <c r="E160" t="s">
        <v>74</v>
      </c>
      <c r="F160" t="s">
        <v>3481</v>
      </c>
      <c r="G160" t="s">
        <v>74</v>
      </c>
      <c r="H160" t="s">
        <v>74</v>
      </c>
      <c r="I160" t="s">
        <v>3482</v>
      </c>
      <c r="J160" t="s">
        <v>2213</v>
      </c>
      <c r="K160" t="s">
        <v>74</v>
      </c>
      <c r="L160" t="s">
        <v>74</v>
      </c>
      <c r="M160" t="s">
        <v>78</v>
      </c>
      <c r="N160" t="s">
        <v>79</v>
      </c>
      <c r="O160" t="s">
        <v>74</v>
      </c>
      <c r="P160" t="s">
        <v>74</v>
      </c>
      <c r="Q160" t="s">
        <v>74</v>
      </c>
      <c r="R160" t="s">
        <v>74</v>
      </c>
      <c r="S160" t="s">
        <v>74</v>
      </c>
      <c r="T160" t="s">
        <v>3483</v>
      </c>
      <c r="U160" t="s">
        <v>3484</v>
      </c>
      <c r="V160" t="s">
        <v>3485</v>
      </c>
      <c r="W160" t="s">
        <v>3486</v>
      </c>
      <c r="X160" t="s">
        <v>3487</v>
      </c>
      <c r="Y160" t="s">
        <v>3488</v>
      </c>
      <c r="Z160" t="s">
        <v>3489</v>
      </c>
      <c r="AA160" t="s">
        <v>3490</v>
      </c>
      <c r="AB160" t="s">
        <v>3491</v>
      </c>
      <c r="AC160" t="s">
        <v>3492</v>
      </c>
      <c r="AD160" t="s">
        <v>367</v>
      </c>
      <c r="AE160" t="s">
        <v>3493</v>
      </c>
      <c r="AF160" t="s">
        <v>74</v>
      </c>
      <c r="AG160">
        <v>41</v>
      </c>
      <c r="AH160">
        <v>0</v>
      </c>
      <c r="AI160">
        <v>0</v>
      </c>
      <c r="AJ160">
        <v>10</v>
      </c>
      <c r="AK160">
        <v>13</v>
      </c>
      <c r="AL160" t="s">
        <v>588</v>
      </c>
      <c r="AM160" t="s">
        <v>589</v>
      </c>
      <c r="AN160" t="s">
        <v>590</v>
      </c>
      <c r="AO160" t="s">
        <v>2226</v>
      </c>
      <c r="AP160" t="s">
        <v>2227</v>
      </c>
      <c r="AQ160" t="s">
        <v>74</v>
      </c>
      <c r="AR160" t="s">
        <v>2228</v>
      </c>
      <c r="AS160" t="s">
        <v>2229</v>
      </c>
      <c r="AT160" t="s">
        <v>3419</v>
      </c>
      <c r="AU160">
        <v>2023</v>
      </c>
      <c r="AV160">
        <v>50</v>
      </c>
      <c r="AW160">
        <v>15</v>
      </c>
      <c r="AX160" t="s">
        <v>74</v>
      </c>
      <c r="AY160" t="s">
        <v>74</v>
      </c>
      <c r="AZ160" t="s">
        <v>74</v>
      </c>
      <c r="BA160" t="s">
        <v>74</v>
      </c>
      <c r="BB160" t="s">
        <v>74</v>
      </c>
      <c r="BC160" t="s">
        <v>74</v>
      </c>
      <c r="BD160" t="s">
        <v>3494</v>
      </c>
      <c r="BE160" t="s">
        <v>3495</v>
      </c>
      <c r="BF160" t="str">
        <f>HYPERLINK("http://dx.doi.org/10.1029/2022GL102174","http://dx.doi.org/10.1029/2022GL102174")</f>
        <v>http://dx.doi.org/10.1029/2022GL102174</v>
      </c>
      <c r="BG160" t="s">
        <v>74</v>
      </c>
      <c r="BH160" t="s">
        <v>74</v>
      </c>
      <c r="BI160">
        <v>10</v>
      </c>
      <c r="BJ160" t="s">
        <v>155</v>
      </c>
      <c r="BK160" t="s">
        <v>104</v>
      </c>
      <c r="BL160" t="s">
        <v>156</v>
      </c>
      <c r="BM160" t="s">
        <v>3496</v>
      </c>
      <c r="BN160" t="s">
        <v>74</v>
      </c>
      <c r="BO160" t="s">
        <v>549</v>
      </c>
      <c r="BP160" t="s">
        <v>74</v>
      </c>
      <c r="BQ160" t="s">
        <v>74</v>
      </c>
      <c r="BR160" t="s">
        <v>107</v>
      </c>
      <c r="BS160" t="s">
        <v>3497</v>
      </c>
      <c r="BT160" t="str">
        <f>HYPERLINK("https%3A%2F%2Fwww.webofscience.com%2Fwos%2Fwoscc%2Ffull-record%2FWOS:001042444700001","View Full Record in Web of Science")</f>
        <v>View Full Record in Web of Science</v>
      </c>
    </row>
    <row r="161" spans="1:72" x14ac:dyDescent="0.15">
      <c r="A161" t="s">
        <v>72</v>
      </c>
      <c r="B161" t="s">
        <v>3498</v>
      </c>
      <c r="C161" t="s">
        <v>74</v>
      </c>
      <c r="D161" t="s">
        <v>74</v>
      </c>
      <c r="E161" t="s">
        <v>74</v>
      </c>
      <c r="F161" t="s">
        <v>3499</v>
      </c>
      <c r="G161" t="s">
        <v>74</v>
      </c>
      <c r="H161" t="s">
        <v>74</v>
      </c>
      <c r="I161" t="s">
        <v>3500</v>
      </c>
      <c r="J161" t="s">
        <v>2213</v>
      </c>
      <c r="K161" t="s">
        <v>74</v>
      </c>
      <c r="L161" t="s">
        <v>74</v>
      </c>
      <c r="M161" t="s">
        <v>78</v>
      </c>
      <c r="N161" t="s">
        <v>79</v>
      </c>
      <c r="O161" t="s">
        <v>74</v>
      </c>
      <c r="P161" t="s">
        <v>74</v>
      </c>
      <c r="Q161" t="s">
        <v>74</v>
      </c>
      <c r="R161" t="s">
        <v>74</v>
      </c>
      <c r="S161" t="s">
        <v>74</v>
      </c>
      <c r="T161" t="s">
        <v>3501</v>
      </c>
      <c r="U161" t="s">
        <v>3502</v>
      </c>
      <c r="V161" t="s">
        <v>3503</v>
      </c>
      <c r="W161" t="s">
        <v>3504</v>
      </c>
      <c r="X161" t="s">
        <v>3505</v>
      </c>
      <c r="Y161" t="s">
        <v>3506</v>
      </c>
      <c r="Z161" t="s">
        <v>3507</v>
      </c>
      <c r="AA161" t="s">
        <v>3508</v>
      </c>
      <c r="AB161" t="s">
        <v>3509</v>
      </c>
      <c r="AC161" t="s">
        <v>3510</v>
      </c>
      <c r="AD161" t="s">
        <v>3511</v>
      </c>
      <c r="AE161" t="s">
        <v>3512</v>
      </c>
      <c r="AF161" t="s">
        <v>74</v>
      </c>
      <c r="AG161">
        <v>48</v>
      </c>
      <c r="AH161">
        <v>1</v>
      </c>
      <c r="AI161">
        <v>1</v>
      </c>
      <c r="AJ161">
        <v>2</v>
      </c>
      <c r="AK161">
        <v>3</v>
      </c>
      <c r="AL161" t="s">
        <v>588</v>
      </c>
      <c r="AM161" t="s">
        <v>589</v>
      </c>
      <c r="AN161" t="s">
        <v>590</v>
      </c>
      <c r="AO161" t="s">
        <v>2226</v>
      </c>
      <c r="AP161" t="s">
        <v>2227</v>
      </c>
      <c r="AQ161" t="s">
        <v>74</v>
      </c>
      <c r="AR161" t="s">
        <v>2228</v>
      </c>
      <c r="AS161" t="s">
        <v>2229</v>
      </c>
      <c r="AT161" t="s">
        <v>3419</v>
      </c>
      <c r="AU161">
        <v>2023</v>
      </c>
      <c r="AV161">
        <v>50</v>
      </c>
      <c r="AW161">
        <v>15</v>
      </c>
      <c r="AX161" t="s">
        <v>74</v>
      </c>
      <c r="AY161" t="s">
        <v>74</v>
      </c>
      <c r="AZ161" t="s">
        <v>74</v>
      </c>
      <c r="BA161" t="s">
        <v>74</v>
      </c>
      <c r="BB161" t="s">
        <v>74</v>
      </c>
      <c r="BC161" t="s">
        <v>74</v>
      </c>
      <c r="BD161" t="s">
        <v>3513</v>
      </c>
      <c r="BE161" t="s">
        <v>3514</v>
      </c>
      <c r="BF161" t="str">
        <f>HYPERLINK("http://dx.doi.org/10.1029/2023GL103673","http://dx.doi.org/10.1029/2023GL103673")</f>
        <v>http://dx.doi.org/10.1029/2023GL103673</v>
      </c>
      <c r="BG161" t="s">
        <v>74</v>
      </c>
      <c r="BH161" t="s">
        <v>74</v>
      </c>
      <c r="BI161">
        <v>10</v>
      </c>
      <c r="BJ161" t="s">
        <v>155</v>
      </c>
      <c r="BK161" t="s">
        <v>104</v>
      </c>
      <c r="BL161" t="s">
        <v>156</v>
      </c>
      <c r="BM161" t="s">
        <v>3515</v>
      </c>
      <c r="BN161" t="s">
        <v>74</v>
      </c>
      <c r="BO161" t="s">
        <v>1128</v>
      </c>
      <c r="BP161" t="s">
        <v>74</v>
      </c>
      <c r="BQ161" t="s">
        <v>74</v>
      </c>
      <c r="BR161" t="s">
        <v>107</v>
      </c>
      <c r="BS161" t="s">
        <v>3516</v>
      </c>
      <c r="BT161" t="str">
        <f>HYPERLINK("https%3A%2F%2Fwww.webofscience.com%2Fwos%2Fwoscc%2Ffull-record%2FWOS:001043560900001","View Full Record in Web of Science")</f>
        <v>View Full Record in Web of Science</v>
      </c>
    </row>
    <row r="162" spans="1:72" x14ac:dyDescent="0.15">
      <c r="A162" t="s">
        <v>72</v>
      </c>
      <c r="B162" t="s">
        <v>3517</v>
      </c>
      <c r="C162" t="s">
        <v>74</v>
      </c>
      <c r="D162" t="s">
        <v>74</v>
      </c>
      <c r="E162" t="s">
        <v>74</v>
      </c>
      <c r="F162" t="s">
        <v>3518</v>
      </c>
      <c r="G162" t="s">
        <v>74</v>
      </c>
      <c r="H162" t="s">
        <v>74</v>
      </c>
      <c r="I162" t="s">
        <v>3519</v>
      </c>
      <c r="J162" t="s">
        <v>3520</v>
      </c>
      <c r="K162" t="s">
        <v>74</v>
      </c>
      <c r="L162" t="s">
        <v>74</v>
      </c>
      <c r="M162" t="s">
        <v>78</v>
      </c>
      <c r="N162" t="s">
        <v>424</v>
      </c>
      <c r="O162" t="s">
        <v>74</v>
      </c>
      <c r="P162" t="s">
        <v>74</v>
      </c>
      <c r="Q162" t="s">
        <v>74</v>
      </c>
      <c r="R162" t="s">
        <v>74</v>
      </c>
      <c r="S162" t="s">
        <v>74</v>
      </c>
      <c r="T162" t="s">
        <v>3521</v>
      </c>
      <c r="U162" t="s">
        <v>3522</v>
      </c>
      <c r="V162" t="s">
        <v>3523</v>
      </c>
      <c r="W162" t="s">
        <v>3524</v>
      </c>
      <c r="X162" t="s">
        <v>3525</v>
      </c>
      <c r="Y162" t="s">
        <v>3526</v>
      </c>
      <c r="Z162" t="s">
        <v>3527</v>
      </c>
      <c r="AA162" t="s">
        <v>74</v>
      </c>
      <c r="AB162" t="s">
        <v>3528</v>
      </c>
      <c r="AC162" t="s">
        <v>3529</v>
      </c>
      <c r="AD162" t="s">
        <v>3530</v>
      </c>
      <c r="AE162" t="s">
        <v>3531</v>
      </c>
      <c r="AF162" t="s">
        <v>74</v>
      </c>
      <c r="AG162">
        <v>158</v>
      </c>
      <c r="AH162">
        <v>0</v>
      </c>
      <c r="AI162">
        <v>0</v>
      </c>
      <c r="AJ162">
        <v>13</v>
      </c>
      <c r="AK162">
        <v>13</v>
      </c>
      <c r="AL162" t="s">
        <v>172</v>
      </c>
      <c r="AM162" t="s">
        <v>173</v>
      </c>
      <c r="AN162" t="s">
        <v>174</v>
      </c>
      <c r="AO162" t="s">
        <v>3532</v>
      </c>
      <c r="AP162" t="s">
        <v>74</v>
      </c>
      <c r="AQ162" t="s">
        <v>74</v>
      </c>
      <c r="AR162" t="s">
        <v>3533</v>
      </c>
      <c r="AS162" t="s">
        <v>3534</v>
      </c>
      <c r="AT162" t="s">
        <v>1810</v>
      </c>
      <c r="AU162">
        <v>2023</v>
      </c>
      <c r="AV162">
        <v>63</v>
      </c>
      <c r="AW162" t="s">
        <v>74</v>
      </c>
      <c r="AX162" t="s">
        <v>74</v>
      </c>
      <c r="AY162" t="s">
        <v>74</v>
      </c>
      <c r="AZ162" t="s">
        <v>74</v>
      </c>
      <c r="BA162" t="s">
        <v>74</v>
      </c>
      <c r="BB162" t="s">
        <v>74</v>
      </c>
      <c r="BC162" t="s">
        <v>74</v>
      </c>
      <c r="BD162">
        <v>101542</v>
      </c>
      <c r="BE162" t="s">
        <v>3535</v>
      </c>
      <c r="BF162" t="str">
        <f>HYPERLINK("http://dx.doi.org/10.1016/j.ecoser.2023.101542","http://dx.doi.org/10.1016/j.ecoser.2023.101542")</f>
        <v>http://dx.doi.org/10.1016/j.ecoser.2023.101542</v>
      </c>
      <c r="BG162" t="s">
        <v>74</v>
      </c>
      <c r="BH162" t="s">
        <v>1812</v>
      </c>
      <c r="BI162">
        <v>15</v>
      </c>
      <c r="BJ162" t="s">
        <v>3536</v>
      </c>
      <c r="BK162" t="s">
        <v>881</v>
      </c>
      <c r="BL162" t="s">
        <v>1535</v>
      </c>
      <c r="BM162" t="s">
        <v>3537</v>
      </c>
      <c r="BN162" t="s">
        <v>74</v>
      </c>
      <c r="BO162" t="s">
        <v>549</v>
      </c>
      <c r="BP162" t="s">
        <v>74</v>
      </c>
      <c r="BQ162" t="s">
        <v>74</v>
      </c>
      <c r="BR162" t="s">
        <v>107</v>
      </c>
      <c r="BS162" t="s">
        <v>3538</v>
      </c>
      <c r="BT162" t="str">
        <f>HYPERLINK("https%3A%2F%2Fwww.webofscience.com%2Fwos%2Fwoscc%2Ffull-record%2FWOS:001144454400001","View Full Record in Web of Science")</f>
        <v>View Full Record in Web of Science</v>
      </c>
    </row>
    <row r="163" spans="1:72" x14ac:dyDescent="0.15">
      <c r="A163" t="s">
        <v>72</v>
      </c>
      <c r="B163" t="s">
        <v>3539</v>
      </c>
      <c r="C163" t="s">
        <v>74</v>
      </c>
      <c r="D163" t="s">
        <v>74</v>
      </c>
      <c r="E163" t="s">
        <v>74</v>
      </c>
      <c r="F163" t="s">
        <v>3540</v>
      </c>
      <c r="G163" t="s">
        <v>74</v>
      </c>
      <c r="H163" t="s">
        <v>74</v>
      </c>
      <c r="I163" t="s">
        <v>3541</v>
      </c>
      <c r="J163" t="s">
        <v>2193</v>
      </c>
      <c r="K163" t="s">
        <v>74</v>
      </c>
      <c r="L163" t="s">
        <v>74</v>
      </c>
      <c r="M163" t="s">
        <v>78</v>
      </c>
      <c r="N163" t="s">
        <v>79</v>
      </c>
      <c r="O163" t="s">
        <v>74</v>
      </c>
      <c r="P163" t="s">
        <v>74</v>
      </c>
      <c r="Q163" t="s">
        <v>74</v>
      </c>
      <c r="R163" t="s">
        <v>74</v>
      </c>
      <c r="S163" t="s">
        <v>74</v>
      </c>
      <c r="T163" t="s">
        <v>74</v>
      </c>
      <c r="U163" t="s">
        <v>3542</v>
      </c>
      <c r="V163" t="s">
        <v>3543</v>
      </c>
      <c r="W163" t="s">
        <v>3544</v>
      </c>
      <c r="X163" t="s">
        <v>3545</v>
      </c>
      <c r="Y163" t="s">
        <v>3546</v>
      </c>
      <c r="Z163" t="s">
        <v>3547</v>
      </c>
      <c r="AA163" t="s">
        <v>74</v>
      </c>
      <c r="AB163" t="s">
        <v>74</v>
      </c>
      <c r="AC163" t="s">
        <v>3548</v>
      </c>
      <c r="AD163" t="s">
        <v>3549</v>
      </c>
      <c r="AE163" t="s">
        <v>3550</v>
      </c>
      <c r="AF163" t="s">
        <v>74</v>
      </c>
      <c r="AG163">
        <v>38</v>
      </c>
      <c r="AH163">
        <v>0</v>
      </c>
      <c r="AI163">
        <v>0</v>
      </c>
      <c r="AJ163">
        <v>7</v>
      </c>
      <c r="AK163">
        <v>8</v>
      </c>
      <c r="AL163" t="s">
        <v>146</v>
      </c>
      <c r="AM163" t="s">
        <v>147</v>
      </c>
      <c r="AN163" t="s">
        <v>148</v>
      </c>
      <c r="AO163" t="s">
        <v>2204</v>
      </c>
      <c r="AP163" t="s">
        <v>74</v>
      </c>
      <c r="AQ163" t="s">
        <v>74</v>
      </c>
      <c r="AR163" t="s">
        <v>2205</v>
      </c>
      <c r="AS163" t="s">
        <v>2206</v>
      </c>
      <c r="AT163" t="s">
        <v>3551</v>
      </c>
      <c r="AU163">
        <v>2023</v>
      </c>
      <c r="AV163">
        <v>13</v>
      </c>
      <c r="AW163">
        <v>1</v>
      </c>
      <c r="AX163" t="s">
        <v>74</v>
      </c>
      <c r="AY163" t="s">
        <v>74</v>
      </c>
      <c r="AZ163" t="s">
        <v>74</v>
      </c>
      <c r="BA163" t="s">
        <v>74</v>
      </c>
      <c r="BB163" t="s">
        <v>74</v>
      </c>
      <c r="BC163" t="s">
        <v>74</v>
      </c>
      <c r="BD163" t="s">
        <v>74</v>
      </c>
      <c r="BE163" t="s">
        <v>3552</v>
      </c>
      <c r="BF163" t="str">
        <f>HYPERLINK("http://dx.doi.org/10.1038/s41598-023-40180-y","http://dx.doi.org/10.1038/s41598-023-40180-y")</f>
        <v>http://dx.doi.org/10.1038/s41598-023-40180-y</v>
      </c>
      <c r="BG163" t="s">
        <v>74</v>
      </c>
      <c r="BH163" t="s">
        <v>74</v>
      </c>
      <c r="BI163">
        <v>12</v>
      </c>
      <c r="BJ163" t="s">
        <v>1881</v>
      </c>
      <c r="BK163" t="s">
        <v>104</v>
      </c>
      <c r="BL163" t="s">
        <v>1882</v>
      </c>
      <c r="BM163" t="s">
        <v>3553</v>
      </c>
      <c r="BN163">
        <v>37582969</v>
      </c>
      <c r="BO163" t="s">
        <v>821</v>
      </c>
      <c r="BP163" t="s">
        <v>74</v>
      </c>
      <c r="BQ163" t="s">
        <v>74</v>
      </c>
      <c r="BR163" t="s">
        <v>107</v>
      </c>
      <c r="BS163" t="s">
        <v>3554</v>
      </c>
      <c r="BT163" t="str">
        <f>HYPERLINK("https%3A%2F%2Fwww.webofscience.com%2Fwos%2Fwoscc%2Ffull-record%2FWOS:001050087800029","View Full Record in Web of Science")</f>
        <v>View Full Record in Web of Science</v>
      </c>
    </row>
    <row r="164" spans="1:72" x14ac:dyDescent="0.15">
      <c r="A164" t="s">
        <v>72</v>
      </c>
      <c r="B164" t="s">
        <v>3555</v>
      </c>
      <c r="C164" t="s">
        <v>74</v>
      </c>
      <c r="D164" t="s">
        <v>74</v>
      </c>
      <c r="E164" t="s">
        <v>74</v>
      </c>
      <c r="F164" t="s">
        <v>3556</v>
      </c>
      <c r="G164" t="s">
        <v>74</v>
      </c>
      <c r="H164" t="s">
        <v>74</v>
      </c>
      <c r="I164" t="s">
        <v>3557</v>
      </c>
      <c r="J164" t="s">
        <v>2031</v>
      </c>
      <c r="K164" t="s">
        <v>74</v>
      </c>
      <c r="L164" t="s">
        <v>74</v>
      </c>
      <c r="M164" t="s">
        <v>78</v>
      </c>
      <c r="N164" t="s">
        <v>79</v>
      </c>
      <c r="O164" t="s">
        <v>74</v>
      </c>
      <c r="P164" t="s">
        <v>74</v>
      </c>
      <c r="Q164" t="s">
        <v>74</v>
      </c>
      <c r="R164" t="s">
        <v>74</v>
      </c>
      <c r="S164" t="s">
        <v>74</v>
      </c>
      <c r="T164" t="s">
        <v>3558</v>
      </c>
      <c r="U164" t="s">
        <v>3559</v>
      </c>
      <c r="V164" t="s">
        <v>3560</v>
      </c>
      <c r="W164" t="s">
        <v>3561</v>
      </c>
      <c r="X164" t="s">
        <v>3562</v>
      </c>
      <c r="Y164" t="s">
        <v>3563</v>
      </c>
      <c r="Z164" t="s">
        <v>3564</v>
      </c>
      <c r="AA164" t="s">
        <v>74</v>
      </c>
      <c r="AB164" t="s">
        <v>74</v>
      </c>
      <c r="AC164" t="s">
        <v>3565</v>
      </c>
      <c r="AD164" t="s">
        <v>3566</v>
      </c>
      <c r="AE164" t="s">
        <v>3567</v>
      </c>
      <c r="AF164" t="s">
        <v>74</v>
      </c>
      <c r="AG164">
        <v>63</v>
      </c>
      <c r="AH164">
        <v>0</v>
      </c>
      <c r="AI164">
        <v>0</v>
      </c>
      <c r="AJ164">
        <v>2</v>
      </c>
      <c r="AK164">
        <v>5</v>
      </c>
      <c r="AL164" t="s">
        <v>172</v>
      </c>
      <c r="AM164" t="s">
        <v>173</v>
      </c>
      <c r="AN164" t="s">
        <v>174</v>
      </c>
      <c r="AO164" t="s">
        <v>2044</v>
      </c>
      <c r="AP164" t="s">
        <v>2045</v>
      </c>
      <c r="AQ164" t="s">
        <v>74</v>
      </c>
      <c r="AR164" t="s">
        <v>2046</v>
      </c>
      <c r="AS164" t="s">
        <v>2047</v>
      </c>
      <c r="AT164" t="s">
        <v>3437</v>
      </c>
      <c r="AU164">
        <v>2023</v>
      </c>
      <c r="AV164">
        <v>903</v>
      </c>
      <c r="AW164" t="s">
        <v>74</v>
      </c>
      <c r="AX164" t="s">
        <v>74</v>
      </c>
      <c r="AY164" t="s">
        <v>74</v>
      </c>
      <c r="AZ164" t="s">
        <v>74</v>
      </c>
      <c r="BA164" t="s">
        <v>74</v>
      </c>
      <c r="BB164" t="s">
        <v>74</v>
      </c>
      <c r="BC164" t="s">
        <v>74</v>
      </c>
      <c r="BD164">
        <v>166157</v>
      </c>
      <c r="BE164" t="s">
        <v>3568</v>
      </c>
      <c r="BF164" t="str">
        <f>HYPERLINK("http://dx.doi.org/10.1016/j.scitotenv.2023.166157","http://dx.doi.org/10.1016/j.scitotenv.2023.166157")</f>
        <v>http://dx.doi.org/10.1016/j.scitotenv.2023.166157</v>
      </c>
      <c r="BG164" t="s">
        <v>74</v>
      </c>
      <c r="BH164" t="s">
        <v>1812</v>
      </c>
      <c r="BI164">
        <v>10</v>
      </c>
      <c r="BJ164" t="s">
        <v>2050</v>
      </c>
      <c r="BK164" t="s">
        <v>104</v>
      </c>
      <c r="BL164" t="s">
        <v>1535</v>
      </c>
      <c r="BM164" t="s">
        <v>3569</v>
      </c>
      <c r="BN164">
        <v>37572912</v>
      </c>
      <c r="BO164" t="s">
        <v>2894</v>
      </c>
      <c r="BP164" t="s">
        <v>74</v>
      </c>
      <c r="BQ164" t="s">
        <v>74</v>
      </c>
      <c r="BR164" t="s">
        <v>107</v>
      </c>
      <c r="BS164" t="s">
        <v>3570</v>
      </c>
      <c r="BT164" t="str">
        <f>HYPERLINK("https%3A%2F%2Fwww.webofscience.com%2Fwos%2Fwoscc%2Ffull-record%2FWOS:001063102700001","View Full Record in Web of Science")</f>
        <v>View Full Record in Web of Science</v>
      </c>
    </row>
    <row r="165" spans="1:72" x14ac:dyDescent="0.15">
      <c r="A165" t="s">
        <v>72</v>
      </c>
      <c r="B165" t="s">
        <v>3571</v>
      </c>
      <c r="C165" t="s">
        <v>74</v>
      </c>
      <c r="D165" t="s">
        <v>74</v>
      </c>
      <c r="E165" t="s">
        <v>74</v>
      </c>
      <c r="F165" t="s">
        <v>3572</v>
      </c>
      <c r="G165" t="s">
        <v>74</v>
      </c>
      <c r="H165" t="s">
        <v>74</v>
      </c>
      <c r="I165" t="s">
        <v>3573</v>
      </c>
      <c r="J165" t="s">
        <v>3574</v>
      </c>
      <c r="K165" t="s">
        <v>74</v>
      </c>
      <c r="L165" t="s">
        <v>74</v>
      </c>
      <c r="M165" t="s">
        <v>78</v>
      </c>
      <c r="N165" t="s">
        <v>79</v>
      </c>
      <c r="O165" t="s">
        <v>74</v>
      </c>
      <c r="P165" t="s">
        <v>74</v>
      </c>
      <c r="Q165" t="s">
        <v>74</v>
      </c>
      <c r="R165" t="s">
        <v>74</v>
      </c>
      <c r="S165" t="s">
        <v>74</v>
      </c>
      <c r="T165" t="s">
        <v>3575</v>
      </c>
      <c r="U165" t="s">
        <v>3576</v>
      </c>
      <c r="V165" t="s">
        <v>3577</v>
      </c>
      <c r="W165" t="s">
        <v>3578</v>
      </c>
      <c r="X165" t="s">
        <v>3579</v>
      </c>
      <c r="Y165" t="s">
        <v>3580</v>
      </c>
      <c r="Z165" t="s">
        <v>3581</v>
      </c>
      <c r="AA165" t="s">
        <v>74</v>
      </c>
      <c r="AB165" t="s">
        <v>74</v>
      </c>
      <c r="AC165" t="s">
        <v>3582</v>
      </c>
      <c r="AD165" t="s">
        <v>3583</v>
      </c>
      <c r="AE165" t="s">
        <v>3584</v>
      </c>
      <c r="AF165" t="s">
        <v>74</v>
      </c>
      <c r="AG165">
        <v>47</v>
      </c>
      <c r="AH165">
        <v>0</v>
      </c>
      <c r="AI165">
        <v>0</v>
      </c>
      <c r="AJ165">
        <v>6</v>
      </c>
      <c r="AK165">
        <v>7</v>
      </c>
      <c r="AL165" t="s">
        <v>2305</v>
      </c>
      <c r="AM165" t="s">
        <v>538</v>
      </c>
      <c r="AN165" t="s">
        <v>2306</v>
      </c>
      <c r="AO165" t="s">
        <v>3585</v>
      </c>
      <c r="AP165" t="s">
        <v>3586</v>
      </c>
      <c r="AQ165" t="s">
        <v>74</v>
      </c>
      <c r="AR165" t="s">
        <v>3587</v>
      </c>
      <c r="AS165" t="s">
        <v>3588</v>
      </c>
      <c r="AT165" t="s">
        <v>3082</v>
      </c>
      <c r="AU165">
        <v>2023</v>
      </c>
      <c r="AV165">
        <v>212</v>
      </c>
      <c r="AW165" t="s">
        <v>74</v>
      </c>
      <c r="AX165" t="s">
        <v>74</v>
      </c>
      <c r="AY165" t="s">
        <v>74</v>
      </c>
      <c r="AZ165" t="s">
        <v>74</v>
      </c>
      <c r="BA165" t="s">
        <v>74</v>
      </c>
      <c r="BB165">
        <v>246</v>
      </c>
      <c r="BC165">
        <v>260</v>
      </c>
      <c r="BD165" t="s">
        <v>74</v>
      </c>
      <c r="BE165" t="s">
        <v>3589</v>
      </c>
      <c r="BF165" t="str">
        <f>HYPERLINK("http://dx.doi.org/10.1016/j.actaastro.2023.08.012","http://dx.doi.org/10.1016/j.actaastro.2023.08.012")</f>
        <v>http://dx.doi.org/10.1016/j.actaastro.2023.08.012</v>
      </c>
      <c r="BG165" t="s">
        <v>74</v>
      </c>
      <c r="BH165" t="s">
        <v>1812</v>
      </c>
      <c r="BI165">
        <v>15</v>
      </c>
      <c r="BJ165" t="s">
        <v>3590</v>
      </c>
      <c r="BK165" t="s">
        <v>104</v>
      </c>
      <c r="BL165" t="s">
        <v>325</v>
      </c>
      <c r="BM165" t="s">
        <v>3591</v>
      </c>
      <c r="BN165" t="s">
        <v>74</v>
      </c>
      <c r="BO165" t="s">
        <v>74</v>
      </c>
      <c r="BP165" t="s">
        <v>74</v>
      </c>
      <c r="BQ165" t="s">
        <v>74</v>
      </c>
      <c r="BR165" t="s">
        <v>107</v>
      </c>
      <c r="BS165" t="s">
        <v>3592</v>
      </c>
      <c r="BT165" t="str">
        <f>HYPERLINK("https%3A%2F%2Fwww.webofscience.com%2Fwos%2Fwoscc%2Ffull-record%2FWOS:001060903000001","View Full Record in Web of Science")</f>
        <v>View Full Record in Web of Science</v>
      </c>
    </row>
    <row r="166" spans="1:72" x14ac:dyDescent="0.15">
      <c r="A166" t="s">
        <v>72</v>
      </c>
      <c r="B166" t="s">
        <v>3593</v>
      </c>
      <c r="C166" t="s">
        <v>74</v>
      </c>
      <c r="D166" t="s">
        <v>74</v>
      </c>
      <c r="E166" t="s">
        <v>74</v>
      </c>
      <c r="F166" t="s">
        <v>3594</v>
      </c>
      <c r="G166" t="s">
        <v>74</v>
      </c>
      <c r="H166" t="s">
        <v>74</v>
      </c>
      <c r="I166" t="s">
        <v>3595</v>
      </c>
      <c r="J166" t="s">
        <v>3596</v>
      </c>
      <c r="K166" t="s">
        <v>74</v>
      </c>
      <c r="L166" t="s">
        <v>74</v>
      </c>
      <c r="M166" t="s">
        <v>78</v>
      </c>
      <c r="N166" t="s">
        <v>424</v>
      </c>
      <c r="O166" t="s">
        <v>74</v>
      </c>
      <c r="P166" t="s">
        <v>74</v>
      </c>
      <c r="Q166" t="s">
        <v>74</v>
      </c>
      <c r="R166" t="s">
        <v>74</v>
      </c>
      <c r="S166" t="s">
        <v>74</v>
      </c>
      <c r="T166" t="s">
        <v>3597</v>
      </c>
      <c r="U166" t="s">
        <v>3598</v>
      </c>
      <c r="V166" t="s">
        <v>3599</v>
      </c>
      <c r="W166" t="s">
        <v>3600</v>
      </c>
      <c r="X166" t="s">
        <v>3601</v>
      </c>
      <c r="Y166" t="s">
        <v>3602</v>
      </c>
      <c r="Z166" t="s">
        <v>3603</v>
      </c>
      <c r="AA166" t="s">
        <v>3604</v>
      </c>
      <c r="AB166" t="s">
        <v>3605</v>
      </c>
      <c r="AC166" t="s">
        <v>3606</v>
      </c>
      <c r="AD166" t="s">
        <v>3607</v>
      </c>
      <c r="AE166" t="s">
        <v>3608</v>
      </c>
      <c r="AF166" t="s">
        <v>74</v>
      </c>
      <c r="AG166">
        <v>208</v>
      </c>
      <c r="AH166">
        <v>1</v>
      </c>
      <c r="AI166">
        <v>1</v>
      </c>
      <c r="AJ166">
        <v>3</v>
      </c>
      <c r="AK166">
        <v>4</v>
      </c>
      <c r="AL166" t="s">
        <v>172</v>
      </c>
      <c r="AM166" t="s">
        <v>173</v>
      </c>
      <c r="AN166" t="s">
        <v>174</v>
      </c>
      <c r="AO166" t="s">
        <v>3609</v>
      </c>
      <c r="AP166" t="s">
        <v>74</v>
      </c>
      <c r="AQ166" t="s">
        <v>74</v>
      </c>
      <c r="AR166" t="s">
        <v>3610</v>
      </c>
      <c r="AS166" t="s">
        <v>3611</v>
      </c>
      <c r="AT166" t="s">
        <v>3612</v>
      </c>
      <c r="AU166">
        <v>2023</v>
      </c>
      <c r="AV166">
        <v>74</v>
      </c>
      <c r="AW166" t="s">
        <v>74</v>
      </c>
      <c r="AX166" t="s">
        <v>74</v>
      </c>
      <c r="AY166" t="s">
        <v>74</v>
      </c>
      <c r="AZ166" t="s">
        <v>74</v>
      </c>
      <c r="BA166" t="s">
        <v>74</v>
      </c>
      <c r="BB166" t="s">
        <v>74</v>
      </c>
      <c r="BC166" t="s">
        <v>74</v>
      </c>
      <c r="BD166">
        <v>103220</v>
      </c>
      <c r="BE166" t="s">
        <v>3613</v>
      </c>
      <c r="BF166" t="str">
        <f>HYPERLINK("http://dx.doi.org/10.1016/j.algal.2023.103220","http://dx.doi.org/10.1016/j.algal.2023.103220")</f>
        <v>http://dx.doi.org/10.1016/j.algal.2023.103220</v>
      </c>
      <c r="BG166" t="s">
        <v>74</v>
      </c>
      <c r="BH166" t="s">
        <v>1812</v>
      </c>
      <c r="BI166">
        <v>11</v>
      </c>
      <c r="BJ166" t="s">
        <v>1484</v>
      </c>
      <c r="BK166" t="s">
        <v>104</v>
      </c>
      <c r="BL166" t="s">
        <v>1484</v>
      </c>
      <c r="BM166" t="s">
        <v>3614</v>
      </c>
      <c r="BN166" t="s">
        <v>74</v>
      </c>
      <c r="BO166" t="s">
        <v>74</v>
      </c>
      <c r="BP166" t="s">
        <v>74</v>
      </c>
      <c r="BQ166" t="s">
        <v>74</v>
      </c>
      <c r="BR166" t="s">
        <v>107</v>
      </c>
      <c r="BS166" t="s">
        <v>3615</v>
      </c>
      <c r="BT166" t="str">
        <f>HYPERLINK("https%3A%2F%2Fwww.webofscience.com%2Fwos%2Fwoscc%2Ffull-record%2FWOS:001061806200001","View Full Record in Web of Science")</f>
        <v>View Full Record in Web of Science</v>
      </c>
    </row>
    <row r="167" spans="1:72" x14ac:dyDescent="0.15">
      <c r="A167" t="s">
        <v>72</v>
      </c>
      <c r="B167" t="s">
        <v>3616</v>
      </c>
      <c r="C167" t="s">
        <v>74</v>
      </c>
      <c r="D167" t="s">
        <v>74</v>
      </c>
      <c r="E167" t="s">
        <v>74</v>
      </c>
      <c r="F167" t="s">
        <v>3617</v>
      </c>
      <c r="G167" t="s">
        <v>74</v>
      </c>
      <c r="H167" t="s">
        <v>74</v>
      </c>
      <c r="I167" t="s">
        <v>3618</v>
      </c>
      <c r="J167" t="s">
        <v>3619</v>
      </c>
      <c r="K167" t="s">
        <v>74</v>
      </c>
      <c r="L167" t="s">
        <v>74</v>
      </c>
      <c r="M167" t="s">
        <v>78</v>
      </c>
      <c r="N167" t="s">
        <v>1911</v>
      </c>
      <c r="O167" t="s">
        <v>74</v>
      </c>
      <c r="P167" t="s">
        <v>74</v>
      </c>
      <c r="Q167" t="s">
        <v>74</v>
      </c>
      <c r="R167" t="s">
        <v>74</v>
      </c>
      <c r="S167" t="s">
        <v>74</v>
      </c>
      <c r="T167" t="s">
        <v>3620</v>
      </c>
      <c r="U167" t="s">
        <v>3621</v>
      </c>
      <c r="V167" t="s">
        <v>3622</v>
      </c>
      <c r="W167" t="s">
        <v>3623</v>
      </c>
      <c r="X167" t="s">
        <v>3624</v>
      </c>
      <c r="Y167" t="s">
        <v>3625</v>
      </c>
      <c r="Z167" t="s">
        <v>3626</v>
      </c>
      <c r="AA167" t="s">
        <v>3627</v>
      </c>
      <c r="AB167" t="s">
        <v>3628</v>
      </c>
      <c r="AC167" t="s">
        <v>3629</v>
      </c>
      <c r="AD167" t="s">
        <v>3630</v>
      </c>
      <c r="AE167" t="s">
        <v>3631</v>
      </c>
      <c r="AF167" t="s">
        <v>74</v>
      </c>
      <c r="AG167">
        <v>86</v>
      </c>
      <c r="AH167">
        <v>0</v>
      </c>
      <c r="AI167">
        <v>0</v>
      </c>
      <c r="AJ167">
        <v>9</v>
      </c>
      <c r="AK167">
        <v>21</v>
      </c>
      <c r="AL167" t="s">
        <v>2617</v>
      </c>
      <c r="AM167" t="s">
        <v>1528</v>
      </c>
      <c r="AN167" t="s">
        <v>2618</v>
      </c>
      <c r="AO167" t="s">
        <v>3632</v>
      </c>
      <c r="AP167" t="s">
        <v>3633</v>
      </c>
      <c r="AQ167" t="s">
        <v>74</v>
      </c>
      <c r="AR167" t="s">
        <v>3634</v>
      </c>
      <c r="AS167" t="s">
        <v>3635</v>
      </c>
      <c r="AT167" t="s">
        <v>3636</v>
      </c>
      <c r="AU167">
        <v>2023</v>
      </c>
      <c r="AV167" t="s">
        <v>74</v>
      </c>
      <c r="AW167" t="s">
        <v>74</v>
      </c>
      <c r="AX167" t="s">
        <v>74</v>
      </c>
      <c r="AY167" t="s">
        <v>74</v>
      </c>
      <c r="AZ167" t="s">
        <v>74</v>
      </c>
      <c r="BA167" t="s">
        <v>74</v>
      </c>
      <c r="BB167" t="s">
        <v>74</v>
      </c>
      <c r="BC167" t="s">
        <v>74</v>
      </c>
      <c r="BD167" t="s">
        <v>74</v>
      </c>
      <c r="BE167" t="s">
        <v>3637</v>
      </c>
      <c r="BF167" t="str">
        <f>HYPERLINK("http://dx.doi.org/10.1007/s42995-023-00188-9","http://dx.doi.org/10.1007/s42995-023-00188-9")</f>
        <v>http://dx.doi.org/10.1007/s42995-023-00188-9</v>
      </c>
      <c r="BG167" t="s">
        <v>74</v>
      </c>
      <c r="BH167" t="s">
        <v>1812</v>
      </c>
      <c r="BI167">
        <v>16</v>
      </c>
      <c r="BJ167" t="s">
        <v>3638</v>
      </c>
      <c r="BK167" t="s">
        <v>104</v>
      </c>
      <c r="BL167" t="s">
        <v>3638</v>
      </c>
      <c r="BM167" t="s">
        <v>3639</v>
      </c>
      <c r="BN167">
        <v>38433967</v>
      </c>
      <c r="BO167" t="s">
        <v>1128</v>
      </c>
      <c r="BP167" t="s">
        <v>74</v>
      </c>
      <c r="BQ167" t="s">
        <v>74</v>
      </c>
      <c r="BR167" t="s">
        <v>107</v>
      </c>
      <c r="BS167" t="s">
        <v>3640</v>
      </c>
      <c r="BT167" t="str">
        <f>HYPERLINK("https%3A%2F%2Fwww.webofscience.com%2Fwos%2Fwoscc%2Ffull-record%2FWOS:001048351400001","View Full Record in Web of Science")</f>
        <v>View Full Record in Web of Science</v>
      </c>
    </row>
    <row r="168" spans="1:72" x14ac:dyDescent="0.15">
      <c r="A168" t="s">
        <v>72</v>
      </c>
      <c r="B168" t="s">
        <v>3641</v>
      </c>
      <c r="C168" t="s">
        <v>74</v>
      </c>
      <c r="D168" t="s">
        <v>74</v>
      </c>
      <c r="E168" t="s">
        <v>74</v>
      </c>
      <c r="F168" t="s">
        <v>3642</v>
      </c>
      <c r="G168" t="s">
        <v>74</v>
      </c>
      <c r="H168" t="s">
        <v>74</v>
      </c>
      <c r="I168" t="s">
        <v>3643</v>
      </c>
      <c r="J168" t="s">
        <v>2917</v>
      </c>
      <c r="K168" t="s">
        <v>74</v>
      </c>
      <c r="L168" t="s">
        <v>74</v>
      </c>
      <c r="M168" t="s">
        <v>78</v>
      </c>
      <c r="N168" t="s">
        <v>79</v>
      </c>
      <c r="O168" t="s">
        <v>74</v>
      </c>
      <c r="P168" t="s">
        <v>74</v>
      </c>
      <c r="Q168" t="s">
        <v>74</v>
      </c>
      <c r="R168" t="s">
        <v>74</v>
      </c>
      <c r="S168" t="s">
        <v>74</v>
      </c>
      <c r="T168" t="s">
        <v>74</v>
      </c>
      <c r="U168" t="s">
        <v>3644</v>
      </c>
      <c r="V168" t="s">
        <v>3645</v>
      </c>
      <c r="W168" t="s">
        <v>3646</v>
      </c>
      <c r="X168" t="s">
        <v>3647</v>
      </c>
      <c r="Y168" t="s">
        <v>3648</v>
      </c>
      <c r="Z168" t="s">
        <v>3649</v>
      </c>
      <c r="AA168" t="s">
        <v>3650</v>
      </c>
      <c r="AB168" t="s">
        <v>3651</v>
      </c>
      <c r="AC168" t="s">
        <v>3652</v>
      </c>
      <c r="AD168" t="s">
        <v>3653</v>
      </c>
      <c r="AE168" t="s">
        <v>3654</v>
      </c>
      <c r="AF168" t="s">
        <v>74</v>
      </c>
      <c r="AG168">
        <v>86</v>
      </c>
      <c r="AH168">
        <v>1</v>
      </c>
      <c r="AI168">
        <v>1</v>
      </c>
      <c r="AJ168">
        <v>22</v>
      </c>
      <c r="AK168">
        <v>32</v>
      </c>
      <c r="AL168" t="s">
        <v>146</v>
      </c>
      <c r="AM168" t="s">
        <v>147</v>
      </c>
      <c r="AN168" t="s">
        <v>148</v>
      </c>
      <c r="AO168" t="s">
        <v>74</v>
      </c>
      <c r="AP168" t="s">
        <v>2929</v>
      </c>
      <c r="AQ168" t="s">
        <v>74</v>
      </c>
      <c r="AR168" t="s">
        <v>2930</v>
      </c>
      <c r="AS168" t="s">
        <v>2931</v>
      </c>
      <c r="AT168" t="s">
        <v>3655</v>
      </c>
      <c r="AU168">
        <v>2023</v>
      </c>
      <c r="AV168">
        <v>14</v>
      </c>
      <c r="AW168">
        <v>1</v>
      </c>
      <c r="AX168" t="s">
        <v>74</v>
      </c>
      <c r="AY168" t="s">
        <v>74</v>
      </c>
      <c r="AZ168" t="s">
        <v>74</v>
      </c>
      <c r="BA168" t="s">
        <v>74</v>
      </c>
      <c r="BB168" t="s">
        <v>74</v>
      </c>
      <c r="BC168" t="s">
        <v>74</v>
      </c>
      <c r="BD168">
        <v>4887</v>
      </c>
      <c r="BE168" t="s">
        <v>3656</v>
      </c>
      <c r="BF168" t="str">
        <f>HYPERLINK("http://dx.doi.org/10.1038/s41467-023-40660-9","http://dx.doi.org/10.1038/s41467-023-40660-9")</f>
        <v>http://dx.doi.org/10.1038/s41467-023-40660-9</v>
      </c>
      <c r="BG168" t="s">
        <v>74</v>
      </c>
      <c r="BH168" t="s">
        <v>74</v>
      </c>
      <c r="BI168">
        <v>13</v>
      </c>
      <c r="BJ168" t="s">
        <v>1881</v>
      </c>
      <c r="BK168" t="s">
        <v>104</v>
      </c>
      <c r="BL168" t="s">
        <v>1882</v>
      </c>
      <c r="BM168" t="s">
        <v>3657</v>
      </c>
      <c r="BN168">
        <v>37580358</v>
      </c>
      <c r="BO168" t="s">
        <v>2934</v>
      </c>
      <c r="BP168" t="s">
        <v>74</v>
      </c>
      <c r="BQ168" t="s">
        <v>74</v>
      </c>
      <c r="BR168" t="s">
        <v>107</v>
      </c>
      <c r="BS168" t="s">
        <v>3658</v>
      </c>
      <c r="BT168" t="str">
        <f>HYPERLINK("https%3A%2F%2Fwww.webofscience.com%2Fwos%2Fwoscc%2Ffull-record%2FWOS:001049314000013","View Full Record in Web of Science")</f>
        <v>View Full Record in Web of Science</v>
      </c>
    </row>
    <row r="169" spans="1:72" x14ac:dyDescent="0.15">
      <c r="A169" t="s">
        <v>72</v>
      </c>
      <c r="B169" t="s">
        <v>3659</v>
      </c>
      <c r="C169" t="s">
        <v>74</v>
      </c>
      <c r="D169" t="s">
        <v>74</v>
      </c>
      <c r="E169" t="s">
        <v>74</v>
      </c>
      <c r="F169" t="s">
        <v>3660</v>
      </c>
      <c r="G169" t="s">
        <v>74</v>
      </c>
      <c r="H169" t="s">
        <v>74</v>
      </c>
      <c r="I169" t="s">
        <v>3661</v>
      </c>
      <c r="J169" t="s">
        <v>3662</v>
      </c>
      <c r="K169" t="s">
        <v>74</v>
      </c>
      <c r="L169" t="s">
        <v>74</v>
      </c>
      <c r="M169" t="s">
        <v>78</v>
      </c>
      <c r="N169" t="s">
        <v>79</v>
      </c>
      <c r="O169" t="s">
        <v>74</v>
      </c>
      <c r="P169" t="s">
        <v>74</v>
      </c>
      <c r="Q169" t="s">
        <v>74</v>
      </c>
      <c r="R169" t="s">
        <v>74</v>
      </c>
      <c r="S169" t="s">
        <v>74</v>
      </c>
      <c r="T169" t="s">
        <v>3663</v>
      </c>
      <c r="U169" t="s">
        <v>3664</v>
      </c>
      <c r="V169" t="s">
        <v>3665</v>
      </c>
      <c r="W169" t="s">
        <v>3666</v>
      </c>
      <c r="X169" t="s">
        <v>3667</v>
      </c>
      <c r="Y169" t="s">
        <v>3668</v>
      </c>
      <c r="Z169" t="s">
        <v>2000</v>
      </c>
      <c r="AA169" t="s">
        <v>74</v>
      </c>
      <c r="AB169" t="s">
        <v>74</v>
      </c>
      <c r="AC169" t="s">
        <v>3669</v>
      </c>
      <c r="AD169" t="s">
        <v>3670</v>
      </c>
      <c r="AE169" t="s">
        <v>3671</v>
      </c>
      <c r="AF169" t="s">
        <v>74</v>
      </c>
      <c r="AG169">
        <v>53</v>
      </c>
      <c r="AH169">
        <v>0</v>
      </c>
      <c r="AI169">
        <v>0</v>
      </c>
      <c r="AJ169">
        <v>7</v>
      </c>
      <c r="AK169">
        <v>7</v>
      </c>
      <c r="AL169" t="s">
        <v>3672</v>
      </c>
      <c r="AM169" t="s">
        <v>538</v>
      </c>
      <c r="AN169" t="s">
        <v>3673</v>
      </c>
      <c r="AO169" t="s">
        <v>3674</v>
      </c>
      <c r="AP169" t="s">
        <v>3675</v>
      </c>
      <c r="AQ169" t="s">
        <v>74</v>
      </c>
      <c r="AR169" t="s">
        <v>3676</v>
      </c>
      <c r="AS169" t="s">
        <v>3677</v>
      </c>
      <c r="AT169" t="s">
        <v>1810</v>
      </c>
      <c r="AU169">
        <v>2023</v>
      </c>
      <c r="AV169">
        <v>191</v>
      </c>
      <c r="AW169" t="s">
        <v>74</v>
      </c>
      <c r="AX169" t="s">
        <v>74</v>
      </c>
      <c r="AY169" t="s">
        <v>74</v>
      </c>
      <c r="AZ169" t="s">
        <v>74</v>
      </c>
      <c r="BA169" t="s">
        <v>74</v>
      </c>
      <c r="BB169" t="s">
        <v>74</v>
      </c>
      <c r="BC169" t="s">
        <v>74</v>
      </c>
      <c r="BD169">
        <v>106129</v>
      </c>
      <c r="BE169" t="s">
        <v>3678</v>
      </c>
      <c r="BF169" t="str">
        <f>HYPERLINK("http://dx.doi.org/10.1016/j.marenvres.2023.106129","http://dx.doi.org/10.1016/j.marenvres.2023.106129")</f>
        <v>http://dx.doi.org/10.1016/j.marenvres.2023.106129</v>
      </c>
      <c r="BG169" t="s">
        <v>74</v>
      </c>
      <c r="BH169" t="s">
        <v>1812</v>
      </c>
      <c r="BI169">
        <v>9</v>
      </c>
      <c r="BJ169" t="s">
        <v>3679</v>
      </c>
      <c r="BK169" t="s">
        <v>104</v>
      </c>
      <c r="BL169" t="s">
        <v>3680</v>
      </c>
      <c r="BM169" t="s">
        <v>3681</v>
      </c>
      <c r="BN169">
        <v>37586223</v>
      </c>
      <c r="BO169" t="s">
        <v>74</v>
      </c>
      <c r="BP169" t="s">
        <v>74</v>
      </c>
      <c r="BQ169" t="s">
        <v>74</v>
      </c>
      <c r="BR169" t="s">
        <v>107</v>
      </c>
      <c r="BS169" t="s">
        <v>3682</v>
      </c>
      <c r="BT169" t="str">
        <f>HYPERLINK("https%3A%2F%2Fwww.webofscience.com%2Fwos%2Fwoscc%2Ffull-record%2FWOS:001079986800001","View Full Record in Web of Science")</f>
        <v>View Full Record in Web of Science</v>
      </c>
    </row>
    <row r="170" spans="1:72" x14ac:dyDescent="0.15">
      <c r="A170" t="s">
        <v>72</v>
      </c>
      <c r="B170" t="s">
        <v>3683</v>
      </c>
      <c r="C170" t="s">
        <v>74</v>
      </c>
      <c r="D170" t="s">
        <v>74</v>
      </c>
      <c r="E170" t="s">
        <v>74</v>
      </c>
      <c r="F170" t="s">
        <v>3684</v>
      </c>
      <c r="G170" t="s">
        <v>74</v>
      </c>
      <c r="H170" t="s">
        <v>74</v>
      </c>
      <c r="I170" t="s">
        <v>3685</v>
      </c>
      <c r="J170" t="s">
        <v>3686</v>
      </c>
      <c r="K170" t="s">
        <v>74</v>
      </c>
      <c r="L170" t="s">
        <v>74</v>
      </c>
      <c r="M170" t="s">
        <v>78</v>
      </c>
      <c r="N170" t="s">
        <v>79</v>
      </c>
      <c r="O170" t="s">
        <v>74</v>
      </c>
      <c r="P170" t="s">
        <v>74</v>
      </c>
      <c r="Q170" t="s">
        <v>74</v>
      </c>
      <c r="R170" t="s">
        <v>74</v>
      </c>
      <c r="S170" t="s">
        <v>74</v>
      </c>
      <c r="T170" t="s">
        <v>3687</v>
      </c>
      <c r="U170" t="s">
        <v>3688</v>
      </c>
      <c r="V170" t="s">
        <v>3689</v>
      </c>
      <c r="W170" t="s">
        <v>3690</v>
      </c>
      <c r="X170" t="s">
        <v>3691</v>
      </c>
      <c r="Y170" t="s">
        <v>3692</v>
      </c>
      <c r="Z170" t="s">
        <v>3693</v>
      </c>
      <c r="AA170" t="s">
        <v>3694</v>
      </c>
      <c r="AB170" t="s">
        <v>3695</v>
      </c>
      <c r="AC170" t="s">
        <v>3696</v>
      </c>
      <c r="AD170" t="s">
        <v>3697</v>
      </c>
      <c r="AE170" t="s">
        <v>3698</v>
      </c>
      <c r="AF170" t="s">
        <v>74</v>
      </c>
      <c r="AG170">
        <v>62</v>
      </c>
      <c r="AH170">
        <v>0</v>
      </c>
      <c r="AI170">
        <v>0</v>
      </c>
      <c r="AJ170">
        <v>14</v>
      </c>
      <c r="AK170">
        <v>17</v>
      </c>
      <c r="AL170" t="s">
        <v>3699</v>
      </c>
      <c r="AM170" t="s">
        <v>3700</v>
      </c>
      <c r="AN170" t="s">
        <v>3701</v>
      </c>
      <c r="AO170" t="s">
        <v>3702</v>
      </c>
      <c r="AP170" t="s">
        <v>3703</v>
      </c>
      <c r="AQ170" t="s">
        <v>74</v>
      </c>
      <c r="AR170" t="s">
        <v>3704</v>
      </c>
      <c r="AS170" t="s">
        <v>3705</v>
      </c>
      <c r="AT170" t="s">
        <v>2125</v>
      </c>
      <c r="AU170">
        <v>2023</v>
      </c>
      <c r="AV170">
        <v>114</v>
      </c>
      <c r="AW170">
        <v>6</v>
      </c>
      <c r="AX170" t="s">
        <v>74</v>
      </c>
      <c r="AY170" t="s">
        <v>74</v>
      </c>
      <c r="AZ170" t="s">
        <v>74</v>
      </c>
      <c r="BA170" t="s">
        <v>74</v>
      </c>
      <c r="BB170">
        <v>587</v>
      </c>
      <c r="BC170">
        <v>597</v>
      </c>
      <c r="BD170" t="s">
        <v>74</v>
      </c>
      <c r="BE170" t="s">
        <v>3706</v>
      </c>
      <c r="BF170" t="str">
        <f>HYPERLINK("http://dx.doi.org/10.1093/jhered/esad048","http://dx.doi.org/10.1093/jhered/esad048")</f>
        <v>http://dx.doi.org/10.1093/jhered/esad048</v>
      </c>
      <c r="BG170" t="s">
        <v>74</v>
      </c>
      <c r="BH170" t="s">
        <v>1812</v>
      </c>
      <c r="BI170">
        <v>11</v>
      </c>
      <c r="BJ170" t="s">
        <v>3707</v>
      </c>
      <c r="BK170" t="s">
        <v>104</v>
      </c>
      <c r="BL170" t="s">
        <v>3707</v>
      </c>
      <c r="BM170" t="s">
        <v>3708</v>
      </c>
      <c r="BN170">
        <v>37578073</v>
      </c>
      <c r="BO170" t="s">
        <v>3709</v>
      </c>
      <c r="BP170" t="s">
        <v>74</v>
      </c>
      <c r="BQ170" t="s">
        <v>74</v>
      </c>
      <c r="BR170" t="s">
        <v>107</v>
      </c>
      <c r="BS170" t="s">
        <v>3710</v>
      </c>
      <c r="BT170" t="str">
        <f>HYPERLINK("https%3A%2F%2Fwww.webofscience.com%2Fwos%2Fwoscc%2Ffull-record%2FWOS:001060599700001","View Full Record in Web of Science")</f>
        <v>View Full Record in Web of Science</v>
      </c>
    </row>
    <row r="171" spans="1:72" x14ac:dyDescent="0.15">
      <c r="A171" t="s">
        <v>72</v>
      </c>
      <c r="B171" t="s">
        <v>3711</v>
      </c>
      <c r="C171" t="s">
        <v>74</v>
      </c>
      <c r="D171" t="s">
        <v>74</v>
      </c>
      <c r="E171" t="s">
        <v>74</v>
      </c>
      <c r="F171" t="s">
        <v>3712</v>
      </c>
      <c r="G171" t="s">
        <v>74</v>
      </c>
      <c r="H171" t="s">
        <v>74</v>
      </c>
      <c r="I171" t="s">
        <v>3713</v>
      </c>
      <c r="J171" t="s">
        <v>3334</v>
      </c>
      <c r="K171" t="s">
        <v>74</v>
      </c>
      <c r="L171" t="s">
        <v>74</v>
      </c>
      <c r="M171" t="s">
        <v>78</v>
      </c>
      <c r="N171" t="s">
        <v>79</v>
      </c>
      <c r="O171" t="s">
        <v>74</v>
      </c>
      <c r="P171" t="s">
        <v>74</v>
      </c>
      <c r="Q171" t="s">
        <v>74</v>
      </c>
      <c r="R171" t="s">
        <v>74</v>
      </c>
      <c r="S171" t="s">
        <v>74</v>
      </c>
      <c r="T171" t="s">
        <v>74</v>
      </c>
      <c r="U171" t="s">
        <v>3714</v>
      </c>
      <c r="V171" t="s">
        <v>3715</v>
      </c>
      <c r="W171" t="s">
        <v>3716</v>
      </c>
      <c r="X171" t="s">
        <v>3717</v>
      </c>
      <c r="Y171" t="s">
        <v>3718</v>
      </c>
      <c r="Z171" t="s">
        <v>3719</v>
      </c>
      <c r="AA171" t="s">
        <v>74</v>
      </c>
      <c r="AB171" t="s">
        <v>3720</v>
      </c>
      <c r="AC171" t="s">
        <v>3721</v>
      </c>
      <c r="AD171" t="s">
        <v>3722</v>
      </c>
      <c r="AE171" t="s">
        <v>3723</v>
      </c>
      <c r="AF171" t="s">
        <v>74</v>
      </c>
      <c r="AG171">
        <v>77</v>
      </c>
      <c r="AH171">
        <v>1</v>
      </c>
      <c r="AI171">
        <v>1</v>
      </c>
      <c r="AJ171">
        <v>2</v>
      </c>
      <c r="AK171">
        <v>5</v>
      </c>
      <c r="AL171" t="s">
        <v>1775</v>
      </c>
      <c r="AM171" t="s">
        <v>1776</v>
      </c>
      <c r="AN171" t="s">
        <v>1777</v>
      </c>
      <c r="AO171" t="s">
        <v>3346</v>
      </c>
      <c r="AP171" t="s">
        <v>3347</v>
      </c>
      <c r="AQ171" t="s">
        <v>74</v>
      </c>
      <c r="AR171" t="s">
        <v>3348</v>
      </c>
      <c r="AS171" t="s">
        <v>3349</v>
      </c>
      <c r="AT171" t="s">
        <v>3655</v>
      </c>
      <c r="AU171">
        <v>2023</v>
      </c>
      <c r="AV171">
        <v>19</v>
      </c>
      <c r="AW171">
        <v>8</v>
      </c>
      <c r="AX171" t="s">
        <v>74</v>
      </c>
      <c r="AY171" t="s">
        <v>74</v>
      </c>
      <c r="AZ171" t="s">
        <v>74</v>
      </c>
      <c r="BA171" t="s">
        <v>74</v>
      </c>
      <c r="BB171">
        <v>1653</v>
      </c>
      <c r="BC171">
        <v>1675</v>
      </c>
      <c r="BD171" t="s">
        <v>74</v>
      </c>
      <c r="BE171" t="s">
        <v>3724</v>
      </c>
      <c r="BF171" t="str">
        <f>HYPERLINK("http://dx.doi.org/10.5194/cp-19-1653-2023","http://dx.doi.org/10.5194/cp-19-1653-2023")</f>
        <v>http://dx.doi.org/10.5194/cp-19-1653-2023</v>
      </c>
      <c r="BG171" t="s">
        <v>74</v>
      </c>
      <c r="BH171" t="s">
        <v>74</v>
      </c>
      <c r="BI171">
        <v>23</v>
      </c>
      <c r="BJ171" t="s">
        <v>3351</v>
      </c>
      <c r="BK171" t="s">
        <v>104</v>
      </c>
      <c r="BL171" t="s">
        <v>3352</v>
      </c>
      <c r="BM171" t="s">
        <v>3725</v>
      </c>
      <c r="BN171" t="s">
        <v>74</v>
      </c>
      <c r="BO171" t="s">
        <v>3243</v>
      </c>
      <c r="BP171" t="s">
        <v>74</v>
      </c>
      <c r="BQ171" t="s">
        <v>74</v>
      </c>
      <c r="BR171" t="s">
        <v>107</v>
      </c>
      <c r="BS171" t="s">
        <v>3726</v>
      </c>
      <c r="BT171" t="str">
        <f>HYPERLINK("https%3A%2F%2Fwww.webofscience.com%2Fwos%2Fwoscc%2Ffull-record%2FWOS:001048081200001","View Full Record in Web of Science")</f>
        <v>View Full Record in Web of Science</v>
      </c>
    </row>
    <row r="172" spans="1:72" x14ac:dyDescent="0.15">
      <c r="A172" t="s">
        <v>72</v>
      </c>
      <c r="B172" t="s">
        <v>3727</v>
      </c>
      <c r="C172" t="s">
        <v>74</v>
      </c>
      <c r="D172" t="s">
        <v>74</v>
      </c>
      <c r="E172" t="s">
        <v>74</v>
      </c>
      <c r="F172" t="s">
        <v>3728</v>
      </c>
      <c r="G172" t="s">
        <v>74</v>
      </c>
      <c r="H172" t="s">
        <v>74</v>
      </c>
      <c r="I172" t="s">
        <v>3729</v>
      </c>
      <c r="J172" t="s">
        <v>3387</v>
      </c>
      <c r="K172" t="s">
        <v>74</v>
      </c>
      <c r="L172" t="s">
        <v>74</v>
      </c>
      <c r="M172" t="s">
        <v>78</v>
      </c>
      <c r="N172" t="s">
        <v>79</v>
      </c>
      <c r="O172" t="s">
        <v>74</v>
      </c>
      <c r="P172" t="s">
        <v>74</v>
      </c>
      <c r="Q172" t="s">
        <v>74</v>
      </c>
      <c r="R172" t="s">
        <v>74</v>
      </c>
      <c r="S172" t="s">
        <v>74</v>
      </c>
      <c r="T172" t="s">
        <v>3730</v>
      </c>
      <c r="U172" t="s">
        <v>3731</v>
      </c>
      <c r="V172" t="s">
        <v>3732</v>
      </c>
      <c r="W172" t="s">
        <v>3733</v>
      </c>
      <c r="X172" t="s">
        <v>3734</v>
      </c>
      <c r="Y172" t="s">
        <v>3735</v>
      </c>
      <c r="Z172" t="s">
        <v>3736</v>
      </c>
      <c r="AA172" t="s">
        <v>74</v>
      </c>
      <c r="AB172" t="s">
        <v>74</v>
      </c>
      <c r="AC172" t="s">
        <v>3737</v>
      </c>
      <c r="AD172" t="s">
        <v>3738</v>
      </c>
      <c r="AE172" t="s">
        <v>3739</v>
      </c>
      <c r="AF172" t="s">
        <v>74</v>
      </c>
      <c r="AG172">
        <v>66</v>
      </c>
      <c r="AH172">
        <v>0</v>
      </c>
      <c r="AI172">
        <v>0</v>
      </c>
      <c r="AJ172">
        <v>3</v>
      </c>
      <c r="AK172">
        <v>4</v>
      </c>
      <c r="AL172" t="s">
        <v>460</v>
      </c>
      <c r="AM172" t="s">
        <v>461</v>
      </c>
      <c r="AN172" t="s">
        <v>462</v>
      </c>
      <c r="AO172" t="s">
        <v>3396</v>
      </c>
      <c r="AP172" t="s">
        <v>3397</v>
      </c>
      <c r="AQ172" t="s">
        <v>74</v>
      </c>
      <c r="AR172" t="s">
        <v>3398</v>
      </c>
      <c r="AS172" t="s">
        <v>3399</v>
      </c>
      <c r="AT172" t="s">
        <v>1810</v>
      </c>
      <c r="AU172">
        <v>2023</v>
      </c>
      <c r="AV172">
        <v>33</v>
      </c>
      <c r="AW172">
        <v>10</v>
      </c>
      <c r="AX172" t="s">
        <v>74</v>
      </c>
      <c r="AY172" t="s">
        <v>74</v>
      </c>
      <c r="AZ172" t="s">
        <v>74</v>
      </c>
      <c r="BA172" t="s">
        <v>74</v>
      </c>
      <c r="BB172">
        <v>1003</v>
      </c>
      <c r="BC172">
        <v>1013</v>
      </c>
      <c r="BD172" t="s">
        <v>74</v>
      </c>
      <c r="BE172" t="s">
        <v>3740</v>
      </c>
      <c r="BF172" t="str">
        <f>HYPERLINK("http://dx.doi.org/10.1002/aqc.4001","http://dx.doi.org/10.1002/aqc.4001")</f>
        <v>http://dx.doi.org/10.1002/aqc.4001</v>
      </c>
      <c r="BG172" t="s">
        <v>74</v>
      </c>
      <c r="BH172" t="s">
        <v>1812</v>
      </c>
      <c r="BI172">
        <v>11</v>
      </c>
      <c r="BJ172" t="s">
        <v>3401</v>
      </c>
      <c r="BK172" t="s">
        <v>104</v>
      </c>
      <c r="BL172" t="s">
        <v>3402</v>
      </c>
      <c r="BM172" t="s">
        <v>3741</v>
      </c>
      <c r="BN172" t="s">
        <v>74</v>
      </c>
      <c r="BO172" t="s">
        <v>549</v>
      </c>
      <c r="BP172" t="s">
        <v>74</v>
      </c>
      <c r="BQ172" t="s">
        <v>74</v>
      </c>
      <c r="BR172" t="s">
        <v>107</v>
      </c>
      <c r="BS172" t="s">
        <v>3742</v>
      </c>
      <c r="BT172" t="str">
        <f>HYPERLINK("https%3A%2F%2Fwww.webofscience.com%2Fwos%2Fwoscc%2Ffull-record%2FWOS:001049221800001","View Full Record in Web of Science")</f>
        <v>View Full Record in Web of Science</v>
      </c>
    </row>
    <row r="173" spans="1:72" x14ac:dyDescent="0.15">
      <c r="A173" t="s">
        <v>72</v>
      </c>
      <c r="B173" t="s">
        <v>3743</v>
      </c>
      <c r="C173" t="s">
        <v>74</v>
      </c>
      <c r="D173" t="s">
        <v>74</v>
      </c>
      <c r="E173" t="s">
        <v>74</v>
      </c>
      <c r="F173" t="s">
        <v>3744</v>
      </c>
      <c r="G173" t="s">
        <v>74</v>
      </c>
      <c r="H173" t="s">
        <v>74</v>
      </c>
      <c r="I173" t="s">
        <v>3745</v>
      </c>
      <c r="J173" t="s">
        <v>2353</v>
      </c>
      <c r="K173" t="s">
        <v>74</v>
      </c>
      <c r="L173" t="s">
        <v>74</v>
      </c>
      <c r="M173" t="s">
        <v>78</v>
      </c>
      <c r="N173" t="s">
        <v>869</v>
      </c>
      <c r="O173" t="s">
        <v>74</v>
      </c>
      <c r="P173" t="s">
        <v>74</v>
      </c>
      <c r="Q173" t="s">
        <v>74</v>
      </c>
      <c r="R173" t="s">
        <v>74</v>
      </c>
      <c r="S173" t="s">
        <v>74</v>
      </c>
      <c r="T173" t="s">
        <v>74</v>
      </c>
      <c r="U173" t="s">
        <v>3746</v>
      </c>
      <c r="V173" t="s">
        <v>74</v>
      </c>
      <c r="W173" t="s">
        <v>3747</v>
      </c>
      <c r="X173" t="s">
        <v>3748</v>
      </c>
      <c r="Y173" t="s">
        <v>3749</v>
      </c>
      <c r="Z173" t="s">
        <v>74</v>
      </c>
      <c r="AA173" t="s">
        <v>74</v>
      </c>
      <c r="AB173" t="s">
        <v>74</v>
      </c>
      <c r="AC173" t="s">
        <v>74</v>
      </c>
      <c r="AD173" t="s">
        <v>74</v>
      </c>
      <c r="AE173" t="s">
        <v>74</v>
      </c>
      <c r="AF173" t="s">
        <v>74</v>
      </c>
      <c r="AG173">
        <v>5</v>
      </c>
      <c r="AH173">
        <v>0</v>
      </c>
      <c r="AI173">
        <v>0</v>
      </c>
      <c r="AJ173">
        <v>0</v>
      </c>
      <c r="AK173">
        <v>1</v>
      </c>
      <c r="AL173" t="s">
        <v>146</v>
      </c>
      <c r="AM173" t="s">
        <v>147</v>
      </c>
      <c r="AN173" t="s">
        <v>148</v>
      </c>
      <c r="AO173" t="s">
        <v>2365</v>
      </c>
      <c r="AP173" t="s">
        <v>2366</v>
      </c>
      <c r="AQ173" t="s">
        <v>74</v>
      </c>
      <c r="AR173" t="s">
        <v>2367</v>
      </c>
      <c r="AS173" t="s">
        <v>2368</v>
      </c>
      <c r="AT173" t="s">
        <v>97</v>
      </c>
      <c r="AU173">
        <v>2023</v>
      </c>
      <c r="AV173">
        <v>13</v>
      </c>
      <c r="AW173">
        <v>9</v>
      </c>
      <c r="AX173" t="s">
        <v>74</v>
      </c>
      <c r="AY173" t="s">
        <v>74</v>
      </c>
      <c r="AZ173" t="s">
        <v>74</v>
      </c>
      <c r="BA173" t="s">
        <v>74</v>
      </c>
      <c r="BB173">
        <v>903</v>
      </c>
      <c r="BC173">
        <v>904</v>
      </c>
      <c r="BD173" t="s">
        <v>74</v>
      </c>
      <c r="BE173" t="s">
        <v>3750</v>
      </c>
      <c r="BF173" t="str">
        <f>HYPERLINK("http://dx.doi.org/10.1038/s41558-023-01739-9","http://dx.doi.org/10.1038/s41558-023-01739-9")</f>
        <v>http://dx.doi.org/10.1038/s41558-023-01739-9</v>
      </c>
      <c r="BG173" t="s">
        <v>74</v>
      </c>
      <c r="BH173" t="s">
        <v>1812</v>
      </c>
      <c r="BI173">
        <v>2</v>
      </c>
      <c r="BJ173" t="s">
        <v>2371</v>
      </c>
      <c r="BK173" t="s">
        <v>881</v>
      </c>
      <c r="BL173" t="s">
        <v>2372</v>
      </c>
      <c r="BM173" t="s">
        <v>3751</v>
      </c>
      <c r="BN173" t="s">
        <v>74</v>
      </c>
      <c r="BO173" t="s">
        <v>74</v>
      </c>
      <c r="BP173" t="s">
        <v>74</v>
      </c>
      <c r="BQ173" t="s">
        <v>74</v>
      </c>
      <c r="BR173" t="s">
        <v>107</v>
      </c>
      <c r="BS173" t="s">
        <v>3752</v>
      </c>
      <c r="BT173" t="str">
        <f>HYPERLINK("https%3A%2F%2Fwww.webofscience.com%2Fwos%2Fwoscc%2Ffull-record%2FWOS:001048833600005","View Full Record in Web of Science")</f>
        <v>View Full Record in Web of Science</v>
      </c>
    </row>
    <row r="174" spans="1:72" x14ac:dyDescent="0.15">
      <c r="A174" t="s">
        <v>72</v>
      </c>
      <c r="B174" t="s">
        <v>3753</v>
      </c>
      <c r="C174" t="s">
        <v>74</v>
      </c>
      <c r="D174" t="s">
        <v>74</v>
      </c>
      <c r="E174" t="s">
        <v>74</v>
      </c>
      <c r="F174" t="s">
        <v>3754</v>
      </c>
      <c r="G174" t="s">
        <v>74</v>
      </c>
      <c r="H174" t="s">
        <v>74</v>
      </c>
      <c r="I174" t="s">
        <v>3755</v>
      </c>
      <c r="J174" t="s">
        <v>3756</v>
      </c>
      <c r="K174" t="s">
        <v>74</v>
      </c>
      <c r="L174" t="s">
        <v>74</v>
      </c>
      <c r="M174" t="s">
        <v>78</v>
      </c>
      <c r="N174" t="s">
        <v>79</v>
      </c>
      <c r="O174" t="s">
        <v>74</v>
      </c>
      <c r="P174" t="s">
        <v>74</v>
      </c>
      <c r="Q174" t="s">
        <v>74</v>
      </c>
      <c r="R174" t="s">
        <v>74</v>
      </c>
      <c r="S174" t="s">
        <v>74</v>
      </c>
      <c r="T174" t="s">
        <v>3757</v>
      </c>
      <c r="U174" t="s">
        <v>3758</v>
      </c>
      <c r="V174" t="s">
        <v>3759</v>
      </c>
      <c r="W174" t="s">
        <v>3760</v>
      </c>
      <c r="X174" t="s">
        <v>3761</v>
      </c>
      <c r="Y174" t="s">
        <v>3762</v>
      </c>
      <c r="Z174" t="s">
        <v>3763</v>
      </c>
      <c r="AA174" t="s">
        <v>74</v>
      </c>
      <c r="AB174" t="s">
        <v>3764</v>
      </c>
      <c r="AC174" t="s">
        <v>3765</v>
      </c>
      <c r="AD174" t="s">
        <v>3765</v>
      </c>
      <c r="AE174" t="s">
        <v>3766</v>
      </c>
      <c r="AF174" t="s">
        <v>74</v>
      </c>
      <c r="AG174">
        <v>13</v>
      </c>
      <c r="AH174">
        <v>0</v>
      </c>
      <c r="AI174">
        <v>0</v>
      </c>
      <c r="AJ174">
        <v>2</v>
      </c>
      <c r="AK174">
        <v>2</v>
      </c>
      <c r="AL174" t="s">
        <v>298</v>
      </c>
      <c r="AM174" t="s">
        <v>299</v>
      </c>
      <c r="AN174" t="s">
        <v>300</v>
      </c>
      <c r="AO174" t="s">
        <v>3767</v>
      </c>
      <c r="AP174" t="s">
        <v>3768</v>
      </c>
      <c r="AQ174" t="s">
        <v>74</v>
      </c>
      <c r="AR174" t="s">
        <v>3769</v>
      </c>
      <c r="AS174" t="s">
        <v>3770</v>
      </c>
      <c r="AT174" t="s">
        <v>1810</v>
      </c>
      <c r="AU174">
        <v>2023</v>
      </c>
      <c r="AV174">
        <v>46</v>
      </c>
      <c r="AW174">
        <v>10</v>
      </c>
      <c r="AX174" t="s">
        <v>74</v>
      </c>
      <c r="AY174" t="s">
        <v>74</v>
      </c>
      <c r="AZ174" t="s">
        <v>74</v>
      </c>
      <c r="BA174" t="s">
        <v>74</v>
      </c>
      <c r="BB174">
        <v>1159</v>
      </c>
      <c r="BC174">
        <v>1162</v>
      </c>
      <c r="BD174" t="s">
        <v>74</v>
      </c>
      <c r="BE174" t="s">
        <v>3771</v>
      </c>
      <c r="BF174" t="str">
        <f>HYPERLINK("http://dx.doi.org/10.1007/s00300-023-03190-0","http://dx.doi.org/10.1007/s00300-023-03190-0")</f>
        <v>http://dx.doi.org/10.1007/s00300-023-03190-0</v>
      </c>
      <c r="BG174" t="s">
        <v>74</v>
      </c>
      <c r="BH174" t="s">
        <v>1812</v>
      </c>
      <c r="BI174">
        <v>4</v>
      </c>
      <c r="BJ174" t="s">
        <v>3772</v>
      </c>
      <c r="BK174" t="s">
        <v>104</v>
      </c>
      <c r="BL174" t="s">
        <v>1905</v>
      </c>
      <c r="BM174" t="s">
        <v>3773</v>
      </c>
      <c r="BN174" t="s">
        <v>74</v>
      </c>
      <c r="BO174" t="s">
        <v>74</v>
      </c>
      <c r="BP174" t="s">
        <v>74</v>
      </c>
      <c r="BQ174" t="s">
        <v>74</v>
      </c>
      <c r="BR174" t="s">
        <v>107</v>
      </c>
      <c r="BS174" t="s">
        <v>3774</v>
      </c>
      <c r="BT174" t="str">
        <f>HYPERLINK("https%3A%2F%2Fwww.webofscience.com%2Fwos%2Fwoscc%2Ffull-record%2FWOS:001048067000001","View Full Record in Web of Science")</f>
        <v>View Full Record in Web of Science</v>
      </c>
    </row>
    <row r="175" spans="1:72" x14ac:dyDescent="0.15">
      <c r="A175" t="s">
        <v>72</v>
      </c>
      <c r="B175" t="s">
        <v>3775</v>
      </c>
      <c r="C175" t="s">
        <v>74</v>
      </c>
      <c r="D175" t="s">
        <v>74</v>
      </c>
      <c r="E175" t="s">
        <v>74</v>
      </c>
      <c r="F175" t="s">
        <v>3776</v>
      </c>
      <c r="G175" t="s">
        <v>74</v>
      </c>
      <c r="H175" t="s">
        <v>74</v>
      </c>
      <c r="I175" t="s">
        <v>3777</v>
      </c>
      <c r="J175" t="s">
        <v>3778</v>
      </c>
      <c r="K175" t="s">
        <v>74</v>
      </c>
      <c r="L175" t="s">
        <v>74</v>
      </c>
      <c r="M175" t="s">
        <v>78</v>
      </c>
      <c r="N175" t="s">
        <v>1911</v>
      </c>
      <c r="O175" t="s">
        <v>74</v>
      </c>
      <c r="P175" t="s">
        <v>74</v>
      </c>
      <c r="Q175" t="s">
        <v>74</v>
      </c>
      <c r="R175" t="s">
        <v>74</v>
      </c>
      <c r="S175" t="s">
        <v>74</v>
      </c>
      <c r="T175" t="s">
        <v>3779</v>
      </c>
      <c r="U175" t="s">
        <v>3780</v>
      </c>
      <c r="V175" t="s">
        <v>3781</v>
      </c>
      <c r="W175" t="s">
        <v>3782</v>
      </c>
      <c r="X175" t="s">
        <v>3783</v>
      </c>
      <c r="Y175" t="s">
        <v>3784</v>
      </c>
      <c r="Z175" t="s">
        <v>3785</v>
      </c>
      <c r="AA175" t="s">
        <v>3786</v>
      </c>
      <c r="AB175" t="s">
        <v>3787</v>
      </c>
      <c r="AC175" t="s">
        <v>3788</v>
      </c>
      <c r="AD175" t="s">
        <v>3789</v>
      </c>
      <c r="AE175" t="s">
        <v>3790</v>
      </c>
      <c r="AF175" t="s">
        <v>74</v>
      </c>
      <c r="AG175">
        <v>78</v>
      </c>
      <c r="AH175">
        <v>2</v>
      </c>
      <c r="AI175">
        <v>2</v>
      </c>
      <c r="AJ175">
        <v>6</v>
      </c>
      <c r="AK175">
        <v>7</v>
      </c>
      <c r="AL175" t="s">
        <v>298</v>
      </c>
      <c r="AM175" t="s">
        <v>3791</v>
      </c>
      <c r="AN175" t="s">
        <v>3792</v>
      </c>
      <c r="AO175" t="s">
        <v>3793</v>
      </c>
      <c r="AP175" t="s">
        <v>3794</v>
      </c>
      <c r="AQ175" t="s">
        <v>74</v>
      </c>
      <c r="AR175" t="s">
        <v>3795</v>
      </c>
      <c r="AS175" t="s">
        <v>3796</v>
      </c>
      <c r="AT175" t="s">
        <v>3797</v>
      </c>
      <c r="AU175">
        <v>2023</v>
      </c>
      <c r="AV175" t="s">
        <v>74</v>
      </c>
      <c r="AW175" t="s">
        <v>74</v>
      </c>
      <c r="AX175" t="s">
        <v>74</v>
      </c>
      <c r="AY175" t="s">
        <v>74</v>
      </c>
      <c r="AZ175" t="s">
        <v>74</v>
      </c>
      <c r="BA175" t="s">
        <v>74</v>
      </c>
      <c r="BB175" t="s">
        <v>74</v>
      </c>
      <c r="BC175" t="s">
        <v>74</v>
      </c>
      <c r="BD175" t="s">
        <v>74</v>
      </c>
      <c r="BE175" t="s">
        <v>3798</v>
      </c>
      <c r="BF175" t="str">
        <f>HYPERLINK("http://dx.doi.org/10.1007/s10811-023-03061-5","http://dx.doi.org/10.1007/s10811-023-03061-5")</f>
        <v>http://dx.doi.org/10.1007/s10811-023-03061-5</v>
      </c>
      <c r="BG175" t="s">
        <v>74</v>
      </c>
      <c r="BH175" t="s">
        <v>1812</v>
      </c>
      <c r="BI175">
        <v>13</v>
      </c>
      <c r="BJ175" t="s">
        <v>3799</v>
      </c>
      <c r="BK175" t="s">
        <v>104</v>
      </c>
      <c r="BL175" t="s">
        <v>3799</v>
      </c>
      <c r="BM175" t="s">
        <v>3800</v>
      </c>
      <c r="BN175" t="s">
        <v>74</v>
      </c>
      <c r="BO175" t="s">
        <v>549</v>
      </c>
      <c r="BP175" t="s">
        <v>74</v>
      </c>
      <c r="BQ175" t="s">
        <v>74</v>
      </c>
      <c r="BR175" t="s">
        <v>107</v>
      </c>
      <c r="BS175" t="s">
        <v>3801</v>
      </c>
      <c r="BT175" t="str">
        <f>HYPERLINK("https%3A%2F%2Fwww.webofscience.com%2Fwos%2Fwoscc%2Ffull-record%2FWOS:001046952400002","View Full Record in Web of Science")</f>
        <v>View Full Record in Web of Science</v>
      </c>
    </row>
    <row r="176" spans="1:72" x14ac:dyDescent="0.15">
      <c r="A176" t="s">
        <v>72</v>
      </c>
      <c r="B176" t="s">
        <v>3802</v>
      </c>
      <c r="C176" t="s">
        <v>74</v>
      </c>
      <c r="D176" t="s">
        <v>74</v>
      </c>
      <c r="E176" t="s">
        <v>74</v>
      </c>
      <c r="F176" t="s">
        <v>3803</v>
      </c>
      <c r="G176" t="s">
        <v>74</v>
      </c>
      <c r="H176" t="s">
        <v>74</v>
      </c>
      <c r="I176" t="s">
        <v>3804</v>
      </c>
      <c r="J176" t="s">
        <v>3805</v>
      </c>
      <c r="K176" t="s">
        <v>74</v>
      </c>
      <c r="L176" t="s">
        <v>74</v>
      </c>
      <c r="M176" t="s">
        <v>78</v>
      </c>
      <c r="N176" t="s">
        <v>79</v>
      </c>
      <c r="O176" t="s">
        <v>74</v>
      </c>
      <c r="P176" t="s">
        <v>74</v>
      </c>
      <c r="Q176" t="s">
        <v>74</v>
      </c>
      <c r="R176" t="s">
        <v>74</v>
      </c>
      <c r="S176" t="s">
        <v>74</v>
      </c>
      <c r="T176" t="s">
        <v>3806</v>
      </c>
      <c r="U176" t="s">
        <v>74</v>
      </c>
      <c r="V176" t="s">
        <v>3807</v>
      </c>
      <c r="W176" t="s">
        <v>3808</v>
      </c>
      <c r="X176" t="s">
        <v>3809</v>
      </c>
      <c r="Y176" t="s">
        <v>3810</v>
      </c>
      <c r="Z176" t="s">
        <v>3811</v>
      </c>
      <c r="AA176" t="s">
        <v>3812</v>
      </c>
      <c r="AB176" t="s">
        <v>3813</v>
      </c>
      <c r="AC176" t="s">
        <v>74</v>
      </c>
      <c r="AD176" t="s">
        <v>74</v>
      </c>
      <c r="AE176" t="s">
        <v>74</v>
      </c>
      <c r="AF176" t="s">
        <v>74</v>
      </c>
      <c r="AG176">
        <v>23</v>
      </c>
      <c r="AH176">
        <v>0</v>
      </c>
      <c r="AI176">
        <v>0</v>
      </c>
      <c r="AJ176">
        <v>1</v>
      </c>
      <c r="AK176">
        <v>1</v>
      </c>
      <c r="AL176" t="s">
        <v>2118</v>
      </c>
      <c r="AM176" t="s">
        <v>2119</v>
      </c>
      <c r="AN176" t="s">
        <v>2120</v>
      </c>
      <c r="AO176" t="s">
        <v>3814</v>
      </c>
      <c r="AP176" t="s">
        <v>3815</v>
      </c>
      <c r="AQ176" t="s">
        <v>74</v>
      </c>
      <c r="AR176" t="s">
        <v>3816</v>
      </c>
      <c r="AS176" t="s">
        <v>3817</v>
      </c>
      <c r="AT176" t="s">
        <v>3818</v>
      </c>
      <c r="AU176">
        <v>2023</v>
      </c>
      <c r="AV176">
        <v>374</v>
      </c>
      <c r="AW176" t="s">
        <v>74</v>
      </c>
      <c r="AX176" t="s">
        <v>74</v>
      </c>
      <c r="AY176" t="s">
        <v>74</v>
      </c>
      <c r="AZ176" t="s">
        <v>74</v>
      </c>
      <c r="BA176" t="s">
        <v>74</v>
      </c>
      <c r="BB176">
        <v>632</v>
      </c>
      <c r="BC176">
        <v>641</v>
      </c>
      <c r="BD176" t="s">
        <v>74</v>
      </c>
      <c r="BE176" t="s">
        <v>3819</v>
      </c>
      <c r="BF176" t="str">
        <f>HYPERLINK("http://dx.doi.org/10.1016/j.jde.2023.07.044","http://dx.doi.org/10.1016/j.jde.2023.07.044")</f>
        <v>http://dx.doi.org/10.1016/j.jde.2023.07.044</v>
      </c>
      <c r="BG176" t="s">
        <v>74</v>
      </c>
      <c r="BH176" t="s">
        <v>1812</v>
      </c>
      <c r="BI176">
        <v>10</v>
      </c>
      <c r="BJ176" t="s">
        <v>3820</v>
      </c>
      <c r="BK176" t="s">
        <v>104</v>
      </c>
      <c r="BL176" t="s">
        <v>3820</v>
      </c>
      <c r="BM176" t="s">
        <v>3821</v>
      </c>
      <c r="BN176" t="s">
        <v>74</v>
      </c>
      <c r="BO176" t="s">
        <v>549</v>
      </c>
      <c r="BP176" t="s">
        <v>74</v>
      </c>
      <c r="BQ176" t="s">
        <v>74</v>
      </c>
      <c r="BR176" t="s">
        <v>107</v>
      </c>
      <c r="BS176" t="s">
        <v>3822</v>
      </c>
      <c r="BT176" t="str">
        <f>HYPERLINK("https%3A%2F%2Fwww.webofscience.com%2Fwos%2Fwoscc%2Ffull-record%2FWOS:001158814700001","View Full Record in Web of Science")</f>
        <v>View Full Record in Web of Science</v>
      </c>
    </row>
    <row r="177" spans="1:72" x14ac:dyDescent="0.15">
      <c r="A177" t="s">
        <v>72</v>
      </c>
      <c r="B177" t="s">
        <v>3823</v>
      </c>
      <c r="C177" t="s">
        <v>74</v>
      </c>
      <c r="D177" t="s">
        <v>74</v>
      </c>
      <c r="E177" t="s">
        <v>74</v>
      </c>
      <c r="F177" t="s">
        <v>3824</v>
      </c>
      <c r="G177" t="s">
        <v>74</v>
      </c>
      <c r="H177" t="s">
        <v>3825</v>
      </c>
      <c r="I177" t="s">
        <v>3826</v>
      </c>
      <c r="J177" t="s">
        <v>3827</v>
      </c>
      <c r="K177" t="s">
        <v>74</v>
      </c>
      <c r="L177" t="s">
        <v>74</v>
      </c>
      <c r="M177" t="s">
        <v>78</v>
      </c>
      <c r="N177" t="s">
        <v>79</v>
      </c>
      <c r="O177" t="s">
        <v>74</v>
      </c>
      <c r="P177" t="s">
        <v>74</v>
      </c>
      <c r="Q177" t="s">
        <v>74</v>
      </c>
      <c r="R177" t="s">
        <v>74</v>
      </c>
      <c r="S177" t="s">
        <v>74</v>
      </c>
      <c r="T177" t="s">
        <v>3828</v>
      </c>
      <c r="U177" t="s">
        <v>74</v>
      </c>
      <c r="V177" t="s">
        <v>3829</v>
      </c>
      <c r="W177" t="s">
        <v>3830</v>
      </c>
      <c r="X177" t="s">
        <v>3831</v>
      </c>
      <c r="Y177" t="s">
        <v>3832</v>
      </c>
      <c r="Z177" t="s">
        <v>3833</v>
      </c>
      <c r="AA177" t="s">
        <v>3834</v>
      </c>
      <c r="AB177" t="s">
        <v>3835</v>
      </c>
      <c r="AC177" t="s">
        <v>3836</v>
      </c>
      <c r="AD177" t="s">
        <v>3837</v>
      </c>
      <c r="AE177" t="s">
        <v>3838</v>
      </c>
      <c r="AF177" t="s">
        <v>74</v>
      </c>
      <c r="AG177">
        <v>7</v>
      </c>
      <c r="AH177">
        <v>0</v>
      </c>
      <c r="AI177">
        <v>0</v>
      </c>
      <c r="AJ177">
        <v>4</v>
      </c>
      <c r="AK177">
        <v>4</v>
      </c>
      <c r="AL177" t="s">
        <v>172</v>
      </c>
      <c r="AM177" t="s">
        <v>173</v>
      </c>
      <c r="AN177" t="s">
        <v>174</v>
      </c>
      <c r="AO177" t="s">
        <v>3839</v>
      </c>
      <c r="AP177" t="s">
        <v>3840</v>
      </c>
      <c r="AQ177" t="s">
        <v>74</v>
      </c>
      <c r="AR177" t="s">
        <v>3841</v>
      </c>
      <c r="AS177" t="s">
        <v>3842</v>
      </c>
      <c r="AT177" t="s">
        <v>3082</v>
      </c>
      <c r="AU177">
        <v>2023</v>
      </c>
      <c r="AV177">
        <v>1056</v>
      </c>
      <c r="AW177" t="s">
        <v>74</v>
      </c>
      <c r="AX177" t="s">
        <v>74</v>
      </c>
      <c r="AY177" t="s">
        <v>74</v>
      </c>
      <c r="AZ177" t="s">
        <v>74</v>
      </c>
      <c r="BA177" t="s">
        <v>74</v>
      </c>
      <c r="BB177" t="s">
        <v>74</v>
      </c>
      <c r="BC177" t="s">
        <v>74</v>
      </c>
      <c r="BD177">
        <v>168567</v>
      </c>
      <c r="BE177" t="s">
        <v>3843</v>
      </c>
      <c r="BF177" t="str">
        <f>HYPERLINK("http://dx.doi.org/10.1016/j.nima.2023.168567","http://dx.doi.org/10.1016/j.nima.2023.168567")</f>
        <v>http://dx.doi.org/10.1016/j.nima.2023.168567</v>
      </c>
      <c r="BG177" t="s">
        <v>74</v>
      </c>
      <c r="BH177" t="s">
        <v>1812</v>
      </c>
      <c r="BI177">
        <v>3</v>
      </c>
      <c r="BJ177" t="s">
        <v>3844</v>
      </c>
      <c r="BK177" t="s">
        <v>104</v>
      </c>
      <c r="BL177" t="s">
        <v>3845</v>
      </c>
      <c r="BM177" t="s">
        <v>3846</v>
      </c>
      <c r="BN177" t="s">
        <v>74</v>
      </c>
      <c r="BO177" t="s">
        <v>74</v>
      </c>
      <c r="BP177" t="s">
        <v>74</v>
      </c>
      <c r="BQ177" t="s">
        <v>74</v>
      </c>
      <c r="BR177" t="s">
        <v>107</v>
      </c>
      <c r="BS177" t="s">
        <v>3847</v>
      </c>
      <c r="BT177" t="str">
        <f>HYPERLINK("https%3A%2F%2Fwww.webofscience.com%2Fwos%2Fwoscc%2Ffull-record%2FWOS:001068238800001","View Full Record in Web of Science")</f>
        <v>View Full Record in Web of Science</v>
      </c>
    </row>
    <row r="178" spans="1:72" x14ac:dyDescent="0.15">
      <c r="A178" t="s">
        <v>72</v>
      </c>
      <c r="B178" t="s">
        <v>3848</v>
      </c>
      <c r="C178" t="s">
        <v>74</v>
      </c>
      <c r="D178" t="s">
        <v>74</v>
      </c>
      <c r="E178" t="s">
        <v>74</v>
      </c>
      <c r="F178" t="s">
        <v>3849</v>
      </c>
      <c r="G178" t="s">
        <v>74</v>
      </c>
      <c r="H178" t="s">
        <v>74</v>
      </c>
      <c r="I178" t="s">
        <v>3850</v>
      </c>
      <c r="J178" t="s">
        <v>3851</v>
      </c>
      <c r="K178" t="s">
        <v>74</v>
      </c>
      <c r="L178" t="s">
        <v>74</v>
      </c>
      <c r="M178" t="s">
        <v>78</v>
      </c>
      <c r="N178" t="s">
        <v>79</v>
      </c>
      <c r="O178" t="s">
        <v>74</v>
      </c>
      <c r="P178" t="s">
        <v>74</v>
      </c>
      <c r="Q178" t="s">
        <v>74</v>
      </c>
      <c r="R178" t="s">
        <v>74</v>
      </c>
      <c r="S178" t="s">
        <v>74</v>
      </c>
      <c r="T178" t="s">
        <v>3852</v>
      </c>
      <c r="U178" t="s">
        <v>3853</v>
      </c>
      <c r="V178" t="s">
        <v>3854</v>
      </c>
      <c r="W178" t="s">
        <v>3855</v>
      </c>
      <c r="X178" t="s">
        <v>3856</v>
      </c>
      <c r="Y178" t="s">
        <v>3857</v>
      </c>
      <c r="Z178" t="s">
        <v>3858</v>
      </c>
      <c r="AA178" t="s">
        <v>3859</v>
      </c>
      <c r="AB178" t="s">
        <v>3860</v>
      </c>
      <c r="AC178" t="s">
        <v>3861</v>
      </c>
      <c r="AD178" t="s">
        <v>3862</v>
      </c>
      <c r="AE178" t="s">
        <v>3863</v>
      </c>
      <c r="AF178" t="s">
        <v>74</v>
      </c>
      <c r="AG178">
        <v>105</v>
      </c>
      <c r="AH178">
        <v>1</v>
      </c>
      <c r="AI178">
        <v>1</v>
      </c>
      <c r="AJ178">
        <v>7</v>
      </c>
      <c r="AK178">
        <v>8</v>
      </c>
      <c r="AL178" t="s">
        <v>172</v>
      </c>
      <c r="AM178" t="s">
        <v>173</v>
      </c>
      <c r="AN178" t="s">
        <v>174</v>
      </c>
      <c r="AO178" t="s">
        <v>3864</v>
      </c>
      <c r="AP178" t="s">
        <v>3865</v>
      </c>
      <c r="AQ178" t="s">
        <v>74</v>
      </c>
      <c r="AR178" t="s">
        <v>3851</v>
      </c>
      <c r="AS178" t="s">
        <v>3866</v>
      </c>
      <c r="AT178" t="s">
        <v>3082</v>
      </c>
      <c r="AU178">
        <v>2023</v>
      </c>
      <c r="AV178">
        <v>232</v>
      </c>
      <c r="AW178" t="s">
        <v>74</v>
      </c>
      <c r="AX178" t="s">
        <v>74</v>
      </c>
      <c r="AY178" t="s">
        <v>74</v>
      </c>
      <c r="AZ178" t="s">
        <v>74</v>
      </c>
      <c r="BA178" t="s">
        <v>74</v>
      </c>
      <c r="BB178" t="s">
        <v>74</v>
      </c>
      <c r="BC178" t="s">
        <v>74</v>
      </c>
      <c r="BD178">
        <v>107427</v>
      </c>
      <c r="BE178" t="s">
        <v>3867</v>
      </c>
      <c r="BF178" t="str">
        <f>HYPERLINK("http://dx.doi.org/10.1016/j.catena.2023.107427","http://dx.doi.org/10.1016/j.catena.2023.107427")</f>
        <v>http://dx.doi.org/10.1016/j.catena.2023.107427</v>
      </c>
      <c r="BG178" t="s">
        <v>74</v>
      </c>
      <c r="BH178" t="s">
        <v>1812</v>
      </c>
      <c r="BI178">
        <v>16</v>
      </c>
      <c r="BJ178" t="s">
        <v>3868</v>
      </c>
      <c r="BK178" t="s">
        <v>104</v>
      </c>
      <c r="BL178" t="s">
        <v>3869</v>
      </c>
      <c r="BM178" t="s">
        <v>3870</v>
      </c>
      <c r="BN178" t="s">
        <v>74</v>
      </c>
      <c r="BO178" t="s">
        <v>74</v>
      </c>
      <c r="BP178" t="s">
        <v>74</v>
      </c>
      <c r="BQ178" t="s">
        <v>74</v>
      </c>
      <c r="BR178" t="s">
        <v>107</v>
      </c>
      <c r="BS178" t="s">
        <v>3871</v>
      </c>
      <c r="BT178" t="str">
        <f>HYPERLINK("https%3A%2F%2Fwww.webofscience.com%2Fwos%2Fwoscc%2Ffull-record%2FWOS:001055698600001","View Full Record in Web of Science")</f>
        <v>View Full Record in Web of Science</v>
      </c>
    </row>
    <row r="179" spans="1:72" x14ac:dyDescent="0.15">
      <c r="A179" t="s">
        <v>72</v>
      </c>
      <c r="B179" t="s">
        <v>3872</v>
      </c>
      <c r="C179" t="s">
        <v>74</v>
      </c>
      <c r="D179" t="s">
        <v>74</v>
      </c>
      <c r="E179" t="s">
        <v>74</v>
      </c>
      <c r="F179" t="s">
        <v>3873</v>
      </c>
      <c r="G179" t="s">
        <v>74</v>
      </c>
      <c r="H179" t="s">
        <v>74</v>
      </c>
      <c r="I179" t="s">
        <v>3874</v>
      </c>
      <c r="J179" t="s">
        <v>983</v>
      </c>
      <c r="K179" t="s">
        <v>74</v>
      </c>
      <c r="L179" t="s">
        <v>74</v>
      </c>
      <c r="M179" t="s">
        <v>78</v>
      </c>
      <c r="N179" t="s">
        <v>79</v>
      </c>
      <c r="O179" t="s">
        <v>74</v>
      </c>
      <c r="P179" t="s">
        <v>74</v>
      </c>
      <c r="Q179" t="s">
        <v>74</v>
      </c>
      <c r="R179" t="s">
        <v>74</v>
      </c>
      <c r="S179" t="s">
        <v>74</v>
      </c>
      <c r="T179" t="s">
        <v>3875</v>
      </c>
      <c r="U179" t="s">
        <v>3876</v>
      </c>
      <c r="V179" t="s">
        <v>3877</v>
      </c>
      <c r="W179" t="s">
        <v>3878</v>
      </c>
      <c r="X179" t="s">
        <v>74</v>
      </c>
      <c r="Y179" t="s">
        <v>3879</v>
      </c>
      <c r="Z179" t="s">
        <v>3880</v>
      </c>
      <c r="AA179" t="s">
        <v>74</v>
      </c>
      <c r="AB179" t="s">
        <v>3881</v>
      </c>
      <c r="AC179" t="s">
        <v>3882</v>
      </c>
      <c r="AD179" t="s">
        <v>3883</v>
      </c>
      <c r="AE179" t="s">
        <v>3884</v>
      </c>
      <c r="AF179" t="s">
        <v>74</v>
      </c>
      <c r="AG179">
        <v>78</v>
      </c>
      <c r="AH179">
        <v>1</v>
      </c>
      <c r="AI179">
        <v>1</v>
      </c>
      <c r="AJ179">
        <v>2</v>
      </c>
      <c r="AK179">
        <v>5</v>
      </c>
      <c r="AL179" t="s">
        <v>994</v>
      </c>
      <c r="AM179" t="s">
        <v>995</v>
      </c>
      <c r="AN179" t="s">
        <v>996</v>
      </c>
      <c r="AO179" t="s">
        <v>74</v>
      </c>
      <c r="AP179" t="s">
        <v>997</v>
      </c>
      <c r="AQ179" t="s">
        <v>74</v>
      </c>
      <c r="AR179" t="s">
        <v>998</v>
      </c>
      <c r="AS179" t="s">
        <v>999</v>
      </c>
      <c r="AT179" t="s">
        <v>3885</v>
      </c>
      <c r="AU179">
        <v>2023</v>
      </c>
      <c r="AV179">
        <v>10</v>
      </c>
      <c r="AW179" t="s">
        <v>74</v>
      </c>
      <c r="AX179" t="s">
        <v>74</v>
      </c>
      <c r="AY179" t="s">
        <v>74</v>
      </c>
      <c r="AZ179" t="s">
        <v>74</v>
      </c>
      <c r="BA179" t="s">
        <v>74</v>
      </c>
      <c r="BB179" t="s">
        <v>74</v>
      </c>
      <c r="BC179" t="s">
        <v>74</v>
      </c>
      <c r="BD179">
        <v>1202533</v>
      </c>
      <c r="BE179" t="s">
        <v>3886</v>
      </c>
      <c r="BF179" t="str">
        <f>HYPERLINK("http://dx.doi.org/10.3389/fmars.2023.1202533","http://dx.doi.org/10.3389/fmars.2023.1202533")</f>
        <v>http://dx.doi.org/10.3389/fmars.2023.1202533</v>
      </c>
      <c r="BG179" t="s">
        <v>74</v>
      </c>
      <c r="BH179" t="s">
        <v>74</v>
      </c>
      <c r="BI179">
        <v>12</v>
      </c>
      <c r="BJ179" t="s">
        <v>1001</v>
      </c>
      <c r="BK179" t="s">
        <v>104</v>
      </c>
      <c r="BL179" t="s">
        <v>1002</v>
      </c>
      <c r="BM179" t="s">
        <v>3887</v>
      </c>
      <c r="BN179" t="s">
        <v>74</v>
      </c>
      <c r="BO179" t="s">
        <v>206</v>
      </c>
      <c r="BP179" t="s">
        <v>74</v>
      </c>
      <c r="BQ179" t="s">
        <v>74</v>
      </c>
      <c r="BR179" t="s">
        <v>107</v>
      </c>
      <c r="BS179" t="s">
        <v>3888</v>
      </c>
      <c r="BT179" t="str">
        <f>HYPERLINK("https%3A%2F%2Fwww.webofscience.com%2Fwos%2Fwoscc%2Ffull-record%2FWOS:001054366700001","View Full Record in Web of Science")</f>
        <v>View Full Record in Web of Science</v>
      </c>
    </row>
    <row r="180" spans="1:72" x14ac:dyDescent="0.15">
      <c r="A180" t="s">
        <v>72</v>
      </c>
      <c r="B180" t="s">
        <v>3889</v>
      </c>
      <c r="C180" t="s">
        <v>74</v>
      </c>
      <c r="D180" t="s">
        <v>74</v>
      </c>
      <c r="E180" t="s">
        <v>74</v>
      </c>
      <c r="F180" t="s">
        <v>3890</v>
      </c>
      <c r="G180" t="s">
        <v>74</v>
      </c>
      <c r="H180" t="s">
        <v>74</v>
      </c>
      <c r="I180" t="s">
        <v>3891</v>
      </c>
      <c r="J180" t="s">
        <v>2056</v>
      </c>
      <c r="K180" t="s">
        <v>74</v>
      </c>
      <c r="L180" t="s">
        <v>74</v>
      </c>
      <c r="M180" t="s">
        <v>78</v>
      </c>
      <c r="N180" t="s">
        <v>79</v>
      </c>
      <c r="O180" t="s">
        <v>74</v>
      </c>
      <c r="P180" t="s">
        <v>74</v>
      </c>
      <c r="Q180" t="s">
        <v>74</v>
      </c>
      <c r="R180" t="s">
        <v>74</v>
      </c>
      <c r="S180" t="s">
        <v>74</v>
      </c>
      <c r="T180" t="s">
        <v>74</v>
      </c>
      <c r="U180" t="s">
        <v>3892</v>
      </c>
      <c r="V180" t="s">
        <v>3893</v>
      </c>
      <c r="W180" t="s">
        <v>3894</v>
      </c>
      <c r="X180" t="s">
        <v>3895</v>
      </c>
      <c r="Y180" t="s">
        <v>3896</v>
      </c>
      <c r="Z180" t="s">
        <v>3897</v>
      </c>
      <c r="AA180" t="s">
        <v>3898</v>
      </c>
      <c r="AB180" t="s">
        <v>3899</v>
      </c>
      <c r="AC180" t="s">
        <v>3900</v>
      </c>
      <c r="AD180" t="s">
        <v>3901</v>
      </c>
      <c r="AE180" t="s">
        <v>3902</v>
      </c>
      <c r="AF180" t="s">
        <v>74</v>
      </c>
      <c r="AG180">
        <v>91</v>
      </c>
      <c r="AH180">
        <v>0</v>
      </c>
      <c r="AI180">
        <v>0</v>
      </c>
      <c r="AJ180">
        <v>4</v>
      </c>
      <c r="AK180">
        <v>12</v>
      </c>
      <c r="AL180" t="s">
        <v>2068</v>
      </c>
      <c r="AM180" t="s">
        <v>2069</v>
      </c>
      <c r="AN180" t="s">
        <v>2070</v>
      </c>
      <c r="AO180" t="s">
        <v>2071</v>
      </c>
      <c r="AP180" t="s">
        <v>74</v>
      </c>
      <c r="AQ180" t="s">
        <v>74</v>
      </c>
      <c r="AR180" t="s">
        <v>2056</v>
      </c>
      <c r="AS180" t="s">
        <v>2072</v>
      </c>
      <c r="AT180" t="s">
        <v>3885</v>
      </c>
      <c r="AU180">
        <v>2023</v>
      </c>
      <c r="AV180">
        <v>18</v>
      </c>
      <c r="AW180">
        <v>8</v>
      </c>
      <c r="AX180" t="s">
        <v>74</v>
      </c>
      <c r="AY180" t="s">
        <v>74</v>
      </c>
      <c r="AZ180" t="s">
        <v>74</v>
      </c>
      <c r="BA180" t="s">
        <v>74</v>
      </c>
      <c r="BB180" t="s">
        <v>74</v>
      </c>
      <c r="BC180" t="s">
        <v>74</v>
      </c>
      <c r="BD180" t="s">
        <v>3903</v>
      </c>
      <c r="BE180" t="s">
        <v>3904</v>
      </c>
      <c r="BF180" t="str">
        <f>HYPERLINK("http://dx.doi.org/10.1371/journal.pone.0284640","http://dx.doi.org/10.1371/journal.pone.0284640")</f>
        <v>http://dx.doi.org/10.1371/journal.pone.0284640</v>
      </c>
      <c r="BG180" t="s">
        <v>74</v>
      </c>
      <c r="BH180" t="s">
        <v>74</v>
      </c>
      <c r="BI180">
        <v>16</v>
      </c>
      <c r="BJ180" t="s">
        <v>1881</v>
      </c>
      <c r="BK180" t="s">
        <v>104</v>
      </c>
      <c r="BL180" t="s">
        <v>1882</v>
      </c>
      <c r="BM180" t="s">
        <v>3905</v>
      </c>
      <c r="BN180">
        <v>37566609</v>
      </c>
      <c r="BO180" t="s">
        <v>3906</v>
      </c>
      <c r="BP180" t="s">
        <v>74</v>
      </c>
      <c r="BQ180" t="s">
        <v>74</v>
      </c>
      <c r="BR180" t="s">
        <v>107</v>
      </c>
      <c r="BS180" t="s">
        <v>3907</v>
      </c>
      <c r="BT180" t="str">
        <f>HYPERLINK("https%3A%2F%2Fwww.webofscience.com%2Fwos%2Fwoscc%2Ffull-record%2FWOS:001051705700007","View Full Record in Web of Science")</f>
        <v>View Full Record in Web of Science</v>
      </c>
    </row>
    <row r="181" spans="1:72" x14ac:dyDescent="0.15">
      <c r="A181" t="s">
        <v>72</v>
      </c>
      <c r="B181" t="s">
        <v>3908</v>
      </c>
      <c r="C181" t="s">
        <v>74</v>
      </c>
      <c r="D181" t="s">
        <v>74</v>
      </c>
      <c r="E181" t="s">
        <v>74</v>
      </c>
      <c r="F181" t="s">
        <v>3909</v>
      </c>
      <c r="G181" t="s">
        <v>74</v>
      </c>
      <c r="H181" t="s">
        <v>74</v>
      </c>
      <c r="I181" t="s">
        <v>3910</v>
      </c>
      <c r="J181" t="s">
        <v>3911</v>
      </c>
      <c r="K181" t="s">
        <v>74</v>
      </c>
      <c r="L181" t="s">
        <v>74</v>
      </c>
      <c r="M181" t="s">
        <v>78</v>
      </c>
      <c r="N181" t="s">
        <v>79</v>
      </c>
      <c r="O181" t="s">
        <v>74</v>
      </c>
      <c r="P181" t="s">
        <v>74</v>
      </c>
      <c r="Q181" t="s">
        <v>74</v>
      </c>
      <c r="R181" t="s">
        <v>74</v>
      </c>
      <c r="S181" t="s">
        <v>74</v>
      </c>
      <c r="T181" t="s">
        <v>3912</v>
      </c>
      <c r="U181" t="s">
        <v>3913</v>
      </c>
      <c r="V181" t="s">
        <v>3914</v>
      </c>
      <c r="W181" t="s">
        <v>3915</v>
      </c>
      <c r="X181" t="s">
        <v>3916</v>
      </c>
      <c r="Y181" t="s">
        <v>3917</v>
      </c>
      <c r="Z181" t="s">
        <v>3918</v>
      </c>
      <c r="AA181" t="s">
        <v>3919</v>
      </c>
      <c r="AB181" t="s">
        <v>3920</v>
      </c>
      <c r="AC181" t="s">
        <v>3921</v>
      </c>
      <c r="AD181" t="s">
        <v>3922</v>
      </c>
      <c r="AE181" t="s">
        <v>3923</v>
      </c>
      <c r="AF181" t="s">
        <v>74</v>
      </c>
      <c r="AG181">
        <v>81</v>
      </c>
      <c r="AH181">
        <v>1</v>
      </c>
      <c r="AI181">
        <v>1</v>
      </c>
      <c r="AJ181">
        <v>1</v>
      </c>
      <c r="AK181">
        <v>2</v>
      </c>
      <c r="AL181" t="s">
        <v>2762</v>
      </c>
      <c r="AM181" t="s">
        <v>2763</v>
      </c>
      <c r="AN181" t="s">
        <v>2764</v>
      </c>
      <c r="AO181" t="s">
        <v>3924</v>
      </c>
      <c r="AP181" t="s">
        <v>3925</v>
      </c>
      <c r="AQ181" t="s">
        <v>74</v>
      </c>
      <c r="AR181" t="s">
        <v>3926</v>
      </c>
      <c r="AS181" t="s">
        <v>3927</v>
      </c>
      <c r="AT181" t="s">
        <v>3928</v>
      </c>
      <c r="AU181">
        <v>2023</v>
      </c>
      <c r="AV181">
        <v>31</v>
      </c>
      <c r="AW181">
        <v>4</v>
      </c>
      <c r="AX181" t="s">
        <v>74</v>
      </c>
      <c r="AY181" t="s">
        <v>74</v>
      </c>
      <c r="AZ181" t="s">
        <v>74</v>
      </c>
      <c r="BA181" t="s">
        <v>74</v>
      </c>
      <c r="BB181">
        <v>377</v>
      </c>
      <c r="BC181">
        <v>399</v>
      </c>
      <c r="BD181" t="s">
        <v>74</v>
      </c>
      <c r="BE181" t="s">
        <v>3929</v>
      </c>
      <c r="BF181" t="str">
        <f>HYPERLINK("http://dx.doi.org/10.1080/0967828X.2023.2243584","http://dx.doi.org/10.1080/0967828X.2023.2243584")</f>
        <v>http://dx.doi.org/10.1080/0967828X.2023.2243584</v>
      </c>
      <c r="BG181" t="s">
        <v>74</v>
      </c>
      <c r="BH181" t="s">
        <v>1812</v>
      </c>
      <c r="BI181">
        <v>23</v>
      </c>
      <c r="BJ181" t="s">
        <v>3930</v>
      </c>
      <c r="BK181" t="s">
        <v>3931</v>
      </c>
      <c r="BL181" t="s">
        <v>3930</v>
      </c>
      <c r="BM181" t="s">
        <v>3932</v>
      </c>
      <c r="BN181" t="s">
        <v>74</v>
      </c>
      <c r="BO181" t="s">
        <v>74</v>
      </c>
      <c r="BP181" t="s">
        <v>74</v>
      </c>
      <c r="BQ181" t="s">
        <v>74</v>
      </c>
      <c r="BR181" t="s">
        <v>107</v>
      </c>
      <c r="BS181" t="s">
        <v>3933</v>
      </c>
      <c r="BT181" t="str">
        <f>HYPERLINK("https%3A%2F%2Fwww.webofscience.com%2Fwos%2Fwoscc%2Ffull-record%2FWOS:001052382300001","View Full Record in Web of Science")</f>
        <v>View Full Record in Web of Science</v>
      </c>
    </row>
    <row r="182" spans="1:72" x14ac:dyDescent="0.15">
      <c r="A182" t="s">
        <v>72</v>
      </c>
      <c r="B182" t="s">
        <v>3934</v>
      </c>
      <c r="C182" t="s">
        <v>74</v>
      </c>
      <c r="D182" t="s">
        <v>74</v>
      </c>
      <c r="E182" t="s">
        <v>74</v>
      </c>
      <c r="F182" t="s">
        <v>3935</v>
      </c>
      <c r="G182" t="s">
        <v>74</v>
      </c>
      <c r="H182" t="s">
        <v>74</v>
      </c>
      <c r="I182" t="s">
        <v>3936</v>
      </c>
      <c r="J182" t="s">
        <v>3756</v>
      </c>
      <c r="K182" t="s">
        <v>74</v>
      </c>
      <c r="L182" t="s">
        <v>74</v>
      </c>
      <c r="M182" t="s">
        <v>78</v>
      </c>
      <c r="N182" t="s">
        <v>79</v>
      </c>
      <c r="O182" t="s">
        <v>74</v>
      </c>
      <c r="P182" t="s">
        <v>74</v>
      </c>
      <c r="Q182" t="s">
        <v>74</v>
      </c>
      <c r="R182" t="s">
        <v>74</v>
      </c>
      <c r="S182" t="s">
        <v>74</v>
      </c>
      <c r="T182" t="s">
        <v>3937</v>
      </c>
      <c r="U182" t="s">
        <v>3938</v>
      </c>
      <c r="V182" t="s">
        <v>3939</v>
      </c>
      <c r="W182" t="s">
        <v>3940</v>
      </c>
      <c r="X182" t="s">
        <v>3941</v>
      </c>
      <c r="Y182" t="s">
        <v>3942</v>
      </c>
      <c r="Z182" t="s">
        <v>3943</v>
      </c>
      <c r="AA182" t="s">
        <v>3944</v>
      </c>
      <c r="AB182" t="s">
        <v>3945</v>
      </c>
      <c r="AC182" t="s">
        <v>74</v>
      </c>
      <c r="AD182" t="s">
        <v>74</v>
      </c>
      <c r="AE182" t="s">
        <v>74</v>
      </c>
      <c r="AF182" t="s">
        <v>74</v>
      </c>
      <c r="AG182">
        <v>95</v>
      </c>
      <c r="AH182">
        <v>4</v>
      </c>
      <c r="AI182">
        <v>4</v>
      </c>
      <c r="AJ182">
        <v>8</v>
      </c>
      <c r="AK182">
        <v>15</v>
      </c>
      <c r="AL182" t="s">
        <v>298</v>
      </c>
      <c r="AM182" t="s">
        <v>299</v>
      </c>
      <c r="AN182" t="s">
        <v>300</v>
      </c>
      <c r="AO182" t="s">
        <v>3767</v>
      </c>
      <c r="AP182" t="s">
        <v>3768</v>
      </c>
      <c r="AQ182" t="s">
        <v>74</v>
      </c>
      <c r="AR182" t="s">
        <v>3769</v>
      </c>
      <c r="AS182" t="s">
        <v>3770</v>
      </c>
      <c r="AT182" t="s">
        <v>1810</v>
      </c>
      <c r="AU182">
        <v>2023</v>
      </c>
      <c r="AV182">
        <v>46</v>
      </c>
      <c r="AW182">
        <v>10</v>
      </c>
      <c r="AX182" t="s">
        <v>74</v>
      </c>
      <c r="AY182" t="s">
        <v>74</v>
      </c>
      <c r="AZ182" t="s">
        <v>74</v>
      </c>
      <c r="BA182" t="s">
        <v>74</v>
      </c>
      <c r="BB182">
        <v>1011</v>
      </c>
      <c r="BC182">
        <v>1027</v>
      </c>
      <c r="BD182" t="s">
        <v>74</v>
      </c>
      <c r="BE182" t="s">
        <v>3946</v>
      </c>
      <c r="BF182" t="str">
        <f>HYPERLINK("http://dx.doi.org/10.1007/s00300-023-03170-4","http://dx.doi.org/10.1007/s00300-023-03170-4")</f>
        <v>http://dx.doi.org/10.1007/s00300-023-03170-4</v>
      </c>
      <c r="BG182" t="s">
        <v>74</v>
      </c>
      <c r="BH182" t="s">
        <v>1812</v>
      </c>
      <c r="BI182">
        <v>17</v>
      </c>
      <c r="BJ182" t="s">
        <v>3772</v>
      </c>
      <c r="BK182" t="s">
        <v>104</v>
      </c>
      <c r="BL182" t="s">
        <v>1905</v>
      </c>
      <c r="BM182" t="s">
        <v>3773</v>
      </c>
      <c r="BN182" t="s">
        <v>74</v>
      </c>
      <c r="BO182" t="s">
        <v>2670</v>
      </c>
      <c r="BP182" t="s">
        <v>74</v>
      </c>
      <c r="BQ182" t="s">
        <v>74</v>
      </c>
      <c r="BR182" t="s">
        <v>107</v>
      </c>
      <c r="BS182" t="s">
        <v>3947</v>
      </c>
      <c r="BT182" t="str">
        <f>HYPERLINK("https%3A%2F%2Fwww.webofscience.com%2Fwos%2Fwoscc%2Ffull-record%2FWOS:001046604600002","View Full Record in Web of Science")</f>
        <v>View Full Record in Web of Science</v>
      </c>
    </row>
    <row r="183" spans="1:72" x14ac:dyDescent="0.15">
      <c r="A183" t="s">
        <v>72</v>
      </c>
      <c r="B183" t="s">
        <v>3948</v>
      </c>
      <c r="C183" t="s">
        <v>74</v>
      </c>
      <c r="D183" t="s">
        <v>74</v>
      </c>
      <c r="E183" t="s">
        <v>74</v>
      </c>
      <c r="F183" t="s">
        <v>3949</v>
      </c>
      <c r="G183" t="s">
        <v>74</v>
      </c>
      <c r="H183" t="s">
        <v>74</v>
      </c>
      <c r="I183" t="s">
        <v>3950</v>
      </c>
      <c r="J183" t="s">
        <v>3756</v>
      </c>
      <c r="K183" t="s">
        <v>74</v>
      </c>
      <c r="L183" t="s">
        <v>74</v>
      </c>
      <c r="M183" t="s">
        <v>78</v>
      </c>
      <c r="N183" t="s">
        <v>79</v>
      </c>
      <c r="O183" t="s">
        <v>74</v>
      </c>
      <c r="P183" t="s">
        <v>74</v>
      </c>
      <c r="Q183" t="s">
        <v>74</v>
      </c>
      <c r="R183" t="s">
        <v>74</v>
      </c>
      <c r="S183" t="s">
        <v>74</v>
      </c>
      <c r="T183" t="s">
        <v>3951</v>
      </c>
      <c r="U183" t="s">
        <v>3952</v>
      </c>
      <c r="V183" t="s">
        <v>3953</v>
      </c>
      <c r="W183" t="s">
        <v>3954</v>
      </c>
      <c r="X183" t="s">
        <v>3955</v>
      </c>
      <c r="Y183" t="s">
        <v>3956</v>
      </c>
      <c r="Z183" t="s">
        <v>3957</v>
      </c>
      <c r="AA183" t="s">
        <v>3958</v>
      </c>
      <c r="AB183" t="s">
        <v>3959</v>
      </c>
      <c r="AC183" t="s">
        <v>3960</v>
      </c>
      <c r="AD183" t="s">
        <v>3961</v>
      </c>
      <c r="AE183" t="s">
        <v>3962</v>
      </c>
      <c r="AF183" t="s">
        <v>74</v>
      </c>
      <c r="AG183">
        <v>73</v>
      </c>
      <c r="AH183">
        <v>2</v>
      </c>
      <c r="AI183">
        <v>2</v>
      </c>
      <c r="AJ183">
        <v>2</v>
      </c>
      <c r="AK183">
        <v>2</v>
      </c>
      <c r="AL183" t="s">
        <v>298</v>
      </c>
      <c r="AM183" t="s">
        <v>299</v>
      </c>
      <c r="AN183" t="s">
        <v>300</v>
      </c>
      <c r="AO183" t="s">
        <v>3767</v>
      </c>
      <c r="AP183" t="s">
        <v>3768</v>
      </c>
      <c r="AQ183" t="s">
        <v>74</v>
      </c>
      <c r="AR183" t="s">
        <v>3769</v>
      </c>
      <c r="AS183" t="s">
        <v>3770</v>
      </c>
      <c r="AT183" t="s">
        <v>1810</v>
      </c>
      <c r="AU183">
        <v>2023</v>
      </c>
      <c r="AV183">
        <v>46</v>
      </c>
      <c r="AW183">
        <v>10</v>
      </c>
      <c r="AX183" t="s">
        <v>74</v>
      </c>
      <c r="AY183" t="s">
        <v>74</v>
      </c>
      <c r="AZ183" t="s">
        <v>74</v>
      </c>
      <c r="BA183" t="s">
        <v>74</v>
      </c>
      <c r="BB183">
        <v>1069</v>
      </c>
      <c r="BC183">
        <v>1082</v>
      </c>
      <c r="BD183" t="s">
        <v>74</v>
      </c>
      <c r="BE183" t="s">
        <v>3963</v>
      </c>
      <c r="BF183" t="str">
        <f>HYPERLINK("http://dx.doi.org/10.1007/s00300-023-03184-y","http://dx.doi.org/10.1007/s00300-023-03184-y")</f>
        <v>http://dx.doi.org/10.1007/s00300-023-03184-y</v>
      </c>
      <c r="BG183" t="s">
        <v>74</v>
      </c>
      <c r="BH183" t="s">
        <v>1812</v>
      </c>
      <c r="BI183">
        <v>14</v>
      </c>
      <c r="BJ183" t="s">
        <v>3772</v>
      </c>
      <c r="BK183" t="s">
        <v>104</v>
      </c>
      <c r="BL183" t="s">
        <v>1905</v>
      </c>
      <c r="BM183" t="s">
        <v>3964</v>
      </c>
      <c r="BN183" t="s">
        <v>74</v>
      </c>
      <c r="BO183" t="s">
        <v>1128</v>
      </c>
      <c r="BP183" t="s">
        <v>74</v>
      </c>
      <c r="BQ183" t="s">
        <v>74</v>
      </c>
      <c r="BR183" t="s">
        <v>107</v>
      </c>
      <c r="BS183" t="s">
        <v>3965</v>
      </c>
      <c r="BT183" t="str">
        <f>HYPERLINK("https%3A%2F%2Fwww.webofscience.com%2Fwos%2Fwoscc%2Ffull-record%2FWOS:001046604600001","View Full Record in Web of Science")</f>
        <v>View Full Record in Web of Science</v>
      </c>
    </row>
    <row r="184" spans="1:72" x14ac:dyDescent="0.15">
      <c r="A184" t="s">
        <v>72</v>
      </c>
      <c r="B184" t="s">
        <v>3966</v>
      </c>
      <c r="C184" t="s">
        <v>74</v>
      </c>
      <c r="D184" t="s">
        <v>74</v>
      </c>
      <c r="E184" t="s">
        <v>74</v>
      </c>
      <c r="F184" t="s">
        <v>3967</v>
      </c>
      <c r="G184" t="s">
        <v>74</v>
      </c>
      <c r="H184" t="s">
        <v>74</v>
      </c>
      <c r="I184" t="s">
        <v>3968</v>
      </c>
      <c r="J184" t="s">
        <v>3969</v>
      </c>
      <c r="K184" t="s">
        <v>74</v>
      </c>
      <c r="L184" t="s">
        <v>74</v>
      </c>
      <c r="M184" t="s">
        <v>78</v>
      </c>
      <c r="N184" t="s">
        <v>79</v>
      </c>
      <c r="O184" t="s">
        <v>74</v>
      </c>
      <c r="P184" t="s">
        <v>74</v>
      </c>
      <c r="Q184" t="s">
        <v>74</v>
      </c>
      <c r="R184" t="s">
        <v>74</v>
      </c>
      <c r="S184" t="s">
        <v>74</v>
      </c>
      <c r="T184" t="s">
        <v>74</v>
      </c>
      <c r="U184" t="s">
        <v>3970</v>
      </c>
      <c r="V184" t="s">
        <v>3971</v>
      </c>
      <c r="W184" t="s">
        <v>3972</v>
      </c>
      <c r="X184" t="s">
        <v>3973</v>
      </c>
      <c r="Y184" t="s">
        <v>3974</v>
      </c>
      <c r="Z184" t="s">
        <v>3975</v>
      </c>
      <c r="AA184" t="s">
        <v>74</v>
      </c>
      <c r="AB184" t="s">
        <v>3976</v>
      </c>
      <c r="AC184" t="s">
        <v>3977</v>
      </c>
      <c r="AD184" t="s">
        <v>3978</v>
      </c>
      <c r="AE184" t="s">
        <v>3979</v>
      </c>
      <c r="AF184" t="s">
        <v>74</v>
      </c>
      <c r="AG184">
        <v>134</v>
      </c>
      <c r="AH184">
        <v>6</v>
      </c>
      <c r="AI184">
        <v>6</v>
      </c>
      <c r="AJ184">
        <v>4</v>
      </c>
      <c r="AK184">
        <v>4</v>
      </c>
      <c r="AL184" t="s">
        <v>1775</v>
      </c>
      <c r="AM184" t="s">
        <v>1776</v>
      </c>
      <c r="AN184" t="s">
        <v>1777</v>
      </c>
      <c r="AO184" t="s">
        <v>3980</v>
      </c>
      <c r="AP184" t="s">
        <v>3981</v>
      </c>
      <c r="AQ184" t="s">
        <v>74</v>
      </c>
      <c r="AR184" t="s">
        <v>3982</v>
      </c>
      <c r="AS184" t="s">
        <v>3983</v>
      </c>
      <c r="AT184" t="s">
        <v>3885</v>
      </c>
      <c r="AU184">
        <v>2023</v>
      </c>
      <c r="AV184">
        <v>16</v>
      </c>
      <c r="AW184">
        <v>15</v>
      </c>
      <c r="AX184" t="s">
        <v>74</v>
      </c>
      <c r="AY184" t="s">
        <v>74</v>
      </c>
      <c r="AZ184" t="s">
        <v>74</v>
      </c>
      <c r="BA184" t="s">
        <v>74</v>
      </c>
      <c r="BB184">
        <v>3739</v>
      </c>
      <c r="BC184">
        <v>3765</v>
      </c>
      <c r="BD184" t="s">
        <v>74</v>
      </c>
      <c r="BE184" t="s">
        <v>3984</v>
      </c>
      <c r="BF184" t="str">
        <f>HYPERLINK("http://dx.doi.org/10.5194/amt-16-3739-2023","http://dx.doi.org/10.5194/amt-16-3739-2023")</f>
        <v>http://dx.doi.org/10.5194/amt-16-3739-2023</v>
      </c>
      <c r="BG184" t="s">
        <v>74</v>
      </c>
      <c r="BH184" t="s">
        <v>74</v>
      </c>
      <c r="BI184">
        <v>27</v>
      </c>
      <c r="BJ184" t="s">
        <v>103</v>
      </c>
      <c r="BK184" t="s">
        <v>104</v>
      </c>
      <c r="BL184" t="s">
        <v>103</v>
      </c>
      <c r="BM184" t="s">
        <v>3985</v>
      </c>
      <c r="BN184" t="s">
        <v>74</v>
      </c>
      <c r="BO184" t="s">
        <v>771</v>
      </c>
      <c r="BP184" t="s">
        <v>74</v>
      </c>
      <c r="BQ184" t="s">
        <v>74</v>
      </c>
      <c r="BR184" t="s">
        <v>107</v>
      </c>
      <c r="BS184" t="s">
        <v>3986</v>
      </c>
      <c r="BT184" t="str">
        <f>HYPERLINK("https%3A%2F%2Fwww.webofscience.com%2Fwos%2Fwoscc%2Ffull-record%2FWOS:001046429300001","View Full Record in Web of Science")</f>
        <v>View Full Record in Web of Science</v>
      </c>
    </row>
    <row r="185" spans="1:72" x14ac:dyDescent="0.15">
      <c r="A185" t="s">
        <v>72</v>
      </c>
      <c r="B185" t="s">
        <v>3987</v>
      </c>
      <c r="C185" t="s">
        <v>74</v>
      </c>
      <c r="D185" t="s">
        <v>74</v>
      </c>
      <c r="E185" t="s">
        <v>74</v>
      </c>
      <c r="F185" t="s">
        <v>3988</v>
      </c>
      <c r="G185" t="s">
        <v>74</v>
      </c>
      <c r="H185" t="s">
        <v>74</v>
      </c>
      <c r="I185" t="s">
        <v>3989</v>
      </c>
      <c r="J185" t="s">
        <v>3990</v>
      </c>
      <c r="K185" t="s">
        <v>74</v>
      </c>
      <c r="L185" t="s">
        <v>74</v>
      </c>
      <c r="M185" t="s">
        <v>78</v>
      </c>
      <c r="N185" t="s">
        <v>79</v>
      </c>
      <c r="O185" t="s">
        <v>74</v>
      </c>
      <c r="P185" t="s">
        <v>74</v>
      </c>
      <c r="Q185" t="s">
        <v>74</v>
      </c>
      <c r="R185" t="s">
        <v>74</v>
      </c>
      <c r="S185" t="s">
        <v>74</v>
      </c>
      <c r="T185" t="s">
        <v>74</v>
      </c>
      <c r="U185" t="s">
        <v>3991</v>
      </c>
      <c r="V185" t="s">
        <v>3992</v>
      </c>
      <c r="W185" t="s">
        <v>3993</v>
      </c>
      <c r="X185" t="s">
        <v>3994</v>
      </c>
      <c r="Y185" t="s">
        <v>3995</v>
      </c>
      <c r="Z185" t="s">
        <v>3996</v>
      </c>
      <c r="AA185" t="s">
        <v>74</v>
      </c>
      <c r="AB185" t="s">
        <v>74</v>
      </c>
      <c r="AC185" t="s">
        <v>74</v>
      </c>
      <c r="AD185" t="s">
        <v>74</v>
      </c>
      <c r="AE185" t="s">
        <v>74</v>
      </c>
      <c r="AF185" t="s">
        <v>74</v>
      </c>
      <c r="AG185">
        <v>167</v>
      </c>
      <c r="AH185">
        <v>0</v>
      </c>
      <c r="AI185">
        <v>0</v>
      </c>
      <c r="AJ185">
        <v>2</v>
      </c>
      <c r="AK185">
        <v>2</v>
      </c>
      <c r="AL185" t="s">
        <v>408</v>
      </c>
      <c r="AM185" t="s">
        <v>409</v>
      </c>
      <c r="AN185" t="s">
        <v>410</v>
      </c>
      <c r="AO185" t="s">
        <v>3997</v>
      </c>
      <c r="AP185" t="s">
        <v>74</v>
      </c>
      <c r="AQ185" t="s">
        <v>74</v>
      </c>
      <c r="AR185" t="s">
        <v>3990</v>
      </c>
      <c r="AS185" t="s">
        <v>3998</v>
      </c>
      <c r="AT185" t="s">
        <v>1810</v>
      </c>
      <c r="AU185">
        <v>2023</v>
      </c>
      <c r="AV185">
        <v>19</v>
      </c>
      <c r="AW185">
        <v>5</v>
      </c>
      <c r="AX185" t="s">
        <v>74</v>
      </c>
      <c r="AY185" t="s">
        <v>74</v>
      </c>
      <c r="AZ185" t="s">
        <v>74</v>
      </c>
      <c r="BA185" t="s">
        <v>74</v>
      </c>
      <c r="BB185">
        <v>1300</v>
      </c>
      <c r="BC185">
        <v>1317</v>
      </c>
      <c r="BD185" t="s">
        <v>74</v>
      </c>
      <c r="BE185" t="s">
        <v>3999</v>
      </c>
      <c r="BF185" t="str">
        <f>HYPERLINK("http://dx.doi.org/10.1130/GES02597.1","http://dx.doi.org/10.1130/GES02597.1")</f>
        <v>http://dx.doi.org/10.1130/GES02597.1</v>
      </c>
      <c r="BG185" t="s">
        <v>74</v>
      </c>
      <c r="BH185" t="s">
        <v>1812</v>
      </c>
      <c r="BI185">
        <v>18</v>
      </c>
      <c r="BJ185" t="s">
        <v>155</v>
      </c>
      <c r="BK185" t="s">
        <v>104</v>
      </c>
      <c r="BL185" t="s">
        <v>156</v>
      </c>
      <c r="BM185" t="s">
        <v>4000</v>
      </c>
      <c r="BN185" t="s">
        <v>74</v>
      </c>
      <c r="BO185" t="s">
        <v>206</v>
      </c>
      <c r="BP185" t="s">
        <v>74</v>
      </c>
      <c r="BQ185" t="s">
        <v>74</v>
      </c>
      <c r="BR185" t="s">
        <v>107</v>
      </c>
      <c r="BS185" t="s">
        <v>4001</v>
      </c>
      <c r="BT185" t="str">
        <f>HYPERLINK("https%3A%2F%2Fwww.webofscience.com%2Fwos%2Fwoscc%2Ffull-record%2FWOS:001050587100001","View Full Record in Web of Science")</f>
        <v>View Full Record in Web of Science</v>
      </c>
    </row>
    <row r="186" spans="1:72" x14ac:dyDescent="0.15">
      <c r="A186" t="s">
        <v>72</v>
      </c>
      <c r="B186" t="s">
        <v>4002</v>
      </c>
      <c r="C186" t="s">
        <v>74</v>
      </c>
      <c r="D186" t="s">
        <v>74</v>
      </c>
      <c r="E186" t="s">
        <v>74</v>
      </c>
      <c r="F186" t="s">
        <v>4003</v>
      </c>
      <c r="G186" t="s">
        <v>74</v>
      </c>
      <c r="H186" t="s">
        <v>74</v>
      </c>
      <c r="I186" t="s">
        <v>4004</v>
      </c>
      <c r="J186" t="s">
        <v>4005</v>
      </c>
      <c r="K186" t="s">
        <v>74</v>
      </c>
      <c r="L186" t="s">
        <v>74</v>
      </c>
      <c r="M186" t="s">
        <v>78</v>
      </c>
      <c r="N186" t="s">
        <v>79</v>
      </c>
      <c r="O186" t="s">
        <v>74</v>
      </c>
      <c r="P186" t="s">
        <v>74</v>
      </c>
      <c r="Q186" t="s">
        <v>74</v>
      </c>
      <c r="R186" t="s">
        <v>74</v>
      </c>
      <c r="S186" t="s">
        <v>74</v>
      </c>
      <c r="T186" t="s">
        <v>4006</v>
      </c>
      <c r="U186" t="s">
        <v>4007</v>
      </c>
      <c r="V186" t="s">
        <v>4008</v>
      </c>
      <c r="W186" t="s">
        <v>4009</v>
      </c>
      <c r="X186" t="s">
        <v>4010</v>
      </c>
      <c r="Y186" t="s">
        <v>4011</v>
      </c>
      <c r="Z186" t="s">
        <v>4012</v>
      </c>
      <c r="AA186" t="s">
        <v>74</v>
      </c>
      <c r="AB186" t="s">
        <v>4013</v>
      </c>
      <c r="AC186" t="s">
        <v>4014</v>
      </c>
      <c r="AD186" t="s">
        <v>4015</v>
      </c>
      <c r="AE186" t="s">
        <v>4016</v>
      </c>
      <c r="AF186" t="s">
        <v>74</v>
      </c>
      <c r="AG186">
        <v>80</v>
      </c>
      <c r="AH186">
        <v>0</v>
      </c>
      <c r="AI186">
        <v>0</v>
      </c>
      <c r="AJ186">
        <v>3</v>
      </c>
      <c r="AK186">
        <v>3</v>
      </c>
      <c r="AL186" t="s">
        <v>4017</v>
      </c>
      <c r="AM186" t="s">
        <v>4018</v>
      </c>
      <c r="AN186" t="s">
        <v>4019</v>
      </c>
      <c r="AO186" t="s">
        <v>4020</v>
      </c>
      <c r="AP186" t="s">
        <v>4021</v>
      </c>
      <c r="AQ186" t="s">
        <v>74</v>
      </c>
      <c r="AR186" t="s">
        <v>4022</v>
      </c>
      <c r="AS186" t="s">
        <v>4023</v>
      </c>
      <c r="AT186" t="s">
        <v>4024</v>
      </c>
      <c r="AU186">
        <v>2023</v>
      </c>
      <c r="AV186">
        <v>716</v>
      </c>
      <c r="AW186" t="s">
        <v>74</v>
      </c>
      <c r="AX186" t="s">
        <v>74</v>
      </c>
      <c r="AY186" t="s">
        <v>74</v>
      </c>
      <c r="AZ186" t="s">
        <v>74</v>
      </c>
      <c r="BA186" t="s">
        <v>74</v>
      </c>
      <c r="BB186">
        <v>63</v>
      </c>
      <c r="BC186">
        <v>75</v>
      </c>
      <c r="BD186" t="s">
        <v>74</v>
      </c>
      <c r="BE186" t="s">
        <v>4025</v>
      </c>
      <c r="BF186" t="str">
        <f>HYPERLINK("http://dx.doi.org/10.3354/meps14369","http://dx.doi.org/10.3354/meps14369")</f>
        <v>http://dx.doi.org/10.3354/meps14369</v>
      </c>
      <c r="BG186" t="s">
        <v>74</v>
      </c>
      <c r="BH186" t="s">
        <v>74</v>
      </c>
      <c r="BI186">
        <v>13</v>
      </c>
      <c r="BJ186" t="s">
        <v>4026</v>
      </c>
      <c r="BK186" t="s">
        <v>104</v>
      </c>
      <c r="BL186" t="s">
        <v>4027</v>
      </c>
      <c r="BM186" t="s">
        <v>4028</v>
      </c>
      <c r="BN186" t="s">
        <v>74</v>
      </c>
      <c r="BO186" t="s">
        <v>74</v>
      </c>
      <c r="BP186" t="s">
        <v>74</v>
      </c>
      <c r="BQ186" t="s">
        <v>74</v>
      </c>
      <c r="BR186" t="s">
        <v>107</v>
      </c>
      <c r="BS186" t="s">
        <v>4029</v>
      </c>
      <c r="BT186" t="str">
        <f>HYPERLINK("https%3A%2F%2Fwww.webofscience.com%2Fwos%2Fwoscc%2Ffull-record%2FWOS:001138565000005","View Full Record in Web of Science")</f>
        <v>View Full Record in Web of Science</v>
      </c>
    </row>
    <row r="187" spans="1:72" x14ac:dyDescent="0.15">
      <c r="A187" t="s">
        <v>72</v>
      </c>
      <c r="B187" t="s">
        <v>4030</v>
      </c>
      <c r="C187" t="s">
        <v>74</v>
      </c>
      <c r="D187" t="s">
        <v>74</v>
      </c>
      <c r="E187" t="s">
        <v>74</v>
      </c>
      <c r="F187" t="s">
        <v>4031</v>
      </c>
      <c r="G187" t="s">
        <v>74</v>
      </c>
      <c r="H187" t="s">
        <v>74</v>
      </c>
      <c r="I187" t="s">
        <v>4032</v>
      </c>
      <c r="J187" t="s">
        <v>2193</v>
      </c>
      <c r="K187" t="s">
        <v>74</v>
      </c>
      <c r="L187" t="s">
        <v>74</v>
      </c>
      <c r="M187" t="s">
        <v>78</v>
      </c>
      <c r="N187" t="s">
        <v>79</v>
      </c>
      <c r="O187" t="s">
        <v>74</v>
      </c>
      <c r="P187" t="s">
        <v>74</v>
      </c>
      <c r="Q187" t="s">
        <v>74</v>
      </c>
      <c r="R187" t="s">
        <v>74</v>
      </c>
      <c r="S187" t="s">
        <v>74</v>
      </c>
      <c r="T187" t="s">
        <v>74</v>
      </c>
      <c r="U187" t="s">
        <v>4033</v>
      </c>
      <c r="V187" t="s">
        <v>4034</v>
      </c>
      <c r="W187" t="s">
        <v>4035</v>
      </c>
      <c r="X187" t="s">
        <v>4036</v>
      </c>
      <c r="Y187" t="s">
        <v>4037</v>
      </c>
      <c r="Z187" t="s">
        <v>4038</v>
      </c>
      <c r="AA187" t="s">
        <v>4039</v>
      </c>
      <c r="AB187" t="s">
        <v>74</v>
      </c>
      <c r="AC187" t="s">
        <v>4040</v>
      </c>
      <c r="AD187" t="s">
        <v>4041</v>
      </c>
      <c r="AE187" t="s">
        <v>4042</v>
      </c>
      <c r="AF187" t="s">
        <v>74</v>
      </c>
      <c r="AG187">
        <v>38</v>
      </c>
      <c r="AH187">
        <v>0</v>
      </c>
      <c r="AI187">
        <v>0</v>
      </c>
      <c r="AJ187">
        <v>2</v>
      </c>
      <c r="AK187">
        <v>6</v>
      </c>
      <c r="AL187" t="s">
        <v>146</v>
      </c>
      <c r="AM187" t="s">
        <v>147</v>
      </c>
      <c r="AN187" t="s">
        <v>148</v>
      </c>
      <c r="AO187" t="s">
        <v>2204</v>
      </c>
      <c r="AP187" t="s">
        <v>74</v>
      </c>
      <c r="AQ187" t="s">
        <v>74</v>
      </c>
      <c r="AR187" t="s">
        <v>2205</v>
      </c>
      <c r="AS187" t="s">
        <v>2206</v>
      </c>
      <c r="AT187" t="s">
        <v>4024</v>
      </c>
      <c r="AU187">
        <v>2023</v>
      </c>
      <c r="AV187">
        <v>13</v>
      </c>
      <c r="AW187">
        <v>1</v>
      </c>
      <c r="AX187" t="s">
        <v>74</v>
      </c>
      <c r="AY187" t="s">
        <v>74</v>
      </c>
      <c r="AZ187" t="s">
        <v>74</v>
      </c>
      <c r="BA187" t="s">
        <v>74</v>
      </c>
      <c r="BB187" t="s">
        <v>74</v>
      </c>
      <c r="BC187" t="s">
        <v>74</v>
      </c>
      <c r="BD187">
        <v>12967</v>
      </c>
      <c r="BE187" t="s">
        <v>4043</v>
      </c>
      <c r="BF187" t="str">
        <f>HYPERLINK("http://dx.doi.org/10.1038/s41598-023-40123-7","http://dx.doi.org/10.1038/s41598-023-40123-7")</f>
        <v>http://dx.doi.org/10.1038/s41598-023-40123-7</v>
      </c>
      <c r="BG187" t="s">
        <v>74</v>
      </c>
      <c r="BH187" t="s">
        <v>74</v>
      </c>
      <c r="BI187">
        <v>10</v>
      </c>
      <c r="BJ187" t="s">
        <v>1881</v>
      </c>
      <c r="BK187" t="s">
        <v>104</v>
      </c>
      <c r="BL187" t="s">
        <v>1882</v>
      </c>
      <c r="BM187" t="s">
        <v>4044</v>
      </c>
      <c r="BN187">
        <v>37563162</v>
      </c>
      <c r="BO187" t="s">
        <v>4045</v>
      </c>
      <c r="BP187" t="s">
        <v>74</v>
      </c>
      <c r="BQ187" t="s">
        <v>74</v>
      </c>
      <c r="BR187" t="s">
        <v>107</v>
      </c>
      <c r="BS187" t="s">
        <v>4046</v>
      </c>
      <c r="BT187" t="str">
        <f>HYPERLINK("https%3A%2F%2Fwww.webofscience.com%2Fwos%2Fwoscc%2Ffull-record%2FWOS:001049382700019","View Full Record in Web of Science")</f>
        <v>View Full Record in Web of Science</v>
      </c>
    </row>
    <row r="188" spans="1:72" x14ac:dyDescent="0.15">
      <c r="A188" t="s">
        <v>72</v>
      </c>
      <c r="B188" t="s">
        <v>4047</v>
      </c>
      <c r="C188" t="s">
        <v>74</v>
      </c>
      <c r="D188" t="s">
        <v>74</v>
      </c>
      <c r="E188" t="s">
        <v>74</v>
      </c>
      <c r="F188" t="s">
        <v>4048</v>
      </c>
      <c r="G188" t="s">
        <v>74</v>
      </c>
      <c r="H188" t="s">
        <v>74</v>
      </c>
      <c r="I188" t="s">
        <v>4049</v>
      </c>
      <c r="J188" t="s">
        <v>2193</v>
      </c>
      <c r="K188" t="s">
        <v>74</v>
      </c>
      <c r="L188" t="s">
        <v>74</v>
      </c>
      <c r="M188" t="s">
        <v>78</v>
      </c>
      <c r="N188" t="s">
        <v>79</v>
      </c>
      <c r="O188" t="s">
        <v>74</v>
      </c>
      <c r="P188" t="s">
        <v>74</v>
      </c>
      <c r="Q188" t="s">
        <v>74</v>
      </c>
      <c r="R188" t="s">
        <v>74</v>
      </c>
      <c r="S188" t="s">
        <v>74</v>
      </c>
      <c r="T188" t="s">
        <v>74</v>
      </c>
      <c r="U188" t="s">
        <v>4050</v>
      </c>
      <c r="V188" t="s">
        <v>4051</v>
      </c>
      <c r="W188" t="s">
        <v>4052</v>
      </c>
      <c r="X188" t="s">
        <v>4053</v>
      </c>
      <c r="Y188" t="s">
        <v>4054</v>
      </c>
      <c r="Z188" t="s">
        <v>4055</v>
      </c>
      <c r="AA188" t="s">
        <v>4056</v>
      </c>
      <c r="AB188" t="s">
        <v>4057</v>
      </c>
      <c r="AC188" t="s">
        <v>4058</v>
      </c>
      <c r="AD188" t="s">
        <v>4059</v>
      </c>
      <c r="AE188" t="s">
        <v>4060</v>
      </c>
      <c r="AF188" t="s">
        <v>74</v>
      </c>
      <c r="AG188">
        <v>91</v>
      </c>
      <c r="AH188">
        <v>1</v>
      </c>
      <c r="AI188">
        <v>1</v>
      </c>
      <c r="AJ188">
        <v>14</v>
      </c>
      <c r="AK188">
        <v>19</v>
      </c>
      <c r="AL188" t="s">
        <v>146</v>
      </c>
      <c r="AM188" t="s">
        <v>147</v>
      </c>
      <c r="AN188" t="s">
        <v>148</v>
      </c>
      <c r="AO188" t="s">
        <v>2204</v>
      </c>
      <c r="AP188" t="s">
        <v>74</v>
      </c>
      <c r="AQ188" t="s">
        <v>74</v>
      </c>
      <c r="AR188" t="s">
        <v>2205</v>
      </c>
      <c r="AS188" t="s">
        <v>2206</v>
      </c>
      <c r="AT188" t="s">
        <v>4024</v>
      </c>
      <c r="AU188">
        <v>2023</v>
      </c>
      <c r="AV188">
        <v>13</v>
      </c>
      <c r="AW188">
        <v>1</v>
      </c>
      <c r="AX188" t="s">
        <v>74</v>
      </c>
      <c r="AY188" t="s">
        <v>74</v>
      </c>
      <c r="AZ188" t="s">
        <v>74</v>
      </c>
      <c r="BA188" t="s">
        <v>74</v>
      </c>
      <c r="BB188" t="s">
        <v>74</v>
      </c>
      <c r="BC188" t="s">
        <v>74</v>
      </c>
      <c r="BD188">
        <v>13016</v>
      </c>
      <c r="BE188" t="s">
        <v>4061</v>
      </c>
      <c r="BF188" t="str">
        <f>HYPERLINK("http://dx.doi.org/10.1038/s41598-023-39844-6","http://dx.doi.org/10.1038/s41598-023-39844-6")</f>
        <v>http://dx.doi.org/10.1038/s41598-023-39844-6</v>
      </c>
      <c r="BG188" t="s">
        <v>74</v>
      </c>
      <c r="BH188" t="s">
        <v>74</v>
      </c>
      <c r="BI188">
        <v>11</v>
      </c>
      <c r="BJ188" t="s">
        <v>1881</v>
      </c>
      <c r="BK188" t="s">
        <v>104</v>
      </c>
      <c r="BL188" t="s">
        <v>1882</v>
      </c>
      <c r="BM188" t="s">
        <v>4044</v>
      </c>
      <c r="BN188">
        <v>37563179</v>
      </c>
      <c r="BO188" t="s">
        <v>821</v>
      </c>
      <c r="BP188" t="s">
        <v>74</v>
      </c>
      <c r="BQ188" t="s">
        <v>74</v>
      </c>
      <c r="BR188" t="s">
        <v>107</v>
      </c>
      <c r="BS188" t="s">
        <v>4062</v>
      </c>
      <c r="BT188" t="str">
        <f>HYPERLINK("https%3A%2F%2Fwww.webofscience.com%2Fwos%2Fwoscc%2Ffull-record%2FWOS:001049382700036","View Full Record in Web of Science")</f>
        <v>View Full Record in Web of Science</v>
      </c>
    </row>
    <row r="189" spans="1:72" x14ac:dyDescent="0.15">
      <c r="A189" t="s">
        <v>72</v>
      </c>
      <c r="B189" t="s">
        <v>4063</v>
      </c>
      <c r="C189" t="s">
        <v>74</v>
      </c>
      <c r="D189" t="s">
        <v>74</v>
      </c>
      <c r="E189" t="s">
        <v>74</v>
      </c>
      <c r="F189" t="s">
        <v>4064</v>
      </c>
      <c r="G189" t="s">
        <v>74</v>
      </c>
      <c r="H189" t="s">
        <v>74</v>
      </c>
      <c r="I189" t="s">
        <v>4065</v>
      </c>
      <c r="J189" t="s">
        <v>4066</v>
      </c>
      <c r="K189" t="s">
        <v>74</v>
      </c>
      <c r="L189" t="s">
        <v>74</v>
      </c>
      <c r="M189" t="s">
        <v>78</v>
      </c>
      <c r="N189" t="s">
        <v>424</v>
      </c>
      <c r="O189" t="s">
        <v>74</v>
      </c>
      <c r="P189" t="s">
        <v>74</v>
      </c>
      <c r="Q189" t="s">
        <v>74</v>
      </c>
      <c r="R189" t="s">
        <v>74</v>
      </c>
      <c r="S189" t="s">
        <v>74</v>
      </c>
      <c r="T189" t="s">
        <v>4067</v>
      </c>
      <c r="U189" t="s">
        <v>4068</v>
      </c>
      <c r="V189" t="s">
        <v>4069</v>
      </c>
      <c r="W189" t="s">
        <v>4070</v>
      </c>
      <c r="X189" t="s">
        <v>4071</v>
      </c>
      <c r="Y189" t="s">
        <v>4072</v>
      </c>
      <c r="Z189" t="s">
        <v>4073</v>
      </c>
      <c r="AA189" t="s">
        <v>4074</v>
      </c>
      <c r="AB189" t="s">
        <v>4075</v>
      </c>
      <c r="AC189" t="s">
        <v>4076</v>
      </c>
      <c r="AD189" t="s">
        <v>4076</v>
      </c>
      <c r="AE189" t="s">
        <v>4077</v>
      </c>
      <c r="AF189" t="s">
        <v>74</v>
      </c>
      <c r="AG189">
        <v>98</v>
      </c>
      <c r="AH189">
        <v>1</v>
      </c>
      <c r="AI189">
        <v>1</v>
      </c>
      <c r="AJ189">
        <v>11</v>
      </c>
      <c r="AK189">
        <v>11</v>
      </c>
      <c r="AL189" t="s">
        <v>2305</v>
      </c>
      <c r="AM189" t="s">
        <v>538</v>
      </c>
      <c r="AN189" t="s">
        <v>2306</v>
      </c>
      <c r="AO189" t="s">
        <v>4078</v>
      </c>
      <c r="AP189" t="s">
        <v>4079</v>
      </c>
      <c r="AQ189" t="s">
        <v>74</v>
      </c>
      <c r="AR189" t="s">
        <v>4080</v>
      </c>
      <c r="AS189" t="s">
        <v>4081</v>
      </c>
      <c r="AT189" t="s">
        <v>129</v>
      </c>
      <c r="AU189">
        <v>2023</v>
      </c>
      <c r="AV189">
        <v>217</v>
      </c>
      <c r="AW189" t="s">
        <v>74</v>
      </c>
      <c r="AX189" t="s">
        <v>74</v>
      </c>
      <c r="AY189" t="s">
        <v>74</v>
      </c>
      <c r="AZ189" t="s">
        <v>74</v>
      </c>
      <c r="BA189" t="s">
        <v>74</v>
      </c>
      <c r="BB189" t="s">
        <v>74</v>
      </c>
      <c r="BC189" t="s">
        <v>74</v>
      </c>
      <c r="BD189">
        <v>103105</v>
      </c>
      <c r="BE189" t="s">
        <v>4082</v>
      </c>
      <c r="BF189" t="str">
        <f>HYPERLINK("http://dx.doi.org/10.1016/j.pocean.2023.103105","http://dx.doi.org/10.1016/j.pocean.2023.103105")</f>
        <v>http://dx.doi.org/10.1016/j.pocean.2023.103105</v>
      </c>
      <c r="BG189" t="s">
        <v>74</v>
      </c>
      <c r="BH189" t="s">
        <v>1812</v>
      </c>
      <c r="BI189">
        <v>12</v>
      </c>
      <c r="BJ189" t="s">
        <v>306</v>
      </c>
      <c r="BK189" t="s">
        <v>104</v>
      </c>
      <c r="BL189" t="s">
        <v>306</v>
      </c>
      <c r="BM189" t="s">
        <v>4083</v>
      </c>
      <c r="BN189" t="s">
        <v>74</v>
      </c>
      <c r="BO189" t="s">
        <v>74</v>
      </c>
      <c r="BP189" t="s">
        <v>74</v>
      </c>
      <c r="BQ189" t="s">
        <v>74</v>
      </c>
      <c r="BR189" t="s">
        <v>107</v>
      </c>
      <c r="BS189" t="s">
        <v>4084</v>
      </c>
      <c r="BT189" t="str">
        <f>HYPERLINK("https%3A%2F%2Fwww.webofscience.com%2Fwos%2Fwoscc%2Ffull-record%2FWOS:001067447300001","View Full Record in Web of Science")</f>
        <v>View Full Record in Web of Science</v>
      </c>
    </row>
    <row r="190" spans="1:72" x14ac:dyDescent="0.15">
      <c r="A190" t="s">
        <v>72</v>
      </c>
      <c r="B190" t="s">
        <v>4085</v>
      </c>
      <c r="C190" t="s">
        <v>74</v>
      </c>
      <c r="D190" t="s">
        <v>74</v>
      </c>
      <c r="E190" t="s">
        <v>74</v>
      </c>
      <c r="F190" t="s">
        <v>4086</v>
      </c>
      <c r="G190" t="s">
        <v>74</v>
      </c>
      <c r="H190" t="s">
        <v>74</v>
      </c>
      <c r="I190" t="s">
        <v>4087</v>
      </c>
      <c r="J190" t="s">
        <v>983</v>
      </c>
      <c r="K190" t="s">
        <v>74</v>
      </c>
      <c r="L190" t="s">
        <v>74</v>
      </c>
      <c r="M190" t="s">
        <v>78</v>
      </c>
      <c r="N190" t="s">
        <v>79</v>
      </c>
      <c r="O190" t="s">
        <v>74</v>
      </c>
      <c r="P190" t="s">
        <v>74</v>
      </c>
      <c r="Q190" t="s">
        <v>74</v>
      </c>
      <c r="R190" t="s">
        <v>74</v>
      </c>
      <c r="S190" t="s">
        <v>74</v>
      </c>
      <c r="T190" t="s">
        <v>4088</v>
      </c>
      <c r="U190" t="s">
        <v>4089</v>
      </c>
      <c r="V190" t="s">
        <v>4090</v>
      </c>
      <c r="W190" t="s">
        <v>4091</v>
      </c>
      <c r="X190" t="s">
        <v>4092</v>
      </c>
      <c r="Y190" t="s">
        <v>4093</v>
      </c>
      <c r="Z190" t="s">
        <v>4094</v>
      </c>
      <c r="AA190" t="s">
        <v>74</v>
      </c>
      <c r="AB190" t="s">
        <v>74</v>
      </c>
      <c r="AC190" t="s">
        <v>4095</v>
      </c>
      <c r="AD190" t="s">
        <v>4096</v>
      </c>
      <c r="AE190" t="s">
        <v>4097</v>
      </c>
      <c r="AF190" t="s">
        <v>74</v>
      </c>
      <c r="AG190">
        <v>73</v>
      </c>
      <c r="AH190">
        <v>0</v>
      </c>
      <c r="AI190">
        <v>0</v>
      </c>
      <c r="AJ190">
        <v>9</v>
      </c>
      <c r="AK190">
        <v>20</v>
      </c>
      <c r="AL190" t="s">
        <v>994</v>
      </c>
      <c r="AM190" t="s">
        <v>995</v>
      </c>
      <c r="AN190" t="s">
        <v>996</v>
      </c>
      <c r="AO190" t="s">
        <v>74</v>
      </c>
      <c r="AP190" t="s">
        <v>997</v>
      </c>
      <c r="AQ190" t="s">
        <v>74</v>
      </c>
      <c r="AR190" t="s">
        <v>998</v>
      </c>
      <c r="AS190" t="s">
        <v>999</v>
      </c>
      <c r="AT190" t="s">
        <v>4024</v>
      </c>
      <c r="AU190">
        <v>2023</v>
      </c>
      <c r="AV190">
        <v>10</v>
      </c>
      <c r="AW190" t="s">
        <v>74</v>
      </c>
      <c r="AX190" t="s">
        <v>74</v>
      </c>
      <c r="AY190" t="s">
        <v>74</v>
      </c>
      <c r="AZ190" t="s">
        <v>74</v>
      </c>
      <c r="BA190" t="s">
        <v>74</v>
      </c>
      <c r="BB190" t="s">
        <v>74</v>
      </c>
      <c r="BC190" t="s">
        <v>74</v>
      </c>
      <c r="BD190">
        <v>1200883</v>
      </c>
      <c r="BE190" t="s">
        <v>4098</v>
      </c>
      <c r="BF190" t="str">
        <f>HYPERLINK("http://dx.doi.org/10.3389/fmars.2023.1200883","http://dx.doi.org/10.3389/fmars.2023.1200883")</f>
        <v>http://dx.doi.org/10.3389/fmars.2023.1200883</v>
      </c>
      <c r="BG190" t="s">
        <v>74</v>
      </c>
      <c r="BH190" t="s">
        <v>74</v>
      </c>
      <c r="BI190">
        <v>18</v>
      </c>
      <c r="BJ190" t="s">
        <v>1001</v>
      </c>
      <c r="BK190" t="s">
        <v>104</v>
      </c>
      <c r="BL190" t="s">
        <v>1002</v>
      </c>
      <c r="BM190" t="s">
        <v>4099</v>
      </c>
      <c r="BN190" t="s">
        <v>74</v>
      </c>
      <c r="BO190" t="s">
        <v>206</v>
      </c>
      <c r="BP190" t="s">
        <v>74</v>
      </c>
      <c r="BQ190" t="s">
        <v>74</v>
      </c>
      <c r="BR190" t="s">
        <v>107</v>
      </c>
      <c r="BS190" t="s">
        <v>4100</v>
      </c>
      <c r="BT190" t="str">
        <f>HYPERLINK("https%3A%2F%2Fwww.webofscience.com%2Fwos%2Fwoscc%2Ffull-record%2FWOS:001053914000001","View Full Record in Web of Science")</f>
        <v>View Full Record in Web of Science</v>
      </c>
    </row>
    <row r="191" spans="1:72" x14ac:dyDescent="0.15">
      <c r="A191" t="s">
        <v>72</v>
      </c>
      <c r="B191" t="s">
        <v>4101</v>
      </c>
      <c r="C191" t="s">
        <v>74</v>
      </c>
      <c r="D191" t="s">
        <v>74</v>
      </c>
      <c r="E191" t="s">
        <v>74</v>
      </c>
      <c r="F191" t="s">
        <v>4102</v>
      </c>
      <c r="G191" t="s">
        <v>74</v>
      </c>
      <c r="H191" t="s">
        <v>74</v>
      </c>
      <c r="I191" t="s">
        <v>4103</v>
      </c>
      <c r="J191" t="s">
        <v>2353</v>
      </c>
      <c r="K191" t="s">
        <v>74</v>
      </c>
      <c r="L191" t="s">
        <v>74</v>
      </c>
      <c r="M191" t="s">
        <v>78</v>
      </c>
      <c r="N191" t="s">
        <v>79</v>
      </c>
      <c r="O191" t="s">
        <v>74</v>
      </c>
      <c r="P191" t="s">
        <v>74</v>
      </c>
      <c r="Q191" t="s">
        <v>74</v>
      </c>
      <c r="R191" t="s">
        <v>74</v>
      </c>
      <c r="S191" t="s">
        <v>74</v>
      </c>
      <c r="T191" t="s">
        <v>74</v>
      </c>
      <c r="U191" t="s">
        <v>4104</v>
      </c>
      <c r="V191" t="s">
        <v>4105</v>
      </c>
      <c r="W191" t="s">
        <v>4106</v>
      </c>
      <c r="X191" t="s">
        <v>4107</v>
      </c>
      <c r="Y191" t="s">
        <v>4108</v>
      </c>
      <c r="Z191" t="s">
        <v>4109</v>
      </c>
      <c r="AA191" t="s">
        <v>4110</v>
      </c>
      <c r="AB191" t="s">
        <v>4111</v>
      </c>
      <c r="AC191" t="s">
        <v>4112</v>
      </c>
      <c r="AD191" t="s">
        <v>4113</v>
      </c>
      <c r="AE191" t="s">
        <v>4114</v>
      </c>
      <c r="AF191" t="s">
        <v>74</v>
      </c>
      <c r="AG191">
        <v>78</v>
      </c>
      <c r="AH191">
        <v>2</v>
      </c>
      <c r="AI191">
        <v>2</v>
      </c>
      <c r="AJ191">
        <v>4</v>
      </c>
      <c r="AK191">
        <v>5</v>
      </c>
      <c r="AL191" t="s">
        <v>146</v>
      </c>
      <c r="AM191" t="s">
        <v>147</v>
      </c>
      <c r="AN191" t="s">
        <v>148</v>
      </c>
      <c r="AO191" t="s">
        <v>2365</v>
      </c>
      <c r="AP191" t="s">
        <v>2366</v>
      </c>
      <c r="AQ191" t="s">
        <v>74</v>
      </c>
      <c r="AR191" t="s">
        <v>2367</v>
      </c>
      <c r="AS191" t="s">
        <v>2368</v>
      </c>
      <c r="AT191" t="s">
        <v>97</v>
      </c>
      <c r="AU191">
        <v>2023</v>
      </c>
      <c r="AV191">
        <v>13</v>
      </c>
      <c r="AW191">
        <v>9</v>
      </c>
      <c r="AX191" t="s">
        <v>74</v>
      </c>
      <c r="AY191" t="s">
        <v>74</v>
      </c>
      <c r="AZ191" t="s">
        <v>74</v>
      </c>
      <c r="BA191" t="s">
        <v>74</v>
      </c>
      <c r="BB191">
        <v>951</v>
      </c>
      <c r="BC191" t="s">
        <v>153</v>
      </c>
      <c r="BD191" t="s">
        <v>74</v>
      </c>
      <c r="BE191" t="s">
        <v>4115</v>
      </c>
      <c r="BF191" t="str">
        <f>HYPERLINK("http://dx.doi.org/10.1038/s41558-023-01738-w","http://dx.doi.org/10.1038/s41558-023-01738-w")</f>
        <v>http://dx.doi.org/10.1038/s41558-023-01738-w</v>
      </c>
      <c r="BG191" t="s">
        <v>74</v>
      </c>
      <c r="BH191" t="s">
        <v>1812</v>
      </c>
      <c r="BI191">
        <v>20</v>
      </c>
      <c r="BJ191" t="s">
        <v>2371</v>
      </c>
      <c r="BK191" t="s">
        <v>881</v>
      </c>
      <c r="BL191" t="s">
        <v>2372</v>
      </c>
      <c r="BM191" t="s">
        <v>3751</v>
      </c>
      <c r="BN191" t="s">
        <v>74</v>
      </c>
      <c r="BO191" t="s">
        <v>1128</v>
      </c>
      <c r="BP191" t="s">
        <v>74</v>
      </c>
      <c r="BQ191" t="s">
        <v>74</v>
      </c>
      <c r="BR191" t="s">
        <v>107</v>
      </c>
      <c r="BS191" t="s">
        <v>4116</v>
      </c>
      <c r="BT191" t="str">
        <f>HYPERLINK("https%3A%2F%2Fwww.webofscience.com%2Fwos%2Fwoscc%2Ffull-record%2FWOS:001045774300001","View Full Record in Web of Science")</f>
        <v>View Full Record in Web of Science</v>
      </c>
    </row>
    <row r="192" spans="1:72" x14ac:dyDescent="0.15">
      <c r="A192" t="s">
        <v>72</v>
      </c>
      <c r="B192" t="s">
        <v>4117</v>
      </c>
      <c r="C192" t="s">
        <v>74</v>
      </c>
      <c r="D192" t="s">
        <v>74</v>
      </c>
      <c r="E192" t="s">
        <v>74</v>
      </c>
      <c r="F192" t="s">
        <v>4118</v>
      </c>
      <c r="G192" t="s">
        <v>74</v>
      </c>
      <c r="H192" t="s">
        <v>74</v>
      </c>
      <c r="I192" t="s">
        <v>4119</v>
      </c>
      <c r="J192" t="s">
        <v>4120</v>
      </c>
      <c r="K192" t="s">
        <v>74</v>
      </c>
      <c r="L192" t="s">
        <v>74</v>
      </c>
      <c r="M192" t="s">
        <v>78</v>
      </c>
      <c r="N192" t="s">
        <v>79</v>
      </c>
      <c r="O192" t="s">
        <v>74</v>
      </c>
      <c r="P192" t="s">
        <v>74</v>
      </c>
      <c r="Q192" t="s">
        <v>74</v>
      </c>
      <c r="R192" t="s">
        <v>74</v>
      </c>
      <c r="S192" t="s">
        <v>74</v>
      </c>
      <c r="T192" t="s">
        <v>74</v>
      </c>
      <c r="U192" t="s">
        <v>4121</v>
      </c>
      <c r="V192" t="s">
        <v>4122</v>
      </c>
      <c r="W192" t="s">
        <v>4123</v>
      </c>
      <c r="X192" t="s">
        <v>4124</v>
      </c>
      <c r="Y192" t="s">
        <v>4125</v>
      </c>
      <c r="Z192" t="s">
        <v>4126</v>
      </c>
      <c r="AA192" t="s">
        <v>4127</v>
      </c>
      <c r="AB192" t="s">
        <v>4128</v>
      </c>
      <c r="AC192" t="s">
        <v>4129</v>
      </c>
      <c r="AD192" t="s">
        <v>4130</v>
      </c>
      <c r="AE192" t="s">
        <v>4131</v>
      </c>
      <c r="AF192" t="s">
        <v>74</v>
      </c>
      <c r="AG192">
        <v>150</v>
      </c>
      <c r="AH192">
        <v>0</v>
      </c>
      <c r="AI192">
        <v>0</v>
      </c>
      <c r="AJ192">
        <v>5</v>
      </c>
      <c r="AK192">
        <v>7</v>
      </c>
      <c r="AL192" t="s">
        <v>1775</v>
      </c>
      <c r="AM192" t="s">
        <v>1776</v>
      </c>
      <c r="AN192" t="s">
        <v>1777</v>
      </c>
      <c r="AO192" t="s">
        <v>4132</v>
      </c>
      <c r="AP192" t="s">
        <v>4133</v>
      </c>
      <c r="AQ192" t="s">
        <v>74</v>
      </c>
      <c r="AR192" t="s">
        <v>4134</v>
      </c>
      <c r="AS192" t="s">
        <v>4135</v>
      </c>
      <c r="AT192" t="s">
        <v>4024</v>
      </c>
      <c r="AU192">
        <v>2023</v>
      </c>
      <c r="AV192">
        <v>15</v>
      </c>
      <c r="AW192">
        <v>8</v>
      </c>
      <c r="AX192" t="s">
        <v>74</v>
      </c>
      <c r="AY192" t="s">
        <v>74</v>
      </c>
      <c r="AZ192" t="s">
        <v>74</v>
      </c>
      <c r="BA192" t="s">
        <v>74</v>
      </c>
      <c r="BB192">
        <v>3573</v>
      </c>
      <c r="BC192">
        <v>3596</v>
      </c>
      <c r="BD192" t="s">
        <v>74</v>
      </c>
      <c r="BE192" t="s">
        <v>4136</v>
      </c>
      <c r="BF192" t="str">
        <f>HYPERLINK("http://dx.doi.org/10.5194/essd-15-3573-2023","http://dx.doi.org/10.5194/essd-15-3573-2023")</f>
        <v>http://dx.doi.org/10.5194/essd-15-3573-2023</v>
      </c>
      <c r="BG192" t="s">
        <v>74</v>
      </c>
      <c r="BH192" t="s">
        <v>74</v>
      </c>
      <c r="BI192">
        <v>24</v>
      </c>
      <c r="BJ192" t="s">
        <v>3351</v>
      </c>
      <c r="BK192" t="s">
        <v>104</v>
      </c>
      <c r="BL192" t="s">
        <v>3352</v>
      </c>
      <c r="BM192" t="s">
        <v>4137</v>
      </c>
      <c r="BN192" t="s">
        <v>74</v>
      </c>
      <c r="BO192" t="s">
        <v>4045</v>
      </c>
      <c r="BP192" t="s">
        <v>74</v>
      </c>
      <c r="BQ192" t="s">
        <v>74</v>
      </c>
      <c r="BR192" t="s">
        <v>107</v>
      </c>
      <c r="BS192" t="s">
        <v>4138</v>
      </c>
      <c r="BT192" t="str">
        <f>HYPERLINK("https%3A%2F%2Fwww.webofscience.com%2Fwos%2Fwoscc%2Ffull-record%2FWOS:001045788300001","View Full Record in Web of Science")</f>
        <v>View Full Record in Web of Science</v>
      </c>
    </row>
    <row r="193" spans="1:72" x14ac:dyDescent="0.15">
      <c r="A193" t="s">
        <v>72</v>
      </c>
      <c r="B193" t="s">
        <v>4139</v>
      </c>
      <c r="C193" t="s">
        <v>74</v>
      </c>
      <c r="D193" t="s">
        <v>74</v>
      </c>
      <c r="E193" t="s">
        <v>74</v>
      </c>
      <c r="F193" t="s">
        <v>4140</v>
      </c>
      <c r="G193" t="s">
        <v>74</v>
      </c>
      <c r="H193" t="s">
        <v>74</v>
      </c>
      <c r="I193" t="s">
        <v>4141</v>
      </c>
      <c r="J193" t="s">
        <v>4142</v>
      </c>
      <c r="K193" t="s">
        <v>74</v>
      </c>
      <c r="L193" t="s">
        <v>74</v>
      </c>
      <c r="M193" t="s">
        <v>78</v>
      </c>
      <c r="N193" t="s">
        <v>79</v>
      </c>
      <c r="O193" t="s">
        <v>74</v>
      </c>
      <c r="P193" t="s">
        <v>74</v>
      </c>
      <c r="Q193" t="s">
        <v>74</v>
      </c>
      <c r="R193" t="s">
        <v>74</v>
      </c>
      <c r="S193" t="s">
        <v>74</v>
      </c>
      <c r="T193" t="s">
        <v>4143</v>
      </c>
      <c r="U193" t="s">
        <v>4144</v>
      </c>
      <c r="V193" t="s">
        <v>4145</v>
      </c>
      <c r="W193" t="s">
        <v>4146</v>
      </c>
      <c r="X193" t="s">
        <v>4147</v>
      </c>
      <c r="Y193" t="s">
        <v>4148</v>
      </c>
      <c r="Z193" t="s">
        <v>4149</v>
      </c>
      <c r="AA193" t="s">
        <v>4150</v>
      </c>
      <c r="AB193" t="s">
        <v>4151</v>
      </c>
      <c r="AC193" t="s">
        <v>4152</v>
      </c>
      <c r="AD193" t="s">
        <v>4153</v>
      </c>
      <c r="AE193" t="s">
        <v>4154</v>
      </c>
      <c r="AF193" t="s">
        <v>74</v>
      </c>
      <c r="AG193">
        <v>37</v>
      </c>
      <c r="AH193">
        <v>0</v>
      </c>
      <c r="AI193">
        <v>0</v>
      </c>
      <c r="AJ193">
        <v>2</v>
      </c>
      <c r="AK193">
        <v>6</v>
      </c>
      <c r="AL193" t="s">
        <v>460</v>
      </c>
      <c r="AM193" t="s">
        <v>461</v>
      </c>
      <c r="AN193" t="s">
        <v>462</v>
      </c>
      <c r="AO193" t="s">
        <v>4155</v>
      </c>
      <c r="AP193" t="s">
        <v>4156</v>
      </c>
      <c r="AQ193" t="s">
        <v>74</v>
      </c>
      <c r="AR193" t="s">
        <v>4157</v>
      </c>
      <c r="AS193" t="s">
        <v>4158</v>
      </c>
      <c r="AT193" t="s">
        <v>1394</v>
      </c>
      <c r="AU193">
        <v>2023</v>
      </c>
      <c r="AV193">
        <v>48</v>
      </c>
      <c r="AW193">
        <v>8</v>
      </c>
      <c r="AX193" t="s">
        <v>74</v>
      </c>
      <c r="AY193" t="s">
        <v>74</v>
      </c>
      <c r="AZ193" t="s">
        <v>99</v>
      </c>
      <c r="BA193" t="s">
        <v>74</v>
      </c>
      <c r="BB193">
        <v>1721</v>
      </c>
      <c r="BC193">
        <v>1736</v>
      </c>
      <c r="BD193" t="s">
        <v>74</v>
      </c>
      <c r="BE193" t="s">
        <v>4159</v>
      </c>
      <c r="BF193" t="str">
        <f>HYPERLINK("http://dx.doi.org/10.1111/aec.13412","http://dx.doi.org/10.1111/aec.13412")</f>
        <v>http://dx.doi.org/10.1111/aec.13412</v>
      </c>
      <c r="BG193" t="s">
        <v>74</v>
      </c>
      <c r="BH193" t="s">
        <v>1812</v>
      </c>
      <c r="BI193">
        <v>16</v>
      </c>
      <c r="BJ193" t="s">
        <v>1534</v>
      </c>
      <c r="BK193" t="s">
        <v>104</v>
      </c>
      <c r="BL193" t="s">
        <v>1535</v>
      </c>
      <c r="BM193" t="s">
        <v>4160</v>
      </c>
      <c r="BN193" t="s">
        <v>74</v>
      </c>
      <c r="BO193" t="s">
        <v>133</v>
      </c>
      <c r="BP193" t="s">
        <v>74</v>
      </c>
      <c r="BQ193" t="s">
        <v>74</v>
      </c>
      <c r="BR193" t="s">
        <v>107</v>
      </c>
      <c r="BS193" t="s">
        <v>4161</v>
      </c>
      <c r="BT193" t="str">
        <f>HYPERLINK("https%3A%2F%2Fwww.webofscience.com%2Fwos%2Fwoscc%2Ffull-record%2FWOS:001045292500001","View Full Record in Web of Science")</f>
        <v>View Full Record in Web of Science</v>
      </c>
    </row>
    <row r="194" spans="1:72" x14ac:dyDescent="0.15">
      <c r="A194" t="s">
        <v>72</v>
      </c>
      <c r="B194" t="s">
        <v>4162</v>
      </c>
      <c r="C194" t="s">
        <v>74</v>
      </c>
      <c r="D194" t="s">
        <v>74</v>
      </c>
      <c r="E194" t="s">
        <v>74</v>
      </c>
      <c r="F194" t="s">
        <v>4163</v>
      </c>
      <c r="G194" t="s">
        <v>74</v>
      </c>
      <c r="H194" t="s">
        <v>74</v>
      </c>
      <c r="I194" t="s">
        <v>4164</v>
      </c>
      <c r="J194" t="s">
        <v>4165</v>
      </c>
      <c r="K194" t="s">
        <v>74</v>
      </c>
      <c r="L194" t="s">
        <v>74</v>
      </c>
      <c r="M194" t="s">
        <v>78</v>
      </c>
      <c r="N194" t="s">
        <v>79</v>
      </c>
      <c r="O194" t="s">
        <v>74</v>
      </c>
      <c r="P194" t="s">
        <v>74</v>
      </c>
      <c r="Q194" t="s">
        <v>74</v>
      </c>
      <c r="R194" t="s">
        <v>74</v>
      </c>
      <c r="S194" t="s">
        <v>74</v>
      </c>
      <c r="T194" t="s">
        <v>74</v>
      </c>
      <c r="U194" t="s">
        <v>4166</v>
      </c>
      <c r="V194" t="s">
        <v>4167</v>
      </c>
      <c r="W194" t="s">
        <v>4168</v>
      </c>
      <c r="X194" t="s">
        <v>4169</v>
      </c>
      <c r="Y194" t="s">
        <v>4170</v>
      </c>
      <c r="Z194" t="s">
        <v>4171</v>
      </c>
      <c r="AA194" t="s">
        <v>4172</v>
      </c>
      <c r="AB194" t="s">
        <v>4173</v>
      </c>
      <c r="AC194" t="s">
        <v>4174</v>
      </c>
      <c r="AD194" t="s">
        <v>4175</v>
      </c>
      <c r="AE194" t="s">
        <v>4176</v>
      </c>
      <c r="AF194" t="s">
        <v>74</v>
      </c>
      <c r="AG194">
        <v>75</v>
      </c>
      <c r="AH194">
        <v>0</v>
      </c>
      <c r="AI194">
        <v>0</v>
      </c>
      <c r="AJ194">
        <v>0</v>
      </c>
      <c r="AK194">
        <v>2</v>
      </c>
      <c r="AL194" t="s">
        <v>1775</v>
      </c>
      <c r="AM194" t="s">
        <v>1776</v>
      </c>
      <c r="AN194" t="s">
        <v>1777</v>
      </c>
      <c r="AO194" t="s">
        <v>4177</v>
      </c>
      <c r="AP194" t="s">
        <v>4178</v>
      </c>
      <c r="AQ194" t="s">
        <v>74</v>
      </c>
      <c r="AR194" t="s">
        <v>4179</v>
      </c>
      <c r="AS194" t="s">
        <v>4180</v>
      </c>
      <c r="AT194" t="s">
        <v>4024</v>
      </c>
      <c r="AU194">
        <v>2023</v>
      </c>
      <c r="AV194">
        <v>16</v>
      </c>
      <c r="AW194">
        <v>15</v>
      </c>
      <c r="AX194" t="s">
        <v>74</v>
      </c>
      <c r="AY194" t="s">
        <v>74</v>
      </c>
      <c r="AZ194" t="s">
        <v>74</v>
      </c>
      <c r="BA194" t="s">
        <v>74</v>
      </c>
      <c r="BB194">
        <v>4501</v>
      </c>
      <c r="BC194">
        <v>4519</v>
      </c>
      <c r="BD194" t="s">
        <v>74</v>
      </c>
      <c r="BE194" t="s">
        <v>4181</v>
      </c>
      <c r="BF194" t="str">
        <f>HYPERLINK("http://dx.doi.org/10.5194/gmd-16-4501-2023","http://dx.doi.org/10.5194/gmd-16-4501-2023")</f>
        <v>http://dx.doi.org/10.5194/gmd-16-4501-2023</v>
      </c>
      <c r="BG194" t="s">
        <v>74</v>
      </c>
      <c r="BH194" t="s">
        <v>74</v>
      </c>
      <c r="BI194">
        <v>19</v>
      </c>
      <c r="BJ194" t="s">
        <v>155</v>
      </c>
      <c r="BK194" t="s">
        <v>104</v>
      </c>
      <c r="BL194" t="s">
        <v>156</v>
      </c>
      <c r="BM194" t="s">
        <v>4182</v>
      </c>
      <c r="BN194" t="s">
        <v>74</v>
      </c>
      <c r="BO194" t="s">
        <v>3354</v>
      </c>
      <c r="BP194" t="s">
        <v>74</v>
      </c>
      <c r="BQ194" t="s">
        <v>74</v>
      </c>
      <c r="BR194" t="s">
        <v>107</v>
      </c>
      <c r="BS194" t="s">
        <v>4183</v>
      </c>
      <c r="BT194" t="str">
        <f>HYPERLINK("https%3A%2F%2Fwww.webofscience.com%2Fwos%2Fwoscc%2Ffull-record%2FWOS:001045212800001","View Full Record in Web of Science")</f>
        <v>View Full Record in Web of Science</v>
      </c>
    </row>
    <row r="195" spans="1:72" x14ac:dyDescent="0.15">
      <c r="A195" t="s">
        <v>72</v>
      </c>
      <c r="B195" t="s">
        <v>4184</v>
      </c>
      <c r="C195" t="s">
        <v>74</v>
      </c>
      <c r="D195" t="s">
        <v>74</v>
      </c>
      <c r="E195" t="s">
        <v>74</v>
      </c>
      <c r="F195" t="s">
        <v>4185</v>
      </c>
      <c r="G195" t="s">
        <v>74</v>
      </c>
      <c r="H195" t="s">
        <v>74</v>
      </c>
      <c r="I195" t="s">
        <v>4186</v>
      </c>
      <c r="J195" t="s">
        <v>4187</v>
      </c>
      <c r="K195" t="s">
        <v>74</v>
      </c>
      <c r="L195" t="s">
        <v>74</v>
      </c>
      <c r="M195" t="s">
        <v>78</v>
      </c>
      <c r="N195" t="s">
        <v>79</v>
      </c>
      <c r="O195" t="s">
        <v>74</v>
      </c>
      <c r="P195" t="s">
        <v>74</v>
      </c>
      <c r="Q195" t="s">
        <v>74</v>
      </c>
      <c r="R195" t="s">
        <v>74</v>
      </c>
      <c r="S195" t="s">
        <v>74</v>
      </c>
      <c r="T195" t="s">
        <v>4188</v>
      </c>
      <c r="U195" t="s">
        <v>4189</v>
      </c>
      <c r="V195" t="s">
        <v>4190</v>
      </c>
      <c r="W195" t="s">
        <v>4191</v>
      </c>
      <c r="X195" t="s">
        <v>4192</v>
      </c>
      <c r="Y195" t="s">
        <v>4193</v>
      </c>
      <c r="Z195" t="s">
        <v>4194</v>
      </c>
      <c r="AA195" t="s">
        <v>74</v>
      </c>
      <c r="AB195" t="s">
        <v>74</v>
      </c>
      <c r="AC195" t="s">
        <v>4195</v>
      </c>
      <c r="AD195" t="s">
        <v>4196</v>
      </c>
      <c r="AE195" t="s">
        <v>4197</v>
      </c>
      <c r="AF195" t="s">
        <v>74</v>
      </c>
      <c r="AG195">
        <v>81</v>
      </c>
      <c r="AH195">
        <v>0</v>
      </c>
      <c r="AI195">
        <v>0</v>
      </c>
      <c r="AJ195">
        <v>2</v>
      </c>
      <c r="AK195">
        <v>2</v>
      </c>
      <c r="AL195" t="s">
        <v>172</v>
      </c>
      <c r="AM195" t="s">
        <v>173</v>
      </c>
      <c r="AN195" t="s">
        <v>174</v>
      </c>
      <c r="AO195" t="s">
        <v>4198</v>
      </c>
      <c r="AP195" t="s">
        <v>74</v>
      </c>
      <c r="AQ195" t="s">
        <v>74</v>
      </c>
      <c r="AR195" t="s">
        <v>4199</v>
      </c>
      <c r="AS195" t="s">
        <v>4200</v>
      </c>
      <c r="AT195" t="s">
        <v>1810</v>
      </c>
      <c r="AU195">
        <v>2023</v>
      </c>
      <c r="AV195">
        <v>12</v>
      </c>
      <c r="AW195" t="s">
        <v>74</v>
      </c>
      <c r="AX195" t="s">
        <v>74</v>
      </c>
      <c r="AY195" t="s">
        <v>74</v>
      </c>
      <c r="AZ195" t="s">
        <v>74</v>
      </c>
      <c r="BA195" t="s">
        <v>74</v>
      </c>
      <c r="BB195" t="s">
        <v>74</v>
      </c>
      <c r="BC195" t="s">
        <v>74</v>
      </c>
      <c r="BD195">
        <v>100110</v>
      </c>
      <c r="BE195" t="s">
        <v>4201</v>
      </c>
      <c r="BF195" t="str">
        <f>HYPERLINK("http://dx.doi.org/10.1016/j.qsa.2023.100110","http://dx.doi.org/10.1016/j.qsa.2023.100110")</f>
        <v>http://dx.doi.org/10.1016/j.qsa.2023.100110</v>
      </c>
      <c r="BG195" t="s">
        <v>74</v>
      </c>
      <c r="BH195" t="s">
        <v>1812</v>
      </c>
      <c r="BI195">
        <v>9</v>
      </c>
      <c r="BJ195" t="s">
        <v>1783</v>
      </c>
      <c r="BK195" t="s">
        <v>518</v>
      </c>
      <c r="BL195" t="s">
        <v>1784</v>
      </c>
      <c r="BM195" t="s">
        <v>4202</v>
      </c>
      <c r="BN195" t="s">
        <v>74</v>
      </c>
      <c r="BO195" t="s">
        <v>181</v>
      </c>
      <c r="BP195" t="s">
        <v>74</v>
      </c>
      <c r="BQ195" t="s">
        <v>74</v>
      </c>
      <c r="BR195" t="s">
        <v>107</v>
      </c>
      <c r="BS195" t="s">
        <v>4203</v>
      </c>
      <c r="BT195" t="str">
        <f>HYPERLINK("https%3A%2F%2Fwww.webofscience.com%2Fwos%2Fwoscc%2Ffull-record%2FWOS:001088435700001","View Full Record in Web of Science")</f>
        <v>View Full Record in Web of Science</v>
      </c>
    </row>
    <row r="196" spans="1:72" x14ac:dyDescent="0.15">
      <c r="A196" t="s">
        <v>72</v>
      </c>
      <c r="B196" t="s">
        <v>4204</v>
      </c>
      <c r="C196" t="s">
        <v>74</v>
      </c>
      <c r="D196" t="s">
        <v>74</v>
      </c>
      <c r="E196" t="s">
        <v>74</v>
      </c>
      <c r="F196" t="s">
        <v>4205</v>
      </c>
      <c r="G196" t="s">
        <v>74</v>
      </c>
      <c r="H196" t="s">
        <v>74</v>
      </c>
      <c r="I196" t="s">
        <v>4206</v>
      </c>
      <c r="J196" t="s">
        <v>2056</v>
      </c>
      <c r="K196" t="s">
        <v>74</v>
      </c>
      <c r="L196" t="s">
        <v>74</v>
      </c>
      <c r="M196" t="s">
        <v>78</v>
      </c>
      <c r="N196" t="s">
        <v>79</v>
      </c>
      <c r="O196" t="s">
        <v>74</v>
      </c>
      <c r="P196" t="s">
        <v>74</v>
      </c>
      <c r="Q196" t="s">
        <v>74</v>
      </c>
      <c r="R196" t="s">
        <v>74</v>
      </c>
      <c r="S196" t="s">
        <v>74</v>
      </c>
      <c r="T196" t="s">
        <v>74</v>
      </c>
      <c r="U196" t="s">
        <v>4207</v>
      </c>
      <c r="V196" t="s">
        <v>4208</v>
      </c>
      <c r="W196" t="s">
        <v>4209</v>
      </c>
      <c r="X196" t="s">
        <v>4210</v>
      </c>
      <c r="Y196" t="s">
        <v>4211</v>
      </c>
      <c r="Z196" t="s">
        <v>4212</v>
      </c>
      <c r="AA196" t="s">
        <v>4213</v>
      </c>
      <c r="AB196" t="s">
        <v>4214</v>
      </c>
      <c r="AC196" t="s">
        <v>4215</v>
      </c>
      <c r="AD196" t="s">
        <v>4216</v>
      </c>
      <c r="AE196" t="s">
        <v>4217</v>
      </c>
      <c r="AF196" t="s">
        <v>74</v>
      </c>
      <c r="AG196">
        <v>107</v>
      </c>
      <c r="AH196">
        <v>3</v>
      </c>
      <c r="AI196">
        <v>3</v>
      </c>
      <c r="AJ196">
        <v>2</v>
      </c>
      <c r="AK196">
        <v>2</v>
      </c>
      <c r="AL196" t="s">
        <v>2068</v>
      </c>
      <c r="AM196" t="s">
        <v>2069</v>
      </c>
      <c r="AN196" t="s">
        <v>2070</v>
      </c>
      <c r="AO196" t="s">
        <v>2071</v>
      </c>
      <c r="AP196" t="s">
        <v>74</v>
      </c>
      <c r="AQ196" t="s">
        <v>74</v>
      </c>
      <c r="AR196" t="s">
        <v>2056</v>
      </c>
      <c r="AS196" t="s">
        <v>2072</v>
      </c>
      <c r="AT196" t="s">
        <v>4218</v>
      </c>
      <c r="AU196">
        <v>2023</v>
      </c>
      <c r="AV196">
        <v>18</v>
      </c>
      <c r="AW196">
        <v>8</v>
      </c>
      <c r="AX196" t="s">
        <v>74</v>
      </c>
      <c r="AY196" t="s">
        <v>74</v>
      </c>
      <c r="AZ196" t="s">
        <v>74</v>
      </c>
      <c r="BA196" t="s">
        <v>74</v>
      </c>
      <c r="BB196" t="s">
        <v>74</v>
      </c>
      <c r="BC196" t="s">
        <v>74</v>
      </c>
      <c r="BD196" t="s">
        <v>4219</v>
      </c>
      <c r="BE196" t="s">
        <v>4220</v>
      </c>
      <c r="BF196" t="str">
        <f>HYPERLINK("http://dx.doi.org/10.1371/journal.pone.0288485","http://dx.doi.org/10.1371/journal.pone.0288485")</f>
        <v>http://dx.doi.org/10.1371/journal.pone.0288485</v>
      </c>
      <c r="BG196" t="s">
        <v>74</v>
      </c>
      <c r="BH196" t="s">
        <v>74</v>
      </c>
      <c r="BI196">
        <v>43</v>
      </c>
      <c r="BJ196" t="s">
        <v>1881</v>
      </c>
      <c r="BK196" t="s">
        <v>104</v>
      </c>
      <c r="BL196" t="s">
        <v>1882</v>
      </c>
      <c r="BM196" t="s">
        <v>4221</v>
      </c>
      <c r="BN196">
        <v>37556440</v>
      </c>
      <c r="BO196" t="s">
        <v>821</v>
      </c>
      <c r="BP196" t="s">
        <v>74</v>
      </c>
      <c r="BQ196" t="s">
        <v>74</v>
      </c>
      <c r="BR196" t="s">
        <v>107</v>
      </c>
      <c r="BS196" t="s">
        <v>4222</v>
      </c>
      <c r="BT196" t="str">
        <f>HYPERLINK("https%3A%2F%2Fwww.webofscience.com%2Fwos%2Fwoscc%2Ffull-record%2FWOS:001064747700024","View Full Record in Web of Science")</f>
        <v>View Full Record in Web of Science</v>
      </c>
    </row>
    <row r="197" spans="1:72" x14ac:dyDescent="0.15">
      <c r="A197" t="s">
        <v>72</v>
      </c>
      <c r="B197" t="s">
        <v>4223</v>
      </c>
      <c r="C197" t="s">
        <v>74</v>
      </c>
      <c r="D197" t="s">
        <v>74</v>
      </c>
      <c r="E197" t="s">
        <v>74</v>
      </c>
      <c r="F197" t="s">
        <v>4224</v>
      </c>
      <c r="G197" t="s">
        <v>74</v>
      </c>
      <c r="H197" t="s">
        <v>74</v>
      </c>
      <c r="I197" t="s">
        <v>4225</v>
      </c>
      <c r="J197" t="s">
        <v>4226</v>
      </c>
      <c r="K197" t="s">
        <v>74</v>
      </c>
      <c r="L197" t="s">
        <v>74</v>
      </c>
      <c r="M197" t="s">
        <v>78</v>
      </c>
      <c r="N197" t="s">
        <v>79</v>
      </c>
      <c r="O197" t="s">
        <v>74</v>
      </c>
      <c r="P197" t="s">
        <v>74</v>
      </c>
      <c r="Q197" t="s">
        <v>74</v>
      </c>
      <c r="R197" t="s">
        <v>74</v>
      </c>
      <c r="S197" t="s">
        <v>74</v>
      </c>
      <c r="T197" t="s">
        <v>4227</v>
      </c>
      <c r="U197" t="s">
        <v>4228</v>
      </c>
      <c r="V197" t="s">
        <v>4229</v>
      </c>
      <c r="W197" t="s">
        <v>4230</v>
      </c>
      <c r="X197" t="s">
        <v>4231</v>
      </c>
      <c r="Y197" t="s">
        <v>4232</v>
      </c>
      <c r="Z197" t="s">
        <v>4233</v>
      </c>
      <c r="AA197" t="s">
        <v>74</v>
      </c>
      <c r="AB197" t="s">
        <v>4234</v>
      </c>
      <c r="AC197" t="s">
        <v>4235</v>
      </c>
      <c r="AD197" t="s">
        <v>4236</v>
      </c>
      <c r="AE197" t="s">
        <v>4237</v>
      </c>
      <c r="AF197" t="s">
        <v>74</v>
      </c>
      <c r="AG197">
        <v>36</v>
      </c>
      <c r="AH197">
        <v>0</v>
      </c>
      <c r="AI197">
        <v>0</v>
      </c>
      <c r="AJ197">
        <v>0</v>
      </c>
      <c r="AK197">
        <v>0</v>
      </c>
      <c r="AL197" t="s">
        <v>4238</v>
      </c>
      <c r="AM197" t="s">
        <v>4239</v>
      </c>
      <c r="AN197" t="s">
        <v>4240</v>
      </c>
      <c r="AO197" t="s">
        <v>4241</v>
      </c>
      <c r="AP197" t="s">
        <v>4242</v>
      </c>
      <c r="AQ197" t="s">
        <v>74</v>
      </c>
      <c r="AR197" t="s">
        <v>4226</v>
      </c>
      <c r="AS197" t="s">
        <v>4243</v>
      </c>
      <c r="AT197" t="s">
        <v>4218</v>
      </c>
      <c r="AU197">
        <v>2023</v>
      </c>
      <c r="AV197">
        <v>5325</v>
      </c>
      <c r="AW197">
        <v>3</v>
      </c>
      <c r="AX197" t="s">
        <v>74</v>
      </c>
      <c r="AY197" t="s">
        <v>74</v>
      </c>
      <c r="AZ197" t="s">
        <v>74</v>
      </c>
      <c r="BA197" t="s">
        <v>74</v>
      </c>
      <c r="BB197">
        <v>342</v>
      </c>
      <c r="BC197">
        <v>358</v>
      </c>
      <c r="BD197" t="s">
        <v>74</v>
      </c>
      <c r="BE197" t="s">
        <v>4244</v>
      </c>
      <c r="BF197" t="str">
        <f>HYPERLINK("http://dx.doi.org/10.11646/zootaxa.5325.3.2","http://dx.doi.org/10.11646/zootaxa.5325.3.2")</f>
        <v>http://dx.doi.org/10.11646/zootaxa.5325.3.2</v>
      </c>
      <c r="BG197" t="s">
        <v>74</v>
      </c>
      <c r="BH197" t="s">
        <v>74</v>
      </c>
      <c r="BI197">
        <v>17</v>
      </c>
      <c r="BJ197" t="s">
        <v>620</v>
      </c>
      <c r="BK197" t="s">
        <v>104</v>
      </c>
      <c r="BL197" t="s">
        <v>620</v>
      </c>
      <c r="BM197" t="s">
        <v>4245</v>
      </c>
      <c r="BN197">
        <v>38220905</v>
      </c>
      <c r="BO197" t="s">
        <v>74</v>
      </c>
      <c r="BP197" t="s">
        <v>74</v>
      </c>
      <c r="BQ197" t="s">
        <v>74</v>
      </c>
      <c r="BR197" t="s">
        <v>107</v>
      </c>
      <c r="BS197" t="s">
        <v>4246</v>
      </c>
      <c r="BT197" t="str">
        <f>HYPERLINK("https%3A%2F%2Fwww.webofscience.com%2Fwos%2Fwoscc%2Ffull-record%2FWOS:001063175500001","View Full Record in Web of Science")</f>
        <v>View Full Record in Web of Science</v>
      </c>
    </row>
    <row r="198" spans="1:72" x14ac:dyDescent="0.15">
      <c r="A198" t="s">
        <v>72</v>
      </c>
      <c r="B198" t="s">
        <v>4247</v>
      </c>
      <c r="C198" t="s">
        <v>74</v>
      </c>
      <c r="D198" t="s">
        <v>74</v>
      </c>
      <c r="E198" t="s">
        <v>74</v>
      </c>
      <c r="F198" t="s">
        <v>4248</v>
      </c>
      <c r="G198" t="s">
        <v>74</v>
      </c>
      <c r="H198" t="s">
        <v>74</v>
      </c>
      <c r="I198" t="s">
        <v>4249</v>
      </c>
      <c r="J198" t="s">
        <v>4250</v>
      </c>
      <c r="K198" t="s">
        <v>74</v>
      </c>
      <c r="L198" t="s">
        <v>74</v>
      </c>
      <c r="M198" t="s">
        <v>78</v>
      </c>
      <c r="N198" t="s">
        <v>79</v>
      </c>
      <c r="O198" t="s">
        <v>74</v>
      </c>
      <c r="P198" t="s">
        <v>74</v>
      </c>
      <c r="Q198" t="s">
        <v>74</v>
      </c>
      <c r="R198" t="s">
        <v>74</v>
      </c>
      <c r="S198" t="s">
        <v>74</v>
      </c>
      <c r="T198" t="s">
        <v>4251</v>
      </c>
      <c r="U198" t="s">
        <v>4252</v>
      </c>
      <c r="V198" t="s">
        <v>4253</v>
      </c>
      <c r="W198" t="s">
        <v>4254</v>
      </c>
      <c r="X198" t="s">
        <v>4255</v>
      </c>
      <c r="Y198" t="s">
        <v>4256</v>
      </c>
      <c r="Z198" t="s">
        <v>4257</v>
      </c>
      <c r="AA198" t="s">
        <v>4258</v>
      </c>
      <c r="AB198" t="s">
        <v>4259</v>
      </c>
      <c r="AC198" t="s">
        <v>74</v>
      </c>
      <c r="AD198" t="s">
        <v>74</v>
      </c>
      <c r="AE198" t="s">
        <v>74</v>
      </c>
      <c r="AF198" t="s">
        <v>74</v>
      </c>
      <c r="AG198">
        <v>57</v>
      </c>
      <c r="AH198">
        <v>2</v>
      </c>
      <c r="AI198">
        <v>3</v>
      </c>
      <c r="AJ198">
        <v>7</v>
      </c>
      <c r="AK198">
        <v>11</v>
      </c>
      <c r="AL198" t="s">
        <v>537</v>
      </c>
      <c r="AM198" t="s">
        <v>538</v>
      </c>
      <c r="AN198" t="s">
        <v>539</v>
      </c>
      <c r="AO198" t="s">
        <v>4260</v>
      </c>
      <c r="AP198" t="s">
        <v>4261</v>
      </c>
      <c r="AQ198" t="s">
        <v>74</v>
      </c>
      <c r="AR198" t="s">
        <v>4262</v>
      </c>
      <c r="AS198" t="s">
        <v>4263</v>
      </c>
      <c r="AT198" t="s">
        <v>4218</v>
      </c>
      <c r="AU198">
        <v>2023</v>
      </c>
      <c r="AV198">
        <v>10</v>
      </c>
      <c r="AW198">
        <v>9</v>
      </c>
      <c r="AX198" t="s">
        <v>74</v>
      </c>
      <c r="AY198" t="s">
        <v>74</v>
      </c>
      <c r="AZ198" t="s">
        <v>74</v>
      </c>
      <c r="BA198" t="s">
        <v>74</v>
      </c>
      <c r="BB198" t="s">
        <v>74</v>
      </c>
      <c r="BC198" t="s">
        <v>74</v>
      </c>
      <c r="BD198" t="s">
        <v>4264</v>
      </c>
      <c r="BE198" t="s">
        <v>4265</v>
      </c>
      <c r="BF198" t="str">
        <f>HYPERLINK("http://dx.doi.org/10.1093/nsr/nwad157","http://dx.doi.org/10.1093/nsr/nwad157")</f>
        <v>http://dx.doi.org/10.1093/nsr/nwad157</v>
      </c>
      <c r="BG198" t="s">
        <v>74</v>
      </c>
      <c r="BH198" t="s">
        <v>74</v>
      </c>
      <c r="BI198">
        <v>11</v>
      </c>
      <c r="BJ198" t="s">
        <v>1881</v>
      </c>
      <c r="BK198" t="s">
        <v>104</v>
      </c>
      <c r="BL198" t="s">
        <v>1882</v>
      </c>
      <c r="BM198" t="s">
        <v>4266</v>
      </c>
      <c r="BN198">
        <v>37565193</v>
      </c>
      <c r="BO198" t="s">
        <v>821</v>
      </c>
      <c r="BP198" t="s">
        <v>74</v>
      </c>
      <c r="BQ198" t="s">
        <v>74</v>
      </c>
      <c r="BR198" t="s">
        <v>107</v>
      </c>
      <c r="BS198" t="s">
        <v>4267</v>
      </c>
      <c r="BT198" t="str">
        <f>HYPERLINK("https%3A%2F%2Fwww.webofscience.com%2Fwos%2Fwoscc%2Ffull-record%2FWOS:001044965500008","View Full Record in Web of Science")</f>
        <v>View Full Record in Web of Science</v>
      </c>
    </row>
    <row r="199" spans="1:72" x14ac:dyDescent="0.15">
      <c r="A199" t="s">
        <v>72</v>
      </c>
      <c r="B199" t="s">
        <v>4268</v>
      </c>
      <c r="C199" t="s">
        <v>74</v>
      </c>
      <c r="D199" t="s">
        <v>74</v>
      </c>
      <c r="E199" t="s">
        <v>74</v>
      </c>
      <c r="F199" t="s">
        <v>4269</v>
      </c>
      <c r="G199" t="s">
        <v>74</v>
      </c>
      <c r="H199" t="s">
        <v>74</v>
      </c>
      <c r="I199" t="s">
        <v>4270</v>
      </c>
      <c r="J199" t="s">
        <v>1763</v>
      </c>
      <c r="K199" t="s">
        <v>74</v>
      </c>
      <c r="L199" t="s">
        <v>74</v>
      </c>
      <c r="M199" t="s">
        <v>78</v>
      </c>
      <c r="N199" t="s">
        <v>79</v>
      </c>
      <c r="O199" t="s">
        <v>74</v>
      </c>
      <c r="P199" t="s">
        <v>74</v>
      </c>
      <c r="Q199" t="s">
        <v>74</v>
      </c>
      <c r="R199" t="s">
        <v>74</v>
      </c>
      <c r="S199" t="s">
        <v>74</v>
      </c>
      <c r="T199" t="s">
        <v>74</v>
      </c>
      <c r="U199" t="s">
        <v>4271</v>
      </c>
      <c r="V199" t="s">
        <v>4272</v>
      </c>
      <c r="W199" t="s">
        <v>4273</v>
      </c>
      <c r="X199" t="s">
        <v>4274</v>
      </c>
      <c r="Y199" t="s">
        <v>4275</v>
      </c>
      <c r="Z199" t="s">
        <v>4276</v>
      </c>
      <c r="AA199" t="s">
        <v>4277</v>
      </c>
      <c r="AB199" t="s">
        <v>4278</v>
      </c>
      <c r="AC199" t="s">
        <v>74</v>
      </c>
      <c r="AD199" t="s">
        <v>74</v>
      </c>
      <c r="AE199" t="s">
        <v>74</v>
      </c>
      <c r="AF199" t="s">
        <v>74</v>
      </c>
      <c r="AG199">
        <v>97</v>
      </c>
      <c r="AH199">
        <v>2</v>
      </c>
      <c r="AI199">
        <v>2</v>
      </c>
      <c r="AJ199">
        <v>1</v>
      </c>
      <c r="AK199">
        <v>2</v>
      </c>
      <c r="AL199" t="s">
        <v>1775</v>
      </c>
      <c r="AM199" t="s">
        <v>1776</v>
      </c>
      <c r="AN199" t="s">
        <v>1777</v>
      </c>
      <c r="AO199" t="s">
        <v>1778</v>
      </c>
      <c r="AP199" t="s">
        <v>1779</v>
      </c>
      <c r="AQ199" t="s">
        <v>74</v>
      </c>
      <c r="AR199" t="s">
        <v>1763</v>
      </c>
      <c r="AS199" t="s">
        <v>1780</v>
      </c>
      <c r="AT199" t="s">
        <v>4218</v>
      </c>
      <c r="AU199">
        <v>2023</v>
      </c>
      <c r="AV199">
        <v>17</v>
      </c>
      <c r="AW199">
        <v>8</v>
      </c>
      <c r="AX199" t="s">
        <v>74</v>
      </c>
      <c r="AY199" t="s">
        <v>74</v>
      </c>
      <c r="AZ199" t="s">
        <v>74</v>
      </c>
      <c r="BA199" t="s">
        <v>74</v>
      </c>
      <c r="BB199">
        <v>3203</v>
      </c>
      <c r="BC199">
        <v>3228</v>
      </c>
      <c r="BD199" t="s">
        <v>74</v>
      </c>
      <c r="BE199" t="s">
        <v>4279</v>
      </c>
      <c r="BF199" t="str">
        <f>HYPERLINK("http://dx.doi.org/10.5194/tc-17-3203-2023","http://dx.doi.org/10.5194/tc-17-3203-2023")</f>
        <v>http://dx.doi.org/10.5194/tc-17-3203-2023</v>
      </c>
      <c r="BG199" t="s">
        <v>74</v>
      </c>
      <c r="BH199" t="s">
        <v>74</v>
      </c>
      <c r="BI199">
        <v>26</v>
      </c>
      <c r="BJ199" t="s">
        <v>1783</v>
      </c>
      <c r="BK199" t="s">
        <v>104</v>
      </c>
      <c r="BL199" t="s">
        <v>1784</v>
      </c>
      <c r="BM199" t="s">
        <v>4280</v>
      </c>
      <c r="BN199" t="s">
        <v>74</v>
      </c>
      <c r="BO199" t="s">
        <v>206</v>
      </c>
      <c r="BP199" t="s">
        <v>74</v>
      </c>
      <c r="BQ199" t="s">
        <v>74</v>
      </c>
      <c r="BR199" t="s">
        <v>107</v>
      </c>
      <c r="BS199" t="s">
        <v>4281</v>
      </c>
      <c r="BT199" t="str">
        <f>HYPERLINK("https%3A%2F%2Fwww.webofscience.com%2Fwos%2Fwoscc%2Ffull-record%2FWOS:001043801200001","View Full Record in Web of Science")</f>
        <v>View Full Record in Web of Science</v>
      </c>
    </row>
    <row r="200" spans="1:72" x14ac:dyDescent="0.15">
      <c r="A200" t="s">
        <v>72</v>
      </c>
      <c r="B200" t="s">
        <v>4282</v>
      </c>
      <c r="C200" t="s">
        <v>74</v>
      </c>
      <c r="D200" t="s">
        <v>74</v>
      </c>
      <c r="E200" t="s">
        <v>74</v>
      </c>
      <c r="F200" t="s">
        <v>4283</v>
      </c>
      <c r="G200" t="s">
        <v>74</v>
      </c>
      <c r="H200" t="s">
        <v>74</v>
      </c>
      <c r="I200" t="s">
        <v>4284</v>
      </c>
      <c r="J200" t="s">
        <v>2292</v>
      </c>
      <c r="K200" t="s">
        <v>74</v>
      </c>
      <c r="L200" t="s">
        <v>74</v>
      </c>
      <c r="M200" t="s">
        <v>78</v>
      </c>
      <c r="N200" t="s">
        <v>79</v>
      </c>
      <c r="O200" t="s">
        <v>74</v>
      </c>
      <c r="P200" t="s">
        <v>74</v>
      </c>
      <c r="Q200" t="s">
        <v>74</v>
      </c>
      <c r="R200" t="s">
        <v>74</v>
      </c>
      <c r="S200" t="s">
        <v>74</v>
      </c>
      <c r="T200" t="s">
        <v>4285</v>
      </c>
      <c r="U200" t="s">
        <v>4286</v>
      </c>
      <c r="V200" t="s">
        <v>4287</v>
      </c>
      <c r="W200" t="s">
        <v>4288</v>
      </c>
      <c r="X200" t="s">
        <v>4289</v>
      </c>
      <c r="Y200" t="s">
        <v>4290</v>
      </c>
      <c r="Z200" t="s">
        <v>4291</v>
      </c>
      <c r="AA200" t="s">
        <v>74</v>
      </c>
      <c r="AB200" t="s">
        <v>74</v>
      </c>
      <c r="AC200" t="s">
        <v>4292</v>
      </c>
      <c r="AD200" t="s">
        <v>4293</v>
      </c>
      <c r="AE200" t="s">
        <v>4294</v>
      </c>
      <c r="AF200" t="s">
        <v>74</v>
      </c>
      <c r="AG200">
        <v>88</v>
      </c>
      <c r="AH200">
        <v>2</v>
      </c>
      <c r="AI200">
        <v>2</v>
      </c>
      <c r="AJ200">
        <v>26</v>
      </c>
      <c r="AK200">
        <v>31</v>
      </c>
      <c r="AL200" t="s">
        <v>2305</v>
      </c>
      <c r="AM200" t="s">
        <v>538</v>
      </c>
      <c r="AN200" t="s">
        <v>2306</v>
      </c>
      <c r="AO200" t="s">
        <v>2307</v>
      </c>
      <c r="AP200" t="s">
        <v>2308</v>
      </c>
      <c r="AQ200" t="s">
        <v>74</v>
      </c>
      <c r="AR200" t="s">
        <v>2309</v>
      </c>
      <c r="AS200" t="s">
        <v>2310</v>
      </c>
      <c r="AT200" t="s">
        <v>97</v>
      </c>
      <c r="AU200">
        <v>2023</v>
      </c>
      <c r="AV200">
        <v>194</v>
      </c>
      <c r="AW200" t="s">
        <v>74</v>
      </c>
      <c r="AX200" t="s">
        <v>4295</v>
      </c>
      <c r="AY200" t="s">
        <v>74</v>
      </c>
      <c r="AZ200" t="s">
        <v>74</v>
      </c>
      <c r="BA200" t="s">
        <v>74</v>
      </c>
      <c r="BB200" t="s">
        <v>74</v>
      </c>
      <c r="BC200" t="s">
        <v>74</v>
      </c>
      <c r="BD200">
        <v>115380</v>
      </c>
      <c r="BE200" t="s">
        <v>4296</v>
      </c>
      <c r="BF200" t="str">
        <f>HYPERLINK("http://dx.doi.org/10.1016/j.marpolbul.2023.115380","http://dx.doi.org/10.1016/j.marpolbul.2023.115380")</f>
        <v>http://dx.doi.org/10.1016/j.marpolbul.2023.115380</v>
      </c>
      <c r="BG200" t="s">
        <v>74</v>
      </c>
      <c r="BH200" t="s">
        <v>1812</v>
      </c>
      <c r="BI200">
        <v>8</v>
      </c>
      <c r="BJ200" t="s">
        <v>1001</v>
      </c>
      <c r="BK200" t="s">
        <v>104</v>
      </c>
      <c r="BL200" t="s">
        <v>1002</v>
      </c>
      <c r="BM200" t="s">
        <v>4297</v>
      </c>
      <c r="BN200">
        <v>37562239</v>
      </c>
      <c r="BO200" t="s">
        <v>74</v>
      </c>
      <c r="BP200" t="s">
        <v>74</v>
      </c>
      <c r="BQ200" t="s">
        <v>74</v>
      </c>
      <c r="BR200" t="s">
        <v>107</v>
      </c>
      <c r="BS200" t="s">
        <v>4298</v>
      </c>
      <c r="BT200" t="str">
        <f>HYPERLINK("https%3A%2F%2Fwww.webofscience.com%2Fwos%2Fwoscc%2Ffull-record%2FWOS:001059869800001","View Full Record in Web of Science")</f>
        <v>View Full Record in Web of Science</v>
      </c>
    </row>
    <row r="201" spans="1:72" x14ac:dyDescent="0.15">
      <c r="A201" t="s">
        <v>72</v>
      </c>
      <c r="B201" t="s">
        <v>4299</v>
      </c>
      <c r="C201" t="s">
        <v>74</v>
      </c>
      <c r="D201" t="s">
        <v>74</v>
      </c>
      <c r="E201" t="s">
        <v>74</v>
      </c>
      <c r="F201" t="s">
        <v>4300</v>
      </c>
      <c r="G201" t="s">
        <v>74</v>
      </c>
      <c r="H201" t="s">
        <v>74</v>
      </c>
      <c r="I201" t="s">
        <v>4301</v>
      </c>
      <c r="J201" t="s">
        <v>4302</v>
      </c>
      <c r="K201" t="s">
        <v>74</v>
      </c>
      <c r="L201" t="s">
        <v>74</v>
      </c>
      <c r="M201" t="s">
        <v>78</v>
      </c>
      <c r="N201" t="s">
        <v>79</v>
      </c>
      <c r="O201" t="s">
        <v>74</v>
      </c>
      <c r="P201" t="s">
        <v>74</v>
      </c>
      <c r="Q201" t="s">
        <v>74</v>
      </c>
      <c r="R201" t="s">
        <v>74</v>
      </c>
      <c r="S201" t="s">
        <v>74</v>
      </c>
      <c r="T201" t="s">
        <v>4303</v>
      </c>
      <c r="U201" t="s">
        <v>4304</v>
      </c>
      <c r="V201" t="s">
        <v>4305</v>
      </c>
      <c r="W201" t="s">
        <v>4306</v>
      </c>
      <c r="X201" t="s">
        <v>4307</v>
      </c>
      <c r="Y201" t="s">
        <v>4308</v>
      </c>
      <c r="Z201" t="s">
        <v>4309</v>
      </c>
      <c r="AA201" t="s">
        <v>4310</v>
      </c>
      <c r="AB201" t="s">
        <v>4311</v>
      </c>
      <c r="AC201" t="s">
        <v>4312</v>
      </c>
      <c r="AD201" t="s">
        <v>4313</v>
      </c>
      <c r="AE201" t="s">
        <v>4314</v>
      </c>
      <c r="AF201" t="s">
        <v>74</v>
      </c>
      <c r="AG201">
        <v>62</v>
      </c>
      <c r="AH201">
        <v>1</v>
      </c>
      <c r="AI201">
        <v>1</v>
      </c>
      <c r="AJ201">
        <v>3</v>
      </c>
      <c r="AK201">
        <v>3</v>
      </c>
      <c r="AL201" t="s">
        <v>2762</v>
      </c>
      <c r="AM201" t="s">
        <v>2763</v>
      </c>
      <c r="AN201" t="s">
        <v>2764</v>
      </c>
      <c r="AO201" t="s">
        <v>4315</v>
      </c>
      <c r="AP201" t="s">
        <v>4316</v>
      </c>
      <c r="AQ201" t="s">
        <v>74</v>
      </c>
      <c r="AR201" t="s">
        <v>4317</v>
      </c>
      <c r="AS201" t="s">
        <v>4318</v>
      </c>
      <c r="AT201" t="s">
        <v>4319</v>
      </c>
      <c r="AU201">
        <v>2023</v>
      </c>
      <c r="AV201">
        <v>61</v>
      </c>
      <c r="AW201">
        <v>4</v>
      </c>
      <c r="AX201" t="s">
        <v>74</v>
      </c>
      <c r="AY201" t="s">
        <v>74</v>
      </c>
      <c r="AZ201" t="s">
        <v>99</v>
      </c>
      <c r="BA201" t="s">
        <v>74</v>
      </c>
      <c r="BB201">
        <v>273</v>
      </c>
      <c r="BC201">
        <v>292</v>
      </c>
      <c r="BD201" t="s">
        <v>74</v>
      </c>
      <c r="BE201" t="s">
        <v>4320</v>
      </c>
      <c r="BF201" t="str">
        <f>HYPERLINK("http://dx.doi.org/10.1080/07055900.2023.2252387","http://dx.doi.org/10.1080/07055900.2023.2252387")</f>
        <v>http://dx.doi.org/10.1080/07055900.2023.2252387</v>
      </c>
      <c r="BG201" t="s">
        <v>74</v>
      </c>
      <c r="BH201" t="s">
        <v>1812</v>
      </c>
      <c r="BI201">
        <v>20</v>
      </c>
      <c r="BJ201" t="s">
        <v>4321</v>
      </c>
      <c r="BK201" t="s">
        <v>104</v>
      </c>
      <c r="BL201" t="s">
        <v>4321</v>
      </c>
      <c r="BM201" t="s">
        <v>4322</v>
      </c>
      <c r="BN201" t="s">
        <v>74</v>
      </c>
      <c r="BO201" t="s">
        <v>549</v>
      </c>
      <c r="BP201" t="s">
        <v>74</v>
      </c>
      <c r="BQ201" t="s">
        <v>74</v>
      </c>
      <c r="BR201" t="s">
        <v>107</v>
      </c>
      <c r="BS201" t="s">
        <v>4323</v>
      </c>
      <c r="BT201" t="str">
        <f>HYPERLINK("https%3A%2F%2Fwww.webofscience.com%2Fwos%2Fwoscc%2Ffull-record%2FWOS:001058878600001","View Full Record in Web of Science")</f>
        <v>View Full Record in Web of Science</v>
      </c>
    </row>
    <row r="202" spans="1:72" x14ac:dyDescent="0.15">
      <c r="A202" t="s">
        <v>72</v>
      </c>
      <c r="B202" t="s">
        <v>4324</v>
      </c>
      <c r="C202" t="s">
        <v>74</v>
      </c>
      <c r="D202" t="s">
        <v>74</v>
      </c>
      <c r="E202" t="s">
        <v>74</v>
      </c>
      <c r="F202" t="s">
        <v>4325</v>
      </c>
      <c r="G202" t="s">
        <v>74</v>
      </c>
      <c r="H202" t="s">
        <v>74</v>
      </c>
      <c r="I202" t="s">
        <v>4326</v>
      </c>
      <c r="J202" t="s">
        <v>4327</v>
      </c>
      <c r="K202" t="s">
        <v>74</v>
      </c>
      <c r="L202" t="s">
        <v>74</v>
      </c>
      <c r="M202" t="s">
        <v>78</v>
      </c>
      <c r="N202" t="s">
        <v>424</v>
      </c>
      <c r="O202" t="s">
        <v>74</v>
      </c>
      <c r="P202" t="s">
        <v>74</v>
      </c>
      <c r="Q202" t="s">
        <v>74</v>
      </c>
      <c r="R202" t="s">
        <v>74</v>
      </c>
      <c r="S202" t="s">
        <v>74</v>
      </c>
      <c r="T202" t="s">
        <v>4328</v>
      </c>
      <c r="U202" t="s">
        <v>4329</v>
      </c>
      <c r="V202" t="s">
        <v>4330</v>
      </c>
      <c r="W202" t="s">
        <v>4331</v>
      </c>
      <c r="X202" t="s">
        <v>4332</v>
      </c>
      <c r="Y202" t="s">
        <v>4333</v>
      </c>
      <c r="Z202" t="s">
        <v>4334</v>
      </c>
      <c r="AA202" t="s">
        <v>4335</v>
      </c>
      <c r="AB202" t="s">
        <v>4336</v>
      </c>
      <c r="AC202" t="s">
        <v>4337</v>
      </c>
      <c r="AD202" t="s">
        <v>4338</v>
      </c>
      <c r="AE202" t="s">
        <v>4339</v>
      </c>
      <c r="AF202" t="s">
        <v>74</v>
      </c>
      <c r="AG202">
        <v>127</v>
      </c>
      <c r="AH202">
        <v>5</v>
      </c>
      <c r="AI202">
        <v>5</v>
      </c>
      <c r="AJ202">
        <v>15</v>
      </c>
      <c r="AK202">
        <v>21</v>
      </c>
      <c r="AL202" t="s">
        <v>994</v>
      </c>
      <c r="AM202" t="s">
        <v>995</v>
      </c>
      <c r="AN202" t="s">
        <v>996</v>
      </c>
      <c r="AO202" t="s">
        <v>74</v>
      </c>
      <c r="AP202" t="s">
        <v>4340</v>
      </c>
      <c r="AQ202" t="s">
        <v>74</v>
      </c>
      <c r="AR202" t="s">
        <v>4341</v>
      </c>
      <c r="AS202" t="s">
        <v>4342</v>
      </c>
      <c r="AT202" t="s">
        <v>4319</v>
      </c>
      <c r="AU202">
        <v>2023</v>
      </c>
      <c r="AV202">
        <v>11</v>
      </c>
      <c r="AW202" t="s">
        <v>74</v>
      </c>
      <c r="AX202" t="s">
        <v>74</v>
      </c>
      <c r="AY202" t="s">
        <v>74</v>
      </c>
      <c r="AZ202" t="s">
        <v>74</v>
      </c>
      <c r="BA202" t="s">
        <v>74</v>
      </c>
      <c r="BB202" t="s">
        <v>74</v>
      </c>
      <c r="BC202" t="s">
        <v>74</v>
      </c>
      <c r="BD202">
        <v>1229283</v>
      </c>
      <c r="BE202" t="s">
        <v>4343</v>
      </c>
      <c r="BF202" t="str">
        <f>HYPERLINK("http://dx.doi.org/10.3389/fenvs.2023.1229283","http://dx.doi.org/10.3389/fenvs.2023.1229283")</f>
        <v>http://dx.doi.org/10.3389/fenvs.2023.1229283</v>
      </c>
      <c r="BG202" t="s">
        <v>74</v>
      </c>
      <c r="BH202" t="s">
        <v>74</v>
      </c>
      <c r="BI202">
        <v>15</v>
      </c>
      <c r="BJ202" t="s">
        <v>2050</v>
      </c>
      <c r="BK202" t="s">
        <v>104</v>
      </c>
      <c r="BL202" t="s">
        <v>1535</v>
      </c>
      <c r="BM202" t="s">
        <v>4344</v>
      </c>
      <c r="BN202" t="s">
        <v>74</v>
      </c>
      <c r="BO202" t="s">
        <v>1048</v>
      </c>
      <c r="BP202" t="s">
        <v>74</v>
      </c>
      <c r="BQ202" t="s">
        <v>74</v>
      </c>
      <c r="BR202" t="s">
        <v>107</v>
      </c>
      <c r="BS202" t="s">
        <v>4345</v>
      </c>
      <c r="BT202" t="str">
        <f>HYPERLINK("https%3A%2F%2Fwww.webofscience.com%2Fwos%2Fwoscc%2Ffull-record%2FWOS:001052584500001","View Full Record in Web of Science")</f>
        <v>View Full Record in Web of Science</v>
      </c>
    </row>
    <row r="203" spans="1:72" x14ac:dyDescent="0.15">
      <c r="A203" t="s">
        <v>72</v>
      </c>
      <c r="B203" t="s">
        <v>4346</v>
      </c>
      <c r="C203" t="s">
        <v>74</v>
      </c>
      <c r="D203" t="s">
        <v>74</v>
      </c>
      <c r="E203" t="s">
        <v>74</v>
      </c>
      <c r="F203" t="s">
        <v>4347</v>
      </c>
      <c r="G203" t="s">
        <v>74</v>
      </c>
      <c r="H203" t="s">
        <v>74</v>
      </c>
      <c r="I203" t="s">
        <v>4348</v>
      </c>
      <c r="J203" t="s">
        <v>2917</v>
      </c>
      <c r="K203" t="s">
        <v>74</v>
      </c>
      <c r="L203" t="s">
        <v>74</v>
      </c>
      <c r="M203" t="s">
        <v>78</v>
      </c>
      <c r="N203" t="s">
        <v>79</v>
      </c>
      <c r="O203" t="s">
        <v>74</v>
      </c>
      <c r="P203" t="s">
        <v>74</v>
      </c>
      <c r="Q203" t="s">
        <v>74</v>
      </c>
      <c r="R203" t="s">
        <v>74</v>
      </c>
      <c r="S203" t="s">
        <v>74</v>
      </c>
      <c r="T203" t="s">
        <v>74</v>
      </c>
      <c r="U203" t="s">
        <v>4349</v>
      </c>
      <c r="V203" t="s">
        <v>4350</v>
      </c>
      <c r="W203" t="s">
        <v>4351</v>
      </c>
      <c r="X203" t="s">
        <v>4352</v>
      </c>
      <c r="Y203" t="s">
        <v>4353</v>
      </c>
      <c r="Z203" t="s">
        <v>4354</v>
      </c>
      <c r="AA203" t="s">
        <v>4355</v>
      </c>
      <c r="AB203" t="s">
        <v>4356</v>
      </c>
      <c r="AC203" t="s">
        <v>4357</v>
      </c>
      <c r="AD203" t="s">
        <v>4358</v>
      </c>
      <c r="AE203" t="s">
        <v>4359</v>
      </c>
      <c r="AF203" t="s">
        <v>74</v>
      </c>
      <c r="AG203">
        <v>101</v>
      </c>
      <c r="AH203">
        <v>0</v>
      </c>
      <c r="AI203">
        <v>0</v>
      </c>
      <c r="AJ203">
        <v>5</v>
      </c>
      <c r="AK203">
        <v>9</v>
      </c>
      <c r="AL203" t="s">
        <v>146</v>
      </c>
      <c r="AM203" t="s">
        <v>147</v>
      </c>
      <c r="AN203" t="s">
        <v>148</v>
      </c>
      <c r="AO203" t="s">
        <v>74</v>
      </c>
      <c r="AP203" t="s">
        <v>2929</v>
      </c>
      <c r="AQ203" t="s">
        <v>74</v>
      </c>
      <c r="AR203" t="s">
        <v>2930</v>
      </c>
      <c r="AS203" t="s">
        <v>2931</v>
      </c>
      <c r="AT203" t="s">
        <v>4319</v>
      </c>
      <c r="AU203">
        <v>2023</v>
      </c>
      <c r="AV203">
        <v>14</v>
      </c>
      <c r="AW203">
        <v>1</v>
      </c>
      <c r="AX203" t="s">
        <v>74</v>
      </c>
      <c r="AY203" t="s">
        <v>74</v>
      </c>
      <c r="AZ203" t="s">
        <v>74</v>
      </c>
      <c r="BA203" t="s">
        <v>74</v>
      </c>
      <c r="BB203" t="s">
        <v>74</v>
      </c>
      <c r="BC203" t="s">
        <v>74</v>
      </c>
      <c r="BD203" t="s">
        <v>74</v>
      </c>
      <c r="BE203" t="s">
        <v>4360</v>
      </c>
      <c r="BF203" t="str">
        <f>HYPERLINK("http://dx.doi.org/10.1038/s41467-023-39806-6","http://dx.doi.org/10.1038/s41467-023-39806-6")</f>
        <v>http://dx.doi.org/10.1038/s41467-023-39806-6</v>
      </c>
      <c r="BG203" t="s">
        <v>74</v>
      </c>
      <c r="BH203" t="s">
        <v>74</v>
      </c>
      <c r="BI203">
        <v>13</v>
      </c>
      <c r="BJ203" t="s">
        <v>1881</v>
      </c>
      <c r="BK203" t="s">
        <v>104</v>
      </c>
      <c r="BL203" t="s">
        <v>1882</v>
      </c>
      <c r="BM203" t="s">
        <v>4361</v>
      </c>
      <c r="BN203">
        <v>37553323</v>
      </c>
      <c r="BO203" t="s">
        <v>821</v>
      </c>
      <c r="BP203" t="s">
        <v>74</v>
      </c>
      <c r="BQ203" t="s">
        <v>74</v>
      </c>
      <c r="BR203" t="s">
        <v>107</v>
      </c>
      <c r="BS203" t="s">
        <v>4362</v>
      </c>
      <c r="BT203" t="str">
        <f>HYPERLINK("https%3A%2F%2Fwww.webofscience.com%2Fwos%2Fwoscc%2Ffull-record%2FWOS:001048553800036","View Full Record in Web of Science")</f>
        <v>View Full Record in Web of Science</v>
      </c>
    </row>
    <row r="204" spans="1:72" x14ac:dyDescent="0.15">
      <c r="A204" t="s">
        <v>72</v>
      </c>
      <c r="B204" t="s">
        <v>4363</v>
      </c>
      <c r="C204" t="s">
        <v>74</v>
      </c>
      <c r="D204" t="s">
        <v>74</v>
      </c>
      <c r="E204" t="s">
        <v>74</v>
      </c>
      <c r="F204" t="s">
        <v>4364</v>
      </c>
      <c r="G204" t="s">
        <v>74</v>
      </c>
      <c r="H204" t="s">
        <v>74</v>
      </c>
      <c r="I204" t="s">
        <v>4365</v>
      </c>
      <c r="J204" t="s">
        <v>2610</v>
      </c>
      <c r="K204" t="s">
        <v>74</v>
      </c>
      <c r="L204" t="s">
        <v>74</v>
      </c>
      <c r="M204" t="s">
        <v>78</v>
      </c>
      <c r="N204" t="s">
        <v>79</v>
      </c>
      <c r="O204" t="s">
        <v>74</v>
      </c>
      <c r="P204" t="s">
        <v>74</v>
      </c>
      <c r="Q204" t="s">
        <v>74</v>
      </c>
      <c r="R204" t="s">
        <v>74</v>
      </c>
      <c r="S204" t="s">
        <v>74</v>
      </c>
      <c r="T204" t="s">
        <v>74</v>
      </c>
      <c r="U204" t="s">
        <v>4366</v>
      </c>
      <c r="V204" t="s">
        <v>4367</v>
      </c>
      <c r="W204" t="s">
        <v>4368</v>
      </c>
      <c r="X204" t="s">
        <v>4369</v>
      </c>
      <c r="Y204" t="s">
        <v>4370</v>
      </c>
      <c r="Z204" t="s">
        <v>4371</v>
      </c>
      <c r="AA204" t="s">
        <v>4372</v>
      </c>
      <c r="AB204" t="s">
        <v>4373</v>
      </c>
      <c r="AC204" t="s">
        <v>4374</v>
      </c>
      <c r="AD204" t="s">
        <v>4375</v>
      </c>
      <c r="AE204" t="s">
        <v>4376</v>
      </c>
      <c r="AF204" t="s">
        <v>74</v>
      </c>
      <c r="AG204">
        <v>72</v>
      </c>
      <c r="AH204">
        <v>1</v>
      </c>
      <c r="AI204">
        <v>1</v>
      </c>
      <c r="AJ204">
        <v>2</v>
      </c>
      <c r="AK204">
        <v>5</v>
      </c>
      <c r="AL204" t="s">
        <v>2617</v>
      </c>
      <c r="AM204" t="s">
        <v>1528</v>
      </c>
      <c r="AN204" t="s">
        <v>2618</v>
      </c>
      <c r="AO204" t="s">
        <v>74</v>
      </c>
      <c r="AP204" t="s">
        <v>2619</v>
      </c>
      <c r="AQ204" t="s">
        <v>74</v>
      </c>
      <c r="AR204" t="s">
        <v>2620</v>
      </c>
      <c r="AS204" t="s">
        <v>2621</v>
      </c>
      <c r="AT204" t="s">
        <v>4319</v>
      </c>
      <c r="AU204">
        <v>2023</v>
      </c>
      <c r="AV204">
        <v>4</v>
      </c>
      <c r="AW204">
        <v>1</v>
      </c>
      <c r="AX204" t="s">
        <v>74</v>
      </c>
      <c r="AY204" t="s">
        <v>74</v>
      </c>
      <c r="AZ204" t="s">
        <v>74</v>
      </c>
      <c r="BA204" t="s">
        <v>74</v>
      </c>
      <c r="BB204" t="s">
        <v>74</v>
      </c>
      <c r="BC204" t="s">
        <v>74</v>
      </c>
      <c r="BD204">
        <v>282</v>
      </c>
      <c r="BE204" t="s">
        <v>4377</v>
      </c>
      <c r="BF204" t="str">
        <f>HYPERLINK("http://dx.doi.org/10.1038/s43247-023-00924-0","http://dx.doi.org/10.1038/s43247-023-00924-0")</f>
        <v>http://dx.doi.org/10.1038/s43247-023-00924-0</v>
      </c>
      <c r="BG204" t="s">
        <v>74</v>
      </c>
      <c r="BH204" t="s">
        <v>74</v>
      </c>
      <c r="BI204">
        <v>12</v>
      </c>
      <c r="BJ204" t="s">
        <v>1214</v>
      </c>
      <c r="BK204" t="s">
        <v>104</v>
      </c>
      <c r="BL204" t="s">
        <v>1215</v>
      </c>
      <c r="BM204" t="s">
        <v>4378</v>
      </c>
      <c r="BN204" t="s">
        <v>74</v>
      </c>
      <c r="BO204" t="s">
        <v>206</v>
      </c>
      <c r="BP204" t="s">
        <v>74</v>
      </c>
      <c r="BQ204" t="s">
        <v>74</v>
      </c>
      <c r="BR204" t="s">
        <v>107</v>
      </c>
      <c r="BS204" t="s">
        <v>4379</v>
      </c>
      <c r="BT204" t="str">
        <f>HYPERLINK("https%3A%2F%2Fwww.webofscience.com%2Fwos%2Fwoscc%2Ffull-record%2FWOS:001045290100002","View Full Record in Web of Science")</f>
        <v>View Full Record in Web of Science</v>
      </c>
    </row>
    <row r="205" spans="1:72" x14ac:dyDescent="0.15">
      <c r="A205" t="s">
        <v>72</v>
      </c>
      <c r="B205" t="s">
        <v>4380</v>
      </c>
      <c r="C205" t="s">
        <v>74</v>
      </c>
      <c r="D205" t="s">
        <v>74</v>
      </c>
      <c r="E205" t="s">
        <v>74</v>
      </c>
      <c r="F205" t="s">
        <v>4381</v>
      </c>
      <c r="G205" t="s">
        <v>74</v>
      </c>
      <c r="H205" t="s">
        <v>74</v>
      </c>
      <c r="I205" t="s">
        <v>4382</v>
      </c>
      <c r="J205" t="s">
        <v>4383</v>
      </c>
      <c r="K205" t="s">
        <v>74</v>
      </c>
      <c r="L205" t="s">
        <v>74</v>
      </c>
      <c r="M205" t="s">
        <v>78</v>
      </c>
      <c r="N205" t="s">
        <v>79</v>
      </c>
      <c r="O205" t="s">
        <v>74</v>
      </c>
      <c r="P205" t="s">
        <v>74</v>
      </c>
      <c r="Q205" t="s">
        <v>74</v>
      </c>
      <c r="R205" t="s">
        <v>74</v>
      </c>
      <c r="S205" t="s">
        <v>74</v>
      </c>
      <c r="T205" t="s">
        <v>4384</v>
      </c>
      <c r="U205" t="s">
        <v>4385</v>
      </c>
      <c r="V205" t="s">
        <v>4386</v>
      </c>
      <c r="W205" t="s">
        <v>4387</v>
      </c>
      <c r="X205" t="s">
        <v>4388</v>
      </c>
      <c r="Y205" t="s">
        <v>4389</v>
      </c>
      <c r="Z205" t="s">
        <v>4390</v>
      </c>
      <c r="AA205" t="s">
        <v>4391</v>
      </c>
      <c r="AB205" t="s">
        <v>4392</v>
      </c>
      <c r="AC205" t="s">
        <v>4393</v>
      </c>
      <c r="AD205" t="s">
        <v>4394</v>
      </c>
      <c r="AE205" t="s">
        <v>4395</v>
      </c>
      <c r="AF205" t="s">
        <v>74</v>
      </c>
      <c r="AG205">
        <v>87</v>
      </c>
      <c r="AH205">
        <v>0</v>
      </c>
      <c r="AI205">
        <v>0</v>
      </c>
      <c r="AJ205">
        <v>3</v>
      </c>
      <c r="AK205">
        <v>9</v>
      </c>
      <c r="AL205" t="s">
        <v>460</v>
      </c>
      <c r="AM205" t="s">
        <v>461</v>
      </c>
      <c r="AN205" t="s">
        <v>462</v>
      </c>
      <c r="AO205" t="s">
        <v>4396</v>
      </c>
      <c r="AP205" t="s">
        <v>4397</v>
      </c>
      <c r="AQ205" t="s">
        <v>74</v>
      </c>
      <c r="AR205" t="s">
        <v>4398</v>
      </c>
      <c r="AS205" t="s">
        <v>4399</v>
      </c>
      <c r="AT205" t="s">
        <v>3082</v>
      </c>
      <c r="AU205">
        <v>2023</v>
      </c>
      <c r="AV205">
        <v>32</v>
      </c>
      <c r="AW205">
        <v>11</v>
      </c>
      <c r="AX205" t="s">
        <v>74</v>
      </c>
      <c r="AY205" t="s">
        <v>74</v>
      </c>
      <c r="AZ205" t="s">
        <v>74</v>
      </c>
      <c r="BA205" t="s">
        <v>74</v>
      </c>
      <c r="BB205">
        <v>2033</v>
      </c>
      <c r="BC205">
        <v>2046</v>
      </c>
      <c r="BD205" t="s">
        <v>74</v>
      </c>
      <c r="BE205" t="s">
        <v>4400</v>
      </c>
      <c r="BF205" t="str">
        <f>HYPERLINK("http://dx.doi.org/10.1111/geb.13744","http://dx.doi.org/10.1111/geb.13744")</f>
        <v>http://dx.doi.org/10.1111/geb.13744</v>
      </c>
      <c r="BG205" t="s">
        <v>74</v>
      </c>
      <c r="BH205" t="s">
        <v>1812</v>
      </c>
      <c r="BI205">
        <v>14</v>
      </c>
      <c r="BJ205" t="s">
        <v>4401</v>
      </c>
      <c r="BK205" t="s">
        <v>104</v>
      </c>
      <c r="BL205" t="s">
        <v>204</v>
      </c>
      <c r="BM205" t="s">
        <v>4402</v>
      </c>
      <c r="BN205" t="s">
        <v>74</v>
      </c>
      <c r="BO205" t="s">
        <v>1128</v>
      </c>
      <c r="BP205" t="s">
        <v>74</v>
      </c>
      <c r="BQ205" t="s">
        <v>74</v>
      </c>
      <c r="BR205" t="s">
        <v>107</v>
      </c>
      <c r="BS205" t="s">
        <v>4403</v>
      </c>
      <c r="BT205" t="str">
        <f>HYPERLINK("https%3A%2F%2Fwww.webofscience.com%2Fwos%2Fwoscc%2Ffull-record%2FWOS:001044279000001","View Full Record in Web of Science")</f>
        <v>View Full Record in Web of Science</v>
      </c>
    </row>
    <row r="206" spans="1:72" x14ac:dyDescent="0.15">
      <c r="A206" t="s">
        <v>72</v>
      </c>
      <c r="B206" t="s">
        <v>4404</v>
      </c>
      <c r="C206" t="s">
        <v>74</v>
      </c>
      <c r="D206" t="s">
        <v>74</v>
      </c>
      <c r="E206" t="s">
        <v>74</v>
      </c>
      <c r="F206" t="s">
        <v>4405</v>
      </c>
      <c r="G206" t="s">
        <v>74</v>
      </c>
      <c r="H206" t="s">
        <v>74</v>
      </c>
      <c r="I206" t="s">
        <v>4406</v>
      </c>
      <c r="J206" t="s">
        <v>3756</v>
      </c>
      <c r="K206" t="s">
        <v>74</v>
      </c>
      <c r="L206" t="s">
        <v>74</v>
      </c>
      <c r="M206" t="s">
        <v>78</v>
      </c>
      <c r="N206" t="s">
        <v>79</v>
      </c>
      <c r="O206" t="s">
        <v>74</v>
      </c>
      <c r="P206" t="s">
        <v>74</v>
      </c>
      <c r="Q206" t="s">
        <v>74</v>
      </c>
      <c r="R206" t="s">
        <v>74</v>
      </c>
      <c r="S206" t="s">
        <v>74</v>
      </c>
      <c r="T206" t="s">
        <v>4407</v>
      </c>
      <c r="U206" t="s">
        <v>4408</v>
      </c>
      <c r="V206" t="s">
        <v>4409</v>
      </c>
      <c r="W206" t="s">
        <v>4410</v>
      </c>
      <c r="X206" t="s">
        <v>4411</v>
      </c>
      <c r="Y206" t="s">
        <v>4412</v>
      </c>
      <c r="Z206" t="s">
        <v>4413</v>
      </c>
      <c r="AA206" t="s">
        <v>74</v>
      </c>
      <c r="AB206" t="s">
        <v>4414</v>
      </c>
      <c r="AC206" t="s">
        <v>4415</v>
      </c>
      <c r="AD206" t="s">
        <v>4415</v>
      </c>
      <c r="AE206" t="s">
        <v>4416</v>
      </c>
      <c r="AF206" t="s">
        <v>74</v>
      </c>
      <c r="AG206">
        <v>68</v>
      </c>
      <c r="AH206">
        <v>0</v>
      </c>
      <c r="AI206">
        <v>0</v>
      </c>
      <c r="AJ206">
        <v>0</v>
      </c>
      <c r="AK206">
        <v>4</v>
      </c>
      <c r="AL206" t="s">
        <v>298</v>
      </c>
      <c r="AM206" t="s">
        <v>299</v>
      </c>
      <c r="AN206" t="s">
        <v>300</v>
      </c>
      <c r="AO206" t="s">
        <v>3767</v>
      </c>
      <c r="AP206" t="s">
        <v>3768</v>
      </c>
      <c r="AQ206" t="s">
        <v>74</v>
      </c>
      <c r="AR206" t="s">
        <v>3769</v>
      </c>
      <c r="AS206" t="s">
        <v>3770</v>
      </c>
      <c r="AT206" t="s">
        <v>1810</v>
      </c>
      <c r="AU206">
        <v>2023</v>
      </c>
      <c r="AV206">
        <v>46</v>
      </c>
      <c r="AW206">
        <v>10</v>
      </c>
      <c r="AX206" t="s">
        <v>74</v>
      </c>
      <c r="AY206" t="s">
        <v>74</v>
      </c>
      <c r="AZ206" t="s">
        <v>74</v>
      </c>
      <c r="BA206" t="s">
        <v>74</v>
      </c>
      <c r="BB206">
        <v>1039</v>
      </c>
      <c r="BC206">
        <v>1052</v>
      </c>
      <c r="BD206" t="s">
        <v>74</v>
      </c>
      <c r="BE206" t="s">
        <v>4417</v>
      </c>
      <c r="BF206" t="str">
        <f>HYPERLINK("http://dx.doi.org/10.1007/s00300-023-03181-1","http://dx.doi.org/10.1007/s00300-023-03181-1")</f>
        <v>http://dx.doi.org/10.1007/s00300-023-03181-1</v>
      </c>
      <c r="BG206" t="s">
        <v>74</v>
      </c>
      <c r="BH206" t="s">
        <v>1812</v>
      </c>
      <c r="BI206">
        <v>14</v>
      </c>
      <c r="BJ206" t="s">
        <v>3772</v>
      </c>
      <c r="BK206" t="s">
        <v>104</v>
      </c>
      <c r="BL206" t="s">
        <v>1905</v>
      </c>
      <c r="BM206" t="s">
        <v>4418</v>
      </c>
      <c r="BN206" t="s">
        <v>74</v>
      </c>
      <c r="BO206" t="s">
        <v>549</v>
      </c>
      <c r="BP206" t="s">
        <v>74</v>
      </c>
      <c r="BQ206" t="s">
        <v>74</v>
      </c>
      <c r="BR206" t="s">
        <v>107</v>
      </c>
      <c r="BS206" t="s">
        <v>4419</v>
      </c>
      <c r="BT206" t="str">
        <f>HYPERLINK("https%3A%2F%2Fwww.webofscience.com%2Fwos%2Fwoscc%2Ffull-record%2FWOS:001044299400001","View Full Record in Web of Science")</f>
        <v>View Full Record in Web of Science</v>
      </c>
    </row>
    <row r="207" spans="1:72" x14ac:dyDescent="0.15">
      <c r="A207" t="s">
        <v>72</v>
      </c>
      <c r="B207" t="s">
        <v>4420</v>
      </c>
      <c r="C207" t="s">
        <v>74</v>
      </c>
      <c r="D207" t="s">
        <v>74</v>
      </c>
      <c r="E207" t="s">
        <v>74</v>
      </c>
      <c r="F207" t="s">
        <v>4421</v>
      </c>
      <c r="G207" t="s">
        <v>74</v>
      </c>
      <c r="H207" t="s">
        <v>74</v>
      </c>
      <c r="I207" t="s">
        <v>4422</v>
      </c>
      <c r="J207" t="s">
        <v>1763</v>
      </c>
      <c r="K207" t="s">
        <v>74</v>
      </c>
      <c r="L207" t="s">
        <v>74</v>
      </c>
      <c r="M207" t="s">
        <v>78</v>
      </c>
      <c r="N207" t="s">
        <v>79</v>
      </c>
      <c r="O207" t="s">
        <v>74</v>
      </c>
      <c r="P207" t="s">
        <v>74</v>
      </c>
      <c r="Q207" t="s">
        <v>74</v>
      </c>
      <c r="R207" t="s">
        <v>74</v>
      </c>
      <c r="S207" t="s">
        <v>74</v>
      </c>
      <c r="T207" t="s">
        <v>74</v>
      </c>
      <c r="U207" t="s">
        <v>4423</v>
      </c>
      <c r="V207" t="s">
        <v>4424</v>
      </c>
      <c r="W207" t="s">
        <v>4425</v>
      </c>
      <c r="X207" t="s">
        <v>4426</v>
      </c>
      <c r="Y207" t="s">
        <v>4427</v>
      </c>
      <c r="Z207" t="s">
        <v>4428</v>
      </c>
      <c r="AA207" t="s">
        <v>4429</v>
      </c>
      <c r="AB207" t="s">
        <v>4430</v>
      </c>
      <c r="AC207" t="s">
        <v>4431</v>
      </c>
      <c r="AD207" t="s">
        <v>4432</v>
      </c>
      <c r="AE207" t="s">
        <v>4433</v>
      </c>
      <c r="AF207" t="s">
        <v>74</v>
      </c>
      <c r="AG207">
        <v>39</v>
      </c>
      <c r="AH207">
        <v>1</v>
      </c>
      <c r="AI207">
        <v>1</v>
      </c>
      <c r="AJ207">
        <v>0</v>
      </c>
      <c r="AK207">
        <v>1</v>
      </c>
      <c r="AL207" t="s">
        <v>1775</v>
      </c>
      <c r="AM207" t="s">
        <v>1776</v>
      </c>
      <c r="AN207" t="s">
        <v>1777</v>
      </c>
      <c r="AO207" t="s">
        <v>1778</v>
      </c>
      <c r="AP207" t="s">
        <v>1779</v>
      </c>
      <c r="AQ207" t="s">
        <v>74</v>
      </c>
      <c r="AR207" t="s">
        <v>1763</v>
      </c>
      <c r="AS207" t="s">
        <v>1780</v>
      </c>
      <c r="AT207" t="s">
        <v>4319</v>
      </c>
      <c r="AU207">
        <v>2023</v>
      </c>
      <c r="AV207">
        <v>17</v>
      </c>
      <c r="AW207">
        <v>8</v>
      </c>
      <c r="AX207" t="s">
        <v>74</v>
      </c>
      <c r="AY207" t="s">
        <v>74</v>
      </c>
      <c r="AZ207" t="s">
        <v>74</v>
      </c>
      <c r="BA207" t="s">
        <v>74</v>
      </c>
      <c r="BB207">
        <v>3193</v>
      </c>
      <c r="BC207">
        <v>3201</v>
      </c>
      <c r="BD207" t="s">
        <v>74</v>
      </c>
      <c r="BE207" t="s">
        <v>4434</v>
      </c>
      <c r="BF207" t="str">
        <f>HYPERLINK("http://dx.doi.org/10.5194/tc-17-3193-2023","http://dx.doi.org/10.5194/tc-17-3193-2023")</f>
        <v>http://dx.doi.org/10.5194/tc-17-3193-2023</v>
      </c>
      <c r="BG207" t="s">
        <v>74</v>
      </c>
      <c r="BH207" t="s">
        <v>74</v>
      </c>
      <c r="BI207">
        <v>9</v>
      </c>
      <c r="BJ207" t="s">
        <v>1783</v>
      </c>
      <c r="BK207" t="s">
        <v>104</v>
      </c>
      <c r="BL207" t="s">
        <v>1784</v>
      </c>
      <c r="BM207" t="s">
        <v>4435</v>
      </c>
      <c r="BN207" t="s">
        <v>74</v>
      </c>
      <c r="BO207" t="s">
        <v>3243</v>
      </c>
      <c r="BP207" t="s">
        <v>74</v>
      </c>
      <c r="BQ207" t="s">
        <v>74</v>
      </c>
      <c r="BR207" t="s">
        <v>107</v>
      </c>
      <c r="BS207" t="s">
        <v>4436</v>
      </c>
      <c r="BT207" t="str">
        <f>HYPERLINK("https%3A%2F%2Fwww.webofscience.com%2Fwos%2Fwoscc%2Ffull-record%2FWOS:001044362500001","View Full Record in Web of Science")</f>
        <v>View Full Record in Web of Science</v>
      </c>
    </row>
    <row r="208" spans="1:72" x14ac:dyDescent="0.15">
      <c r="A208" t="s">
        <v>72</v>
      </c>
      <c r="B208" t="s">
        <v>4437</v>
      </c>
      <c r="C208" t="s">
        <v>74</v>
      </c>
      <c r="D208" t="s">
        <v>74</v>
      </c>
      <c r="E208" t="s">
        <v>74</v>
      </c>
      <c r="F208" t="s">
        <v>4438</v>
      </c>
      <c r="G208" t="s">
        <v>74</v>
      </c>
      <c r="H208" t="s">
        <v>74</v>
      </c>
      <c r="I208" t="s">
        <v>4439</v>
      </c>
      <c r="J208" t="s">
        <v>2694</v>
      </c>
      <c r="K208" t="s">
        <v>74</v>
      </c>
      <c r="L208" t="s">
        <v>74</v>
      </c>
      <c r="M208" t="s">
        <v>78</v>
      </c>
      <c r="N208" t="s">
        <v>79</v>
      </c>
      <c r="O208" t="s">
        <v>74</v>
      </c>
      <c r="P208" t="s">
        <v>74</v>
      </c>
      <c r="Q208" t="s">
        <v>74</v>
      </c>
      <c r="R208" t="s">
        <v>74</v>
      </c>
      <c r="S208" t="s">
        <v>74</v>
      </c>
      <c r="T208" t="s">
        <v>74</v>
      </c>
      <c r="U208" t="s">
        <v>4440</v>
      </c>
      <c r="V208" t="s">
        <v>4441</v>
      </c>
      <c r="W208" t="s">
        <v>4442</v>
      </c>
      <c r="X208" t="s">
        <v>4443</v>
      </c>
      <c r="Y208" t="s">
        <v>4444</v>
      </c>
      <c r="Z208" t="s">
        <v>4445</v>
      </c>
      <c r="AA208" t="s">
        <v>4446</v>
      </c>
      <c r="AB208" t="s">
        <v>4447</v>
      </c>
      <c r="AC208" t="s">
        <v>4448</v>
      </c>
      <c r="AD208" t="s">
        <v>4449</v>
      </c>
      <c r="AE208" t="s">
        <v>4450</v>
      </c>
      <c r="AF208" t="s">
        <v>74</v>
      </c>
      <c r="AG208">
        <v>105</v>
      </c>
      <c r="AH208">
        <v>2</v>
      </c>
      <c r="AI208">
        <v>2</v>
      </c>
      <c r="AJ208">
        <v>14</v>
      </c>
      <c r="AK208">
        <v>19</v>
      </c>
      <c r="AL208" t="s">
        <v>146</v>
      </c>
      <c r="AM208" t="s">
        <v>147</v>
      </c>
      <c r="AN208" t="s">
        <v>148</v>
      </c>
      <c r="AO208" t="s">
        <v>2704</v>
      </c>
      <c r="AP208" t="s">
        <v>74</v>
      </c>
      <c r="AQ208" t="s">
        <v>74</v>
      </c>
      <c r="AR208" t="s">
        <v>2705</v>
      </c>
      <c r="AS208" t="s">
        <v>2706</v>
      </c>
      <c r="AT208" t="s">
        <v>97</v>
      </c>
      <c r="AU208">
        <v>2023</v>
      </c>
      <c r="AV208">
        <v>7</v>
      </c>
      <c r="AW208">
        <v>9</v>
      </c>
      <c r="AX208" t="s">
        <v>74</v>
      </c>
      <c r="AY208" t="s">
        <v>74</v>
      </c>
      <c r="AZ208" t="s">
        <v>74</v>
      </c>
      <c r="BA208" t="s">
        <v>74</v>
      </c>
      <c r="BB208">
        <v>1362</v>
      </c>
      <c r="BC208">
        <v>1372</v>
      </c>
      <c r="BD208" t="s">
        <v>74</v>
      </c>
      <c r="BE208" t="s">
        <v>4451</v>
      </c>
      <c r="BF208" t="str">
        <f>HYPERLINK("http://dx.doi.org/10.1038/s41559-023-02125-6","http://dx.doi.org/10.1038/s41559-023-02125-6")</f>
        <v>http://dx.doi.org/10.1038/s41559-023-02125-6</v>
      </c>
      <c r="BG208" t="s">
        <v>74</v>
      </c>
      <c r="BH208" t="s">
        <v>1812</v>
      </c>
      <c r="BI208">
        <v>11</v>
      </c>
      <c r="BJ208" t="s">
        <v>657</v>
      </c>
      <c r="BK208" t="s">
        <v>104</v>
      </c>
      <c r="BL208" t="s">
        <v>658</v>
      </c>
      <c r="BM208" t="s">
        <v>4452</v>
      </c>
      <c r="BN208">
        <v>37550509</v>
      </c>
      <c r="BO208" t="s">
        <v>883</v>
      </c>
      <c r="BP208" t="s">
        <v>74</v>
      </c>
      <c r="BQ208" t="s">
        <v>74</v>
      </c>
      <c r="BR208" t="s">
        <v>107</v>
      </c>
      <c r="BS208" t="s">
        <v>4453</v>
      </c>
      <c r="BT208" t="str">
        <f>HYPERLINK("https%3A%2F%2Fwww.webofscience.com%2Fwos%2Fwoscc%2Ffull-record%2FWOS:001044089900002","View Full Record in Web of Science")</f>
        <v>View Full Record in Web of Science</v>
      </c>
    </row>
    <row r="209" spans="1:72" x14ac:dyDescent="0.15">
      <c r="A209" t="s">
        <v>72</v>
      </c>
      <c r="B209" t="s">
        <v>4454</v>
      </c>
      <c r="C209" t="s">
        <v>74</v>
      </c>
      <c r="D209" t="s">
        <v>74</v>
      </c>
      <c r="E209" t="s">
        <v>74</v>
      </c>
      <c r="F209" t="s">
        <v>4455</v>
      </c>
      <c r="G209" t="s">
        <v>74</v>
      </c>
      <c r="H209" t="s">
        <v>74</v>
      </c>
      <c r="I209" t="s">
        <v>4456</v>
      </c>
      <c r="J209" t="s">
        <v>2081</v>
      </c>
      <c r="K209" t="s">
        <v>74</v>
      </c>
      <c r="L209" t="s">
        <v>74</v>
      </c>
      <c r="M209" t="s">
        <v>78</v>
      </c>
      <c r="N209" t="s">
        <v>79</v>
      </c>
      <c r="O209" t="s">
        <v>74</v>
      </c>
      <c r="P209" t="s">
        <v>74</v>
      </c>
      <c r="Q209" t="s">
        <v>74</v>
      </c>
      <c r="R209" t="s">
        <v>74</v>
      </c>
      <c r="S209" t="s">
        <v>74</v>
      </c>
      <c r="T209" t="s">
        <v>4457</v>
      </c>
      <c r="U209" t="s">
        <v>4458</v>
      </c>
      <c r="V209" t="s">
        <v>4459</v>
      </c>
      <c r="W209" t="s">
        <v>4460</v>
      </c>
      <c r="X209" t="s">
        <v>4461</v>
      </c>
      <c r="Y209" t="s">
        <v>4462</v>
      </c>
      <c r="Z209" t="s">
        <v>4463</v>
      </c>
      <c r="AA209" t="s">
        <v>4464</v>
      </c>
      <c r="AB209" t="s">
        <v>4465</v>
      </c>
      <c r="AC209" t="s">
        <v>4466</v>
      </c>
      <c r="AD209" t="s">
        <v>4467</v>
      </c>
      <c r="AE209" t="s">
        <v>4468</v>
      </c>
      <c r="AF209" t="s">
        <v>74</v>
      </c>
      <c r="AG209">
        <v>56</v>
      </c>
      <c r="AH209">
        <v>0</v>
      </c>
      <c r="AI209">
        <v>0</v>
      </c>
      <c r="AJ209">
        <v>2</v>
      </c>
      <c r="AK209">
        <v>4</v>
      </c>
      <c r="AL209" t="s">
        <v>460</v>
      </c>
      <c r="AM209" t="s">
        <v>461</v>
      </c>
      <c r="AN209" t="s">
        <v>462</v>
      </c>
      <c r="AO209" t="s">
        <v>2094</v>
      </c>
      <c r="AP209" t="s">
        <v>2095</v>
      </c>
      <c r="AQ209" t="s">
        <v>74</v>
      </c>
      <c r="AR209" t="s">
        <v>2096</v>
      </c>
      <c r="AS209" t="s">
        <v>2097</v>
      </c>
      <c r="AT209" t="s">
        <v>2125</v>
      </c>
      <c r="AU209">
        <v>2023</v>
      </c>
      <c r="AV209">
        <v>43</v>
      </c>
      <c r="AW209">
        <v>13</v>
      </c>
      <c r="AX209" t="s">
        <v>74</v>
      </c>
      <c r="AY209" t="s">
        <v>74</v>
      </c>
      <c r="AZ209" t="s">
        <v>74</v>
      </c>
      <c r="BA209" t="s">
        <v>74</v>
      </c>
      <c r="BB209">
        <v>6131</v>
      </c>
      <c r="BC209">
        <v>6149</v>
      </c>
      <c r="BD209" t="s">
        <v>74</v>
      </c>
      <c r="BE209" t="s">
        <v>4469</v>
      </c>
      <c r="BF209" t="str">
        <f>HYPERLINK("http://dx.doi.org/10.1002/joc.8195","http://dx.doi.org/10.1002/joc.8195")</f>
        <v>http://dx.doi.org/10.1002/joc.8195</v>
      </c>
      <c r="BG209" t="s">
        <v>74</v>
      </c>
      <c r="BH209" t="s">
        <v>1812</v>
      </c>
      <c r="BI209">
        <v>19</v>
      </c>
      <c r="BJ209" t="s">
        <v>103</v>
      </c>
      <c r="BK209" t="s">
        <v>104</v>
      </c>
      <c r="BL209" t="s">
        <v>103</v>
      </c>
      <c r="BM209" t="s">
        <v>4470</v>
      </c>
      <c r="BN209" t="s">
        <v>74</v>
      </c>
      <c r="BO209" t="s">
        <v>74</v>
      </c>
      <c r="BP209" t="s">
        <v>74</v>
      </c>
      <c r="BQ209" t="s">
        <v>74</v>
      </c>
      <c r="BR209" t="s">
        <v>107</v>
      </c>
      <c r="BS209" t="s">
        <v>4471</v>
      </c>
      <c r="BT209" t="str">
        <f>HYPERLINK("https%3A%2F%2Fwww.webofscience.com%2Fwos%2Fwoscc%2Ffull-record%2FWOS:001044151100001","View Full Record in Web of Science")</f>
        <v>View Full Record in Web of Science</v>
      </c>
    </row>
    <row r="210" spans="1:72" x14ac:dyDescent="0.15">
      <c r="A210" t="s">
        <v>72</v>
      </c>
      <c r="B210" t="s">
        <v>4472</v>
      </c>
      <c r="C210" t="s">
        <v>74</v>
      </c>
      <c r="D210" t="s">
        <v>74</v>
      </c>
      <c r="E210" t="s">
        <v>74</v>
      </c>
      <c r="F210" t="s">
        <v>4473</v>
      </c>
      <c r="G210" t="s">
        <v>74</v>
      </c>
      <c r="H210" t="s">
        <v>74</v>
      </c>
      <c r="I210" t="s">
        <v>4474</v>
      </c>
      <c r="J210" t="s">
        <v>4475</v>
      </c>
      <c r="K210" t="s">
        <v>74</v>
      </c>
      <c r="L210" t="s">
        <v>74</v>
      </c>
      <c r="M210" t="s">
        <v>78</v>
      </c>
      <c r="N210" t="s">
        <v>3197</v>
      </c>
      <c r="O210" t="s">
        <v>74</v>
      </c>
      <c r="P210" t="s">
        <v>74</v>
      </c>
      <c r="Q210" t="s">
        <v>74</v>
      </c>
      <c r="R210" t="s">
        <v>74</v>
      </c>
      <c r="S210" t="s">
        <v>74</v>
      </c>
      <c r="T210" t="s">
        <v>74</v>
      </c>
      <c r="U210" t="s">
        <v>4476</v>
      </c>
      <c r="V210" t="s">
        <v>4477</v>
      </c>
      <c r="W210" t="s">
        <v>4478</v>
      </c>
      <c r="X210" t="s">
        <v>4479</v>
      </c>
      <c r="Y210" t="s">
        <v>4480</v>
      </c>
      <c r="Z210" t="s">
        <v>4481</v>
      </c>
      <c r="AA210" t="s">
        <v>4482</v>
      </c>
      <c r="AB210" t="s">
        <v>4483</v>
      </c>
      <c r="AC210" t="s">
        <v>4484</v>
      </c>
      <c r="AD210" t="s">
        <v>4485</v>
      </c>
      <c r="AE210" t="s">
        <v>4486</v>
      </c>
      <c r="AF210" t="s">
        <v>74</v>
      </c>
      <c r="AG210">
        <v>85</v>
      </c>
      <c r="AH210">
        <v>1</v>
      </c>
      <c r="AI210">
        <v>1</v>
      </c>
      <c r="AJ210">
        <v>3</v>
      </c>
      <c r="AK210">
        <v>5</v>
      </c>
      <c r="AL210" t="s">
        <v>146</v>
      </c>
      <c r="AM210" t="s">
        <v>147</v>
      </c>
      <c r="AN210" t="s">
        <v>148</v>
      </c>
      <c r="AO210" t="s">
        <v>74</v>
      </c>
      <c r="AP210" t="s">
        <v>4487</v>
      </c>
      <c r="AQ210" t="s">
        <v>74</v>
      </c>
      <c r="AR210" t="s">
        <v>4488</v>
      </c>
      <c r="AS210" t="s">
        <v>4489</v>
      </c>
      <c r="AT210" t="s">
        <v>4490</v>
      </c>
      <c r="AU210">
        <v>2023</v>
      </c>
      <c r="AV210">
        <v>10</v>
      </c>
      <c r="AW210">
        <v>1</v>
      </c>
      <c r="AX210" t="s">
        <v>74</v>
      </c>
      <c r="AY210" t="s">
        <v>74</v>
      </c>
      <c r="AZ210" t="s">
        <v>74</v>
      </c>
      <c r="BA210" t="s">
        <v>74</v>
      </c>
      <c r="BB210" t="s">
        <v>74</v>
      </c>
      <c r="BC210" t="s">
        <v>74</v>
      </c>
      <c r="BD210">
        <v>525</v>
      </c>
      <c r="BE210" t="s">
        <v>4491</v>
      </c>
      <c r="BF210" t="str">
        <f>HYPERLINK("http://dx.doi.org/10.1038/s41597-023-02339-0","http://dx.doi.org/10.1038/s41597-023-02339-0")</f>
        <v>http://dx.doi.org/10.1038/s41597-023-02339-0</v>
      </c>
      <c r="BG210" t="s">
        <v>74</v>
      </c>
      <c r="BH210" t="s">
        <v>74</v>
      </c>
      <c r="BI210">
        <v>15</v>
      </c>
      <c r="BJ210" t="s">
        <v>1881</v>
      </c>
      <c r="BK210" t="s">
        <v>104</v>
      </c>
      <c r="BL210" t="s">
        <v>1882</v>
      </c>
      <c r="BM210" t="s">
        <v>4492</v>
      </c>
      <c r="BN210">
        <v>37550324</v>
      </c>
      <c r="BO210" t="s">
        <v>821</v>
      </c>
      <c r="BP210" t="s">
        <v>74</v>
      </c>
      <c r="BQ210" t="s">
        <v>74</v>
      </c>
      <c r="BR210" t="s">
        <v>107</v>
      </c>
      <c r="BS210" t="s">
        <v>4493</v>
      </c>
      <c r="BT210" t="str">
        <f>HYPERLINK("https%3A%2F%2Fwww.webofscience.com%2Fwos%2Fwoscc%2Ffull-record%2FWOS:001043734100002","View Full Record in Web of Science")</f>
        <v>View Full Record in Web of Science</v>
      </c>
    </row>
    <row r="211" spans="1:72" x14ac:dyDescent="0.15">
      <c r="A211" t="s">
        <v>72</v>
      </c>
      <c r="B211" t="s">
        <v>4494</v>
      </c>
      <c r="C211" t="s">
        <v>74</v>
      </c>
      <c r="D211" t="s">
        <v>74</v>
      </c>
      <c r="E211" t="s">
        <v>74</v>
      </c>
      <c r="F211" t="s">
        <v>4495</v>
      </c>
      <c r="G211" t="s">
        <v>74</v>
      </c>
      <c r="H211" t="s">
        <v>74</v>
      </c>
      <c r="I211" t="s">
        <v>4496</v>
      </c>
      <c r="J211" t="s">
        <v>4497</v>
      </c>
      <c r="K211" t="s">
        <v>74</v>
      </c>
      <c r="L211" t="s">
        <v>74</v>
      </c>
      <c r="M211" t="s">
        <v>78</v>
      </c>
      <c r="N211" t="s">
        <v>79</v>
      </c>
      <c r="O211" t="s">
        <v>74</v>
      </c>
      <c r="P211" t="s">
        <v>74</v>
      </c>
      <c r="Q211" t="s">
        <v>74</v>
      </c>
      <c r="R211" t="s">
        <v>74</v>
      </c>
      <c r="S211" t="s">
        <v>74</v>
      </c>
      <c r="T211" t="s">
        <v>4498</v>
      </c>
      <c r="U211" t="s">
        <v>4499</v>
      </c>
      <c r="V211" t="s">
        <v>4500</v>
      </c>
      <c r="W211" t="s">
        <v>4501</v>
      </c>
      <c r="X211" t="s">
        <v>4502</v>
      </c>
      <c r="Y211" t="s">
        <v>4503</v>
      </c>
      <c r="Z211" t="s">
        <v>4504</v>
      </c>
      <c r="AA211" t="s">
        <v>74</v>
      </c>
      <c r="AB211" t="s">
        <v>4505</v>
      </c>
      <c r="AC211" t="s">
        <v>74</v>
      </c>
      <c r="AD211" t="s">
        <v>74</v>
      </c>
      <c r="AE211" t="s">
        <v>74</v>
      </c>
      <c r="AF211" t="s">
        <v>74</v>
      </c>
      <c r="AG211">
        <v>36</v>
      </c>
      <c r="AH211">
        <v>0</v>
      </c>
      <c r="AI211">
        <v>0</v>
      </c>
      <c r="AJ211">
        <v>3</v>
      </c>
      <c r="AK211">
        <v>3</v>
      </c>
      <c r="AL211" t="s">
        <v>172</v>
      </c>
      <c r="AM211" t="s">
        <v>173</v>
      </c>
      <c r="AN211" t="s">
        <v>174</v>
      </c>
      <c r="AO211" t="s">
        <v>4506</v>
      </c>
      <c r="AP211" t="s">
        <v>4507</v>
      </c>
      <c r="AQ211" t="s">
        <v>74</v>
      </c>
      <c r="AR211" t="s">
        <v>4497</v>
      </c>
      <c r="AS211" t="s">
        <v>4508</v>
      </c>
      <c r="AT211" t="s">
        <v>2643</v>
      </c>
      <c r="AU211">
        <v>2023</v>
      </c>
      <c r="AV211">
        <v>577</v>
      </c>
      <c r="AW211" t="s">
        <v>74</v>
      </c>
      <c r="AX211" t="s">
        <v>74</v>
      </c>
      <c r="AY211" t="s">
        <v>74</v>
      </c>
      <c r="AZ211" t="s">
        <v>74</v>
      </c>
      <c r="BA211" t="s">
        <v>74</v>
      </c>
      <c r="BB211" t="s">
        <v>74</v>
      </c>
      <c r="BC211" t="s">
        <v>74</v>
      </c>
      <c r="BD211">
        <v>739963</v>
      </c>
      <c r="BE211" t="s">
        <v>4509</v>
      </c>
      <c r="BF211" t="str">
        <f>HYPERLINK("http://dx.doi.org/10.1016/j.aquaculture.2023.739963","http://dx.doi.org/10.1016/j.aquaculture.2023.739963")</f>
        <v>http://dx.doi.org/10.1016/j.aquaculture.2023.739963</v>
      </c>
      <c r="BG211" t="s">
        <v>74</v>
      </c>
      <c r="BH211" t="s">
        <v>1812</v>
      </c>
      <c r="BI211">
        <v>11</v>
      </c>
      <c r="BJ211" t="s">
        <v>1757</v>
      </c>
      <c r="BK211" t="s">
        <v>104</v>
      </c>
      <c r="BL211" t="s">
        <v>1757</v>
      </c>
      <c r="BM211" t="s">
        <v>4510</v>
      </c>
      <c r="BN211" t="s">
        <v>74</v>
      </c>
      <c r="BO211" t="s">
        <v>74</v>
      </c>
      <c r="BP211" t="s">
        <v>74</v>
      </c>
      <c r="BQ211" t="s">
        <v>74</v>
      </c>
      <c r="BR211" t="s">
        <v>107</v>
      </c>
      <c r="BS211" t="s">
        <v>4511</v>
      </c>
      <c r="BT211" t="str">
        <f>HYPERLINK("https%3A%2F%2Fwww.webofscience.com%2Fwos%2Fwoscc%2Ffull-record%2FWOS:001055057500001","View Full Record in Web of Science")</f>
        <v>View Full Record in Web of Science</v>
      </c>
    </row>
    <row r="212" spans="1:72" x14ac:dyDescent="0.15">
      <c r="A212" t="s">
        <v>72</v>
      </c>
      <c r="B212" t="s">
        <v>4512</v>
      </c>
      <c r="C212" t="s">
        <v>74</v>
      </c>
      <c r="D212" t="s">
        <v>74</v>
      </c>
      <c r="E212" t="s">
        <v>74</v>
      </c>
      <c r="F212" t="s">
        <v>4513</v>
      </c>
      <c r="G212" t="s">
        <v>74</v>
      </c>
      <c r="H212" t="s">
        <v>74</v>
      </c>
      <c r="I212" t="s">
        <v>4514</v>
      </c>
      <c r="J212" t="s">
        <v>2081</v>
      </c>
      <c r="K212" t="s">
        <v>74</v>
      </c>
      <c r="L212" t="s">
        <v>74</v>
      </c>
      <c r="M212" t="s">
        <v>78</v>
      </c>
      <c r="N212" t="s">
        <v>79</v>
      </c>
      <c r="O212" t="s">
        <v>74</v>
      </c>
      <c r="P212" t="s">
        <v>74</v>
      </c>
      <c r="Q212" t="s">
        <v>74</v>
      </c>
      <c r="R212" t="s">
        <v>74</v>
      </c>
      <c r="S212" t="s">
        <v>74</v>
      </c>
      <c r="T212" t="s">
        <v>4515</v>
      </c>
      <c r="U212" t="s">
        <v>4516</v>
      </c>
      <c r="V212" t="s">
        <v>4517</v>
      </c>
      <c r="W212" t="s">
        <v>4518</v>
      </c>
      <c r="X212" t="s">
        <v>4519</v>
      </c>
      <c r="Y212" t="s">
        <v>4520</v>
      </c>
      <c r="Z212" t="s">
        <v>4521</v>
      </c>
      <c r="AA212" t="s">
        <v>74</v>
      </c>
      <c r="AB212" t="s">
        <v>4522</v>
      </c>
      <c r="AC212" t="s">
        <v>4523</v>
      </c>
      <c r="AD212" t="s">
        <v>4523</v>
      </c>
      <c r="AE212" t="s">
        <v>4523</v>
      </c>
      <c r="AF212" t="s">
        <v>74</v>
      </c>
      <c r="AG212">
        <v>41</v>
      </c>
      <c r="AH212">
        <v>0</v>
      </c>
      <c r="AI212">
        <v>0</v>
      </c>
      <c r="AJ212">
        <v>3</v>
      </c>
      <c r="AK212">
        <v>6</v>
      </c>
      <c r="AL212" t="s">
        <v>460</v>
      </c>
      <c r="AM212" t="s">
        <v>461</v>
      </c>
      <c r="AN212" t="s">
        <v>462</v>
      </c>
      <c r="AO212" t="s">
        <v>2094</v>
      </c>
      <c r="AP212" t="s">
        <v>2095</v>
      </c>
      <c r="AQ212" t="s">
        <v>74</v>
      </c>
      <c r="AR212" t="s">
        <v>2096</v>
      </c>
      <c r="AS212" t="s">
        <v>2097</v>
      </c>
      <c r="AT212" t="s">
        <v>2125</v>
      </c>
      <c r="AU212">
        <v>2023</v>
      </c>
      <c r="AV212">
        <v>43</v>
      </c>
      <c r="AW212">
        <v>13</v>
      </c>
      <c r="AX212" t="s">
        <v>74</v>
      </c>
      <c r="AY212" t="s">
        <v>74</v>
      </c>
      <c r="AZ212" t="s">
        <v>74</v>
      </c>
      <c r="BA212" t="s">
        <v>74</v>
      </c>
      <c r="BB212">
        <v>6225</v>
      </c>
      <c r="BC212">
        <v>6242</v>
      </c>
      <c r="BD212" t="s">
        <v>74</v>
      </c>
      <c r="BE212" t="s">
        <v>4524</v>
      </c>
      <c r="BF212" t="str">
        <f>HYPERLINK("http://dx.doi.org/10.1002/joc.8202","http://dx.doi.org/10.1002/joc.8202")</f>
        <v>http://dx.doi.org/10.1002/joc.8202</v>
      </c>
      <c r="BG212" t="s">
        <v>74</v>
      </c>
      <c r="BH212" t="s">
        <v>1812</v>
      </c>
      <c r="BI212">
        <v>18</v>
      </c>
      <c r="BJ212" t="s">
        <v>103</v>
      </c>
      <c r="BK212" t="s">
        <v>104</v>
      </c>
      <c r="BL212" t="s">
        <v>103</v>
      </c>
      <c r="BM212" t="s">
        <v>4470</v>
      </c>
      <c r="BN212" t="s">
        <v>74</v>
      </c>
      <c r="BO212" t="s">
        <v>74</v>
      </c>
      <c r="BP212" t="s">
        <v>74</v>
      </c>
      <c r="BQ212" t="s">
        <v>74</v>
      </c>
      <c r="BR212" t="s">
        <v>107</v>
      </c>
      <c r="BS212" t="s">
        <v>4525</v>
      </c>
      <c r="BT212" t="str">
        <f>HYPERLINK("https%3A%2F%2Fwww.webofscience.com%2Fwos%2Fwoscc%2Ffull-record%2FWOS:001043533900001","View Full Record in Web of Science")</f>
        <v>View Full Record in Web of Science</v>
      </c>
    </row>
    <row r="213" spans="1:72" x14ac:dyDescent="0.15">
      <c r="A213" t="s">
        <v>72</v>
      </c>
      <c r="B213" t="s">
        <v>4526</v>
      </c>
      <c r="C213" t="s">
        <v>74</v>
      </c>
      <c r="D213" t="s">
        <v>74</v>
      </c>
      <c r="E213" t="s">
        <v>74</v>
      </c>
      <c r="F213" t="s">
        <v>4527</v>
      </c>
      <c r="G213" t="s">
        <v>74</v>
      </c>
      <c r="H213" t="s">
        <v>74</v>
      </c>
      <c r="I213" t="s">
        <v>4528</v>
      </c>
      <c r="J213" t="s">
        <v>3756</v>
      </c>
      <c r="K213" t="s">
        <v>74</v>
      </c>
      <c r="L213" t="s">
        <v>74</v>
      </c>
      <c r="M213" t="s">
        <v>78</v>
      </c>
      <c r="N213" t="s">
        <v>79</v>
      </c>
      <c r="O213" t="s">
        <v>74</v>
      </c>
      <c r="P213" t="s">
        <v>74</v>
      </c>
      <c r="Q213" t="s">
        <v>74</v>
      </c>
      <c r="R213" t="s">
        <v>74</v>
      </c>
      <c r="S213" t="s">
        <v>74</v>
      </c>
      <c r="T213" t="s">
        <v>4529</v>
      </c>
      <c r="U213" t="s">
        <v>4530</v>
      </c>
      <c r="V213" t="s">
        <v>4531</v>
      </c>
      <c r="W213" t="s">
        <v>4532</v>
      </c>
      <c r="X213" t="s">
        <v>4533</v>
      </c>
      <c r="Y213" t="s">
        <v>4534</v>
      </c>
      <c r="Z213" t="s">
        <v>4535</v>
      </c>
      <c r="AA213" t="s">
        <v>74</v>
      </c>
      <c r="AB213" t="s">
        <v>4536</v>
      </c>
      <c r="AC213" t="s">
        <v>74</v>
      </c>
      <c r="AD213" t="s">
        <v>74</v>
      </c>
      <c r="AE213" t="s">
        <v>74</v>
      </c>
      <c r="AF213" t="s">
        <v>74</v>
      </c>
      <c r="AG213">
        <v>39</v>
      </c>
      <c r="AH213">
        <v>0</v>
      </c>
      <c r="AI213">
        <v>0</v>
      </c>
      <c r="AJ213">
        <v>3</v>
      </c>
      <c r="AK213">
        <v>3</v>
      </c>
      <c r="AL213" t="s">
        <v>298</v>
      </c>
      <c r="AM213" t="s">
        <v>299</v>
      </c>
      <c r="AN213" t="s">
        <v>300</v>
      </c>
      <c r="AO213" t="s">
        <v>3767</v>
      </c>
      <c r="AP213" t="s">
        <v>3768</v>
      </c>
      <c r="AQ213" t="s">
        <v>74</v>
      </c>
      <c r="AR213" t="s">
        <v>3769</v>
      </c>
      <c r="AS213" t="s">
        <v>3770</v>
      </c>
      <c r="AT213" t="s">
        <v>97</v>
      </c>
      <c r="AU213">
        <v>2023</v>
      </c>
      <c r="AV213">
        <v>46</v>
      </c>
      <c r="AW213">
        <v>9</v>
      </c>
      <c r="AX213" t="s">
        <v>74</v>
      </c>
      <c r="AY213" t="s">
        <v>74</v>
      </c>
      <c r="AZ213" t="s">
        <v>74</v>
      </c>
      <c r="BA213" t="s">
        <v>74</v>
      </c>
      <c r="BB213">
        <v>993</v>
      </c>
      <c r="BC213">
        <v>1009</v>
      </c>
      <c r="BD213" t="s">
        <v>74</v>
      </c>
      <c r="BE213" t="s">
        <v>4537</v>
      </c>
      <c r="BF213" t="str">
        <f>HYPERLINK("http://dx.doi.org/10.1007/s00300-023-03179-9","http://dx.doi.org/10.1007/s00300-023-03179-9")</f>
        <v>http://dx.doi.org/10.1007/s00300-023-03179-9</v>
      </c>
      <c r="BG213" t="s">
        <v>74</v>
      </c>
      <c r="BH213" t="s">
        <v>1812</v>
      </c>
      <c r="BI213">
        <v>17</v>
      </c>
      <c r="BJ213" t="s">
        <v>3772</v>
      </c>
      <c r="BK213" t="s">
        <v>104</v>
      </c>
      <c r="BL213" t="s">
        <v>1905</v>
      </c>
      <c r="BM213" t="s">
        <v>4538</v>
      </c>
      <c r="BN213" t="s">
        <v>74</v>
      </c>
      <c r="BO213" t="s">
        <v>74</v>
      </c>
      <c r="BP213" t="s">
        <v>74</v>
      </c>
      <c r="BQ213" t="s">
        <v>74</v>
      </c>
      <c r="BR213" t="s">
        <v>107</v>
      </c>
      <c r="BS213" t="s">
        <v>4539</v>
      </c>
      <c r="BT213" t="str">
        <f>HYPERLINK("https%3A%2F%2Fwww.webofscience.com%2Fwos%2Fwoscc%2Ffull-record%2FWOS:001041895600001","View Full Record in Web of Science")</f>
        <v>View Full Record in Web of Science</v>
      </c>
    </row>
    <row r="214" spans="1:72" x14ac:dyDescent="0.15">
      <c r="A214" t="s">
        <v>72</v>
      </c>
      <c r="B214" t="s">
        <v>4540</v>
      </c>
      <c r="C214" t="s">
        <v>74</v>
      </c>
      <c r="D214" t="s">
        <v>74</v>
      </c>
      <c r="E214" t="s">
        <v>74</v>
      </c>
      <c r="F214" t="s">
        <v>4541</v>
      </c>
      <c r="G214" t="s">
        <v>74</v>
      </c>
      <c r="H214" t="s">
        <v>74</v>
      </c>
      <c r="I214" t="s">
        <v>4542</v>
      </c>
      <c r="J214" t="s">
        <v>4543</v>
      </c>
      <c r="K214" t="s">
        <v>74</v>
      </c>
      <c r="L214" t="s">
        <v>74</v>
      </c>
      <c r="M214" t="s">
        <v>78</v>
      </c>
      <c r="N214" t="s">
        <v>79</v>
      </c>
      <c r="O214" t="s">
        <v>74</v>
      </c>
      <c r="P214" t="s">
        <v>74</v>
      </c>
      <c r="Q214" t="s">
        <v>74</v>
      </c>
      <c r="R214" t="s">
        <v>74</v>
      </c>
      <c r="S214" t="s">
        <v>74</v>
      </c>
      <c r="T214" t="s">
        <v>4544</v>
      </c>
      <c r="U214" t="s">
        <v>4545</v>
      </c>
      <c r="V214" t="s">
        <v>4546</v>
      </c>
      <c r="W214" t="s">
        <v>4547</v>
      </c>
      <c r="X214" t="s">
        <v>4548</v>
      </c>
      <c r="Y214" t="s">
        <v>4549</v>
      </c>
      <c r="Z214" t="s">
        <v>4550</v>
      </c>
      <c r="AA214" t="s">
        <v>4551</v>
      </c>
      <c r="AB214" t="s">
        <v>4552</v>
      </c>
      <c r="AC214" t="s">
        <v>74</v>
      </c>
      <c r="AD214" t="s">
        <v>74</v>
      </c>
      <c r="AE214" t="s">
        <v>74</v>
      </c>
      <c r="AF214" t="s">
        <v>74</v>
      </c>
      <c r="AG214">
        <v>56</v>
      </c>
      <c r="AH214">
        <v>0</v>
      </c>
      <c r="AI214">
        <v>0</v>
      </c>
      <c r="AJ214">
        <v>4</v>
      </c>
      <c r="AK214">
        <v>5</v>
      </c>
      <c r="AL214" t="s">
        <v>2617</v>
      </c>
      <c r="AM214" t="s">
        <v>1528</v>
      </c>
      <c r="AN214" t="s">
        <v>2618</v>
      </c>
      <c r="AO214" t="s">
        <v>4553</v>
      </c>
      <c r="AP214" t="s">
        <v>4554</v>
      </c>
      <c r="AQ214" t="s">
        <v>74</v>
      </c>
      <c r="AR214" t="s">
        <v>4555</v>
      </c>
      <c r="AS214" t="s">
        <v>4556</v>
      </c>
      <c r="AT214" t="s">
        <v>4557</v>
      </c>
      <c r="AU214">
        <v>2024</v>
      </c>
      <c r="AV214">
        <v>202</v>
      </c>
      <c r="AW214">
        <v>5</v>
      </c>
      <c r="AX214" t="s">
        <v>74</v>
      </c>
      <c r="AY214" t="s">
        <v>74</v>
      </c>
      <c r="AZ214" t="s">
        <v>74</v>
      </c>
      <c r="BA214" t="s">
        <v>74</v>
      </c>
      <c r="BB214">
        <v>2272</v>
      </c>
      <c r="BC214">
        <v>2278</v>
      </c>
      <c r="BD214" t="s">
        <v>74</v>
      </c>
      <c r="BE214" t="s">
        <v>4558</v>
      </c>
      <c r="BF214" t="str">
        <f>HYPERLINK("http://dx.doi.org/10.1007/s12011-023-03799-6","http://dx.doi.org/10.1007/s12011-023-03799-6")</f>
        <v>http://dx.doi.org/10.1007/s12011-023-03799-6</v>
      </c>
      <c r="BG214" t="s">
        <v>74</v>
      </c>
      <c r="BH214" t="s">
        <v>1812</v>
      </c>
      <c r="BI214">
        <v>7</v>
      </c>
      <c r="BJ214" t="s">
        <v>4559</v>
      </c>
      <c r="BK214" t="s">
        <v>104</v>
      </c>
      <c r="BL214" t="s">
        <v>4559</v>
      </c>
      <c r="BM214" t="s">
        <v>4560</v>
      </c>
      <c r="BN214">
        <v>37542592</v>
      </c>
      <c r="BO214" t="s">
        <v>418</v>
      </c>
      <c r="BP214" t="s">
        <v>74</v>
      </c>
      <c r="BQ214" t="s">
        <v>74</v>
      </c>
      <c r="BR214" t="s">
        <v>107</v>
      </c>
      <c r="BS214" t="s">
        <v>4561</v>
      </c>
      <c r="BT214" t="str">
        <f>HYPERLINK("https%3A%2F%2Fwww.webofscience.com%2Fwos%2Fwoscc%2Ffull-record%2FWOS:001042783100001","View Full Record in Web of Science")</f>
        <v>View Full Record in Web of Science</v>
      </c>
    </row>
    <row r="215" spans="1:72" x14ac:dyDescent="0.15">
      <c r="A215" t="s">
        <v>72</v>
      </c>
      <c r="B215" t="s">
        <v>4562</v>
      </c>
      <c r="C215" t="s">
        <v>74</v>
      </c>
      <c r="D215" t="s">
        <v>74</v>
      </c>
      <c r="E215" t="s">
        <v>74</v>
      </c>
      <c r="F215" t="s">
        <v>4563</v>
      </c>
      <c r="G215" t="s">
        <v>74</v>
      </c>
      <c r="H215" t="s">
        <v>74</v>
      </c>
      <c r="I215" t="s">
        <v>4564</v>
      </c>
      <c r="J215" t="s">
        <v>2539</v>
      </c>
      <c r="K215" t="s">
        <v>74</v>
      </c>
      <c r="L215" t="s">
        <v>74</v>
      </c>
      <c r="M215" t="s">
        <v>78</v>
      </c>
      <c r="N215" t="s">
        <v>4565</v>
      </c>
      <c r="O215" t="s">
        <v>74</v>
      </c>
      <c r="P215" t="s">
        <v>74</v>
      </c>
      <c r="Q215" t="s">
        <v>74</v>
      </c>
      <c r="R215" t="s">
        <v>74</v>
      </c>
      <c r="S215" t="s">
        <v>74</v>
      </c>
      <c r="T215" t="s">
        <v>4566</v>
      </c>
      <c r="U215" t="s">
        <v>74</v>
      </c>
      <c r="V215" t="s">
        <v>74</v>
      </c>
      <c r="W215" t="s">
        <v>4567</v>
      </c>
      <c r="X215" t="s">
        <v>4568</v>
      </c>
      <c r="Y215" t="s">
        <v>4569</v>
      </c>
      <c r="Z215" t="s">
        <v>4570</v>
      </c>
      <c r="AA215" t="s">
        <v>4571</v>
      </c>
      <c r="AB215" t="s">
        <v>4572</v>
      </c>
      <c r="AC215" t="s">
        <v>74</v>
      </c>
      <c r="AD215" t="s">
        <v>74</v>
      </c>
      <c r="AE215" t="s">
        <v>74</v>
      </c>
      <c r="AF215" t="s">
        <v>74</v>
      </c>
      <c r="AG215">
        <v>15</v>
      </c>
      <c r="AH215">
        <v>0</v>
      </c>
      <c r="AI215">
        <v>0</v>
      </c>
      <c r="AJ215">
        <v>0</v>
      </c>
      <c r="AK215">
        <v>1</v>
      </c>
      <c r="AL215" t="s">
        <v>994</v>
      </c>
      <c r="AM215" t="s">
        <v>995</v>
      </c>
      <c r="AN215" t="s">
        <v>996</v>
      </c>
      <c r="AO215" t="s">
        <v>74</v>
      </c>
      <c r="AP215" t="s">
        <v>2552</v>
      </c>
      <c r="AQ215" t="s">
        <v>74</v>
      </c>
      <c r="AR215" t="s">
        <v>2553</v>
      </c>
      <c r="AS215" t="s">
        <v>2554</v>
      </c>
      <c r="AT215" t="s">
        <v>4573</v>
      </c>
      <c r="AU215">
        <v>2023</v>
      </c>
      <c r="AV215">
        <v>11</v>
      </c>
      <c r="AW215" t="s">
        <v>74</v>
      </c>
      <c r="AX215" t="s">
        <v>74</v>
      </c>
      <c r="AY215" t="s">
        <v>74</v>
      </c>
      <c r="AZ215" t="s">
        <v>74</v>
      </c>
      <c r="BA215" t="s">
        <v>74</v>
      </c>
      <c r="BB215" t="s">
        <v>74</v>
      </c>
      <c r="BC215" t="s">
        <v>74</v>
      </c>
      <c r="BD215">
        <v>1215816</v>
      </c>
      <c r="BE215" t="s">
        <v>4574</v>
      </c>
      <c r="BF215" t="str">
        <f>HYPERLINK("http://dx.doi.org/10.3389/feart.2023.1215816","http://dx.doi.org/10.3389/feart.2023.1215816")</f>
        <v>http://dx.doi.org/10.3389/feart.2023.1215816</v>
      </c>
      <c r="BG215" t="s">
        <v>74</v>
      </c>
      <c r="BH215" t="s">
        <v>74</v>
      </c>
      <c r="BI215">
        <v>2</v>
      </c>
      <c r="BJ215" t="s">
        <v>155</v>
      </c>
      <c r="BK215" t="s">
        <v>104</v>
      </c>
      <c r="BL215" t="s">
        <v>156</v>
      </c>
      <c r="BM215" t="s">
        <v>4575</v>
      </c>
      <c r="BN215" t="s">
        <v>74</v>
      </c>
      <c r="BO215" t="s">
        <v>206</v>
      </c>
      <c r="BP215" t="s">
        <v>74</v>
      </c>
      <c r="BQ215" t="s">
        <v>74</v>
      </c>
      <c r="BR215" t="s">
        <v>107</v>
      </c>
      <c r="BS215" t="s">
        <v>4576</v>
      </c>
      <c r="BT215" t="str">
        <f>HYPERLINK("https%3A%2F%2Fwww.webofscience.com%2Fwos%2Fwoscc%2Ffull-record%2FWOS:001050636400001","View Full Record in Web of Science")</f>
        <v>View Full Record in Web of Science</v>
      </c>
    </row>
    <row r="216" spans="1:72" x14ac:dyDescent="0.15">
      <c r="A216" t="s">
        <v>72</v>
      </c>
      <c r="B216" t="s">
        <v>4577</v>
      </c>
      <c r="C216" t="s">
        <v>74</v>
      </c>
      <c r="D216" t="s">
        <v>74</v>
      </c>
      <c r="E216" t="s">
        <v>74</v>
      </c>
      <c r="F216" t="s">
        <v>4578</v>
      </c>
      <c r="G216" t="s">
        <v>74</v>
      </c>
      <c r="H216" t="s">
        <v>74</v>
      </c>
      <c r="I216" t="s">
        <v>4579</v>
      </c>
      <c r="J216" t="s">
        <v>4580</v>
      </c>
      <c r="K216" t="s">
        <v>74</v>
      </c>
      <c r="L216" t="s">
        <v>74</v>
      </c>
      <c r="M216" t="s">
        <v>78</v>
      </c>
      <c r="N216" t="s">
        <v>79</v>
      </c>
      <c r="O216" t="s">
        <v>74</v>
      </c>
      <c r="P216" t="s">
        <v>74</v>
      </c>
      <c r="Q216" t="s">
        <v>74</v>
      </c>
      <c r="R216" t="s">
        <v>74</v>
      </c>
      <c r="S216" t="s">
        <v>74</v>
      </c>
      <c r="T216" t="s">
        <v>4581</v>
      </c>
      <c r="U216" t="s">
        <v>4582</v>
      </c>
      <c r="V216" t="s">
        <v>4583</v>
      </c>
      <c r="W216" t="s">
        <v>4584</v>
      </c>
      <c r="X216" t="s">
        <v>4585</v>
      </c>
      <c r="Y216" t="s">
        <v>4586</v>
      </c>
      <c r="Z216" t="s">
        <v>4587</v>
      </c>
      <c r="AA216" t="s">
        <v>4588</v>
      </c>
      <c r="AB216" t="s">
        <v>4589</v>
      </c>
      <c r="AC216" t="s">
        <v>4590</v>
      </c>
      <c r="AD216" t="s">
        <v>4591</v>
      </c>
      <c r="AE216" t="s">
        <v>4592</v>
      </c>
      <c r="AF216" t="s">
        <v>74</v>
      </c>
      <c r="AG216">
        <v>68</v>
      </c>
      <c r="AH216">
        <v>0</v>
      </c>
      <c r="AI216">
        <v>0</v>
      </c>
      <c r="AJ216">
        <v>12</v>
      </c>
      <c r="AK216">
        <v>16</v>
      </c>
      <c r="AL216" t="s">
        <v>460</v>
      </c>
      <c r="AM216" t="s">
        <v>461</v>
      </c>
      <c r="AN216" t="s">
        <v>462</v>
      </c>
      <c r="AO216" t="s">
        <v>4593</v>
      </c>
      <c r="AP216" t="s">
        <v>4594</v>
      </c>
      <c r="AQ216" t="s">
        <v>74</v>
      </c>
      <c r="AR216" t="s">
        <v>4595</v>
      </c>
      <c r="AS216" t="s">
        <v>4596</v>
      </c>
      <c r="AT216" t="s">
        <v>3082</v>
      </c>
      <c r="AU216">
        <v>2023</v>
      </c>
      <c r="AV216">
        <v>24</v>
      </c>
      <c r="AW216">
        <v>6</v>
      </c>
      <c r="AX216" t="s">
        <v>74</v>
      </c>
      <c r="AY216" t="s">
        <v>74</v>
      </c>
      <c r="AZ216" t="s">
        <v>74</v>
      </c>
      <c r="BA216" t="s">
        <v>74</v>
      </c>
      <c r="BB216">
        <v>1003</v>
      </c>
      <c r="BC216">
        <v>1019</v>
      </c>
      <c r="BD216" t="s">
        <v>74</v>
      </c>
      <c r="BE216" t="s">
        <v>4597</v>
      </c>
      <c r="BF216" t="str">
        <f>HYPERLINK("http://dx.doi.org/10.1111/faf.12781","http://dx.doi.org/10.1111/faf.12781")</f>
        <v>http://dx.doi.org/10.1111/faf.12781</v>
      </c>
      <c r="BG216" t="s">
        <v>74</v>
      </c>
      <c r="BH216" t="s">
        <v>1812</v>
      </c>
      <c r="BI216">
        <v>17</v>
      </c>
      <c r="BJ216" t="s">
        <v>4598</v>
      </c>
      <c r="BK216" t="s">
        <v>104</v>
      </c>
      <c r="BL216" t="s">
        <v>4598</v>
      </c>
      <c r="BM216" t="s">
        <v>4599</v>
      </c>
      <c r="BN216" t="s">
        <v>74</v>
      </c>
      <c r="BO216" t="s">
        <v>418</v>
      </c>
      <c r="BP216" t="s">
        <v>74</v>
      </c>
      <c r="BQ216" t="s">
        <v>74</v>
      </c>
      <c r="BR216" t="s">
        <v>107</v>
      </c>
      <c r="BS216" t="s">
        <v>4600</v>
      </c>
      <c r="BT216" t="str">
        <f>HYPERLINK("https%3A%2F%2Fwww.webofscience.com%2Fwos%2Fwoscc%2Ffull-record%2FWOS:001042855200001","View Full Record in Web of Science")</f>
        <v>View Full Record in Web of Science</v>
      </c>
    </row>
    <row r="217" spans="1:72" x14ac:dyDescent="0.15">
      <c r="A217" t="s">
        <v>72</v>
      </c>
      <c r="B217" t="s">
        <v>4601</v>
      </c>
      <c r="C217" t="s">
        <v>74</v>
      </c>
      <c r="D217" t="s">
        <v>74</v>
      </c>
      <c r="E217" t="s">
        <v>74</v>
      </c>
      <c r="F217" t="s">
        <v>4602</v>
      </c>
      <c r="G217" t="s">
        <v>74</v>
      </c>
      <c r="H217" t="s">
        <v>74</v>
      </c>
      <c r="I217" t="s">
        <v>4603</v>
      </c>
      <c r="J217" t="s">
        <v>1790</v>
      </c>
      <c r="K217" t="s">
        <v>74</v>
      </c>
      <c r="L217" t="s">
        <v>74</v>
      </c>
      <c r="M217" t="s">
        <v>78</v>
      </c>
      <c r="N217" t="s">
        <v>1911</v>
      </c>
      <c r="O217" t="s">
        <v>74</v>
      </c>
      <c r="P217" t="s">
        <v>74</v>
      </c>
      <c r="Q217" t="s">
        <v>74</v>
      </c>
      <c r="R217" t="s">
        <v>74</v>
      </c>
      <c r="S217" t="s">
        <v>74</v>
      </c>
      <c r="T217" t="s">
        <v>4604</v>
      </c>
      <c r="U217" t="s">
        <v>4605</v>
      </c>
      <c r="V217" t="s">
        <v>4606</v>
      </c>
      <c r="W217" t="s">
        <v>4607</v>
      </c>
      <c r="X217" t="s">
        <v>4608</v>
      </c>
      <c r="Y217" t="s">
        <v>4609</v>
      </c>
      <c r="Z217" t="s">
        <v>4610</v>
      </c>
      <c r="AA217" t="s">
        <v>4611</v>
      </c>
      <c r="AB217" t="s">
        <v>4612</v>
      </c>
      <c r="AC217" t="s">
        <v>4613</v>
      </c>
      <c r="AD217" t="s">
        <v>4614</v>
      </c>
      <c r="AE217" t="s">
        <v>4615</v>
      </c>
      <c r="AF217" t="s">
        <v>74</v>
      </c>
      <c r="AG217">
        <v>56</v>
      </c>
      <c r="AH217">
        <v>0</v>
      </c>
      <c r="AI217">
        <v>0</v>
      </c>
      <c r="AJ217">
        <v>0</v>
      </c>
      <c r="AK217">
        <v>1</v>
      </c>
      <c r="AL217" t="s">
        <v>1803</v>
      </c>
      <c r="AM217" t="s">
        <v>299</v>
      </c>
      <c r="AN217" t="s">
        <v>1924</v>
      </c>
      <c r="AO217" t="s">
        <v>1806</v>
      </c>
      <c r="AP217" t="s">
        <v>1807</v>
      </c>
      <c r="AQ217" t="s">
        <v>74</v>
      </c>
      <c r="AR217" t="s">
        <v>1808</v>
      </c>
      <c r="AS217" t="s">
        <v>1809</v>
      </c>
      <c r="AT217" t="s">
        <v>4616</v>
      </c>
      <c r="AU217">
        <v>2023</v>
      </c>
      <c r="AV217" t="s">
        <v>74</v>
      </c>
      <c r="AW217" t="s">
        <v>74</v>
      </c>
      <c r="AX217" t="s">
        <v>74</v>
      </c>
      <c r="AY217" t="s">
        <v>74</v>
      </c>
      <c r="AZ217" t="s">
        <v>74</v>
      </c>
      <c r="BA217" t="s">
        <v>74</v>
      </c>
      <c r="BB217" t="s">
        <v>74</v>
      </c>
      <c r="BC217" t="s">
        <v>74</v>
      </c>
      <c r="BD217" t="s">
        <v>4617</v>
      </c>
      <c r="BE217" t="s">
        <v>4618</v>
      </c>
      <c r="BF217" t="str">
        <f>HYPERLINK("http://dx.doi.org/10.1017/S095410202300010X","http://dx.doi.org/10.1017/S095410202300010X")</f>
        <v>http://dx.doi.org/10.1017/S095410202300010X</v>
      </c>
      <c r="BG217" t="s">
        <v>74</v>
      </c>
      <c r="BH217" t="s">
        <v>1812</v>
      </c>
      <c r="BI217">
        <v>13</v>
      </c>
      <c r="BJ217" t="s">
        <v>1813</v>
      </c>
      <c r="BK217" t="s">
        <v>104</v>
      </c>
      <c r="BL217" t="s">
        <v>1814</v>
      </c>
      <c r="BM217" t="s">
        <v>4619</v>
      </c>
      <c r="BN217" t="s">
        <v>74</v>
      </c>
      <c r="BO217" t="s">
        <v>74</v>
      </c>
      <c r="BP217" t="s">
        <v>74</v>
      </c>
      <c r="BQ217" t="s">
        <v>74</v>
      </c>
      <c r="BR217" t="s">
        <v>107</v>
      </c>
      <c r="BS217" t="s">
        <v>4620</v>
      </c>
      <c r="BT217" t="str">
        <f>HYPERLINK("https%3A%2F%2Fwww.webofscience.com%2Fwos%2Fwoscc%2Ffull-record%2FWOS:001042401100001","View Full Record in Web of Science")</f>
        <v>View Full Record in Web of Science</v>
      </c>
    </row>
    <row r="218" spans="1:72" x14ac:dyDescent="0.15">
      <c r="A218" t="s">
        <v>72</v>
      </c>
      <c r="B218" t="s">
        <v>4621</v>
      </c>
      <c r="C218" t="s">
        <v>74</v>
      </c>
      <c r="D218" t="s">
        <v>74</v>
      </c>
      <c r="E218" t="s">
        <v>74</v>
      </c>
      <c r="F218" t="s">
        <v>4622</v>
      </c>
      <c r="G218" t="s">
        <v>74</v>
      </c>
      <c r="H218" t="s">
        <v>74</v>
      </c>
      <c r="I218" t="s">
        <v>4623</v>
      </c>
      <c r="J218" t="s">
        <v>2031</v>
      </c>
      <c r="K218" t="s">
        <v>74</v>
      </c>
      <c r="L218" t="s">
        <v>74</v>
      </c>
      <c r="M218" t="s">
        <v>78</v>
      </c>
      <c r="N218" t="s">
        <v>4565</v>
      </c>
      <c r="O218" t="s">
        <v>74</v>
      </c>
      <c r="P218" t="s">
        <v>74</v>
      </c>
      <c r="Q218" t="s">
        <v>74</v>
      </c>
      <c r="R218" t="s">
        <v>74</v>
      </c>
      <c r="S218" t="s">
        <v>74</v>
      </c>
      <c r="T218" t="s">
        <v>74</v>
      </c>
      <c r="U218" t="s">
        <v>74</v>
      </c>
      <c r="V218" t="s">
        <v>74</v>
      </c>
      <c r="W218" t="s">
        <v>4624</v>
      </c>
      <c r="X218" t="s">
        <v>4625</v>
      </c>
      <c r="Y218" t="s">
        <v>4626</v>
      </c>
      <c r="Z218" t="s">
        <v>4627</v>
      </c>
      <c r="AA218" t="s">
        <v>4628</v>
      </c>
      <c r="AB218" t="s">
        <v>4629</v>
      </c>
      <c r="AC218" t="s">
        <v>74</v>
      </c>
      <c r="AD218" t="s">
        <v>74</v>
      </c>
      <c r="AE218" t="s">
        <v>74</v>
      </c>
      <c r="AF218" t="s">
        <v>74</v>
      </c>
      <c r="AG218">
        <v>0</v>
      </c>
      <c r="AH218">
        <v>0</v>
      </c>
      <c r="AI218">
        <v>0</v>
      </c>
      <c r="AJ218">
        <v>2</v>
      </c>
      <c r="AK218">
        <v>4</v>
      </c>
      <c r="AL218" t="s">
        <v>172</v>
      </c>
      <c r="AM218" t="s">
        <v>173</v>
      </c>
      <c r="AN218" t="s">
        <v>174</v>
      </c>
      <c r="AO218" t="s">
        <v>2044</v>
      </c>
      <c r="AP218" t="s">
        <v>2045</v>
      </c>
      <c r="AQ218" t="s">
        <v>74</v>
      </c>
      <c r="AR218" t="s">
        <v>2046</v>
      </c>
      <c r="AS218" t="s">
        <v>2047</v>
      </c>
      <c r="AT218" t="s">
        <v>3818</v>
      </c>
      <c r="AU218">
        <v>2023</v>
      </c>
      <c r="AV218">
        <v>901</v>
      </c>
      <c r="AW218" t="s">
        <v>74</v>
      </c>
      <c r="AX218" t="s">
        <v>74</v>
      </c>
      <c r="AY218" t="s">
        <v>74</v>
      </c>
      <c r="AZ218" t="s">
        <v>74</v>
      </c>
      <c r="BA218" t="s">
        <v>74</v>
      </c>
      <c r="BB218" t="s">
        <v>74</v>
      </c>
      <c r="BC218" t="s">
        <v>74</v>
      </c>
      <c r="BD218">
        <v>165870</v>
      </c>
      <c r="BE218" t="s">
        <v>4630</v>
      </c>
      <c r="BF218" t="str">
        <f>HYPERLINK("http://dx.doi.org/10.1016/j.scitotenv.2023.165870","http://dx.doi.org/10.1016/j.scitotenv.2023.165870")</f>
        <v>http://dx.doi.org/10.1016/j.scitotenv.2023.165870</v>
      </c>
      <c r="BG218" t="s">
        <v>74</v>
      </c>
      <c r="BH218" t="s">
        <v>1812</v>
      </c>
      <c r="BI218">
        <v>2</v>
      </c>
      <c r="BJ218" t="s">
        <v>2050</v>
      </c>
      <c r="BK218" t="s">
        <v>104</v>
      </c>
      <c r="BL218" t="s">
        <v>1535</v>
      </c>
      <c r="BM218" t="s">
        <v>4631</v>
      </c>
      <c r="BN218">
        <v>37543017</v>
      </c>
      <c r="BO218" t="s">
        <v>549</v>
      </c>
      <c r="BP218" t="s">
        <v>74</v>
      </c>
      <c r="BQ218" t="s">
        <v>74</v>
      </c>
      <c r="BR218" t="s">
        <v>107</v>
      </c>
      <c r="BS218" t="s">
        <v>4632</v>
      </c>
      <c r="BT218" t="str">
        <f>HYPERLINK("https%3A%2F%2Fwww.webofscience.com%2Fwos%2Fwoscc%2Ffull-record%2FWOS:001057609500001","View Full Record in Web of Science")</f>
        <v>View Full Record in Web of Science</v>
      </c>
    </row>
    <row r="219" spans="1:72" x14ac:dyDescent="0.15">
      <c r="A219" t="s">
        <v>72</v>
      </c>
      <c r="B219" t="s">
        <v>4633</v>
      </c>
      <c r="C219" t="s">
        <v>74</v>
      </c>
      <c r="D219" t="s">
        <v>74</v>
      </c>
      <c r="E219" t="s">
        <v>74</v>
      </c>
      <c r="F219" t="s">
        <v>4634</v>
      </c>
      <c r="G219" t="s">
        <v>74</v>
      </c>
      <c r="H219" t="s">
        <v>74</v>
      </c>
      <c r="I219" t="s">
        <v>4635</v>
      </c>
      <c r="J219" t="s">
        <v>1868</v>
      </c>
      <c r="K219" t="s">
        <v>74</v>
      </c>
      <c r="L219" t="s">
        <v>74</v>
      </c>
      <c r="M219" t="s">
        <v>78</v>
      </c>
      <c r="N219" t="s">
        <v>79</v>
      </c>
      <c r="O219" t="s">
        <v>74</v>
      </c>
      <c r="P219" t="s">
        <v>74</v>
      </c>
      <c r="Q219" t="s">
        <v>74</v>
      </c>
      <c r="R219" t="s">
        <v>74</v>
      </c>
      <c r="S219" t="s">
        <v>74</v>
      </c>
      <c r="T219" t="s">
        <v>74</v>
      </c>
      <c r="U219" t="s">
        <v>4636</v>
      </c>
      <c r="V219" t="s">
        <v>4637</v>
      </c>
      <c r="W219" t="s">
        <v>4638</v>
      </c>
      <c r="X219" t="s">
        <v>4639</v>
      </c>
      <c r="Y219" t="s">
        <v>4640</v>
      </c>
      <c r="Z219" t="s">
        <v>4641</v>
      </c>
      <c r="AA219" t="s">
        <v>4642</v>
      </c>
      <c r="AB219" t="s">
        <v>4643</v>
      </c>
      <c r="AC219" t="s">
        <v>4644</v>
      </c>
      <c r="AD219" t="s">
        <v>4645</v>
      </c>
      <c r="AE219" t="s">
        <v>4646</v>
      </c>
      <c r="AF219" t="s">
        <v>74</v>
      </c>
      <c r="AG219">
        <v>58</v>
      </c>
      <c r="AH219">
        <v>5</v>
      </c>
      <c r="AI219">
        <v>5</v>
      </c>
      <c r="AJ219">
        <v>32</v>
      </c>
      <c r="AK219">
        <v>55</v>
      </c>
      <c r="AL219" t="s">
        <v>146</v>
      </c>
      <c r="AM219" t="s">
        <v>147</v>
      </c>
      <c r="AN219" t="s">
        <v>148</v>
      </c>
      <c r="AO219" t="s">
        <v>1877</v>
      </c>
      <c r="AP219" t="s">
        <v>1878</v>
      </c>
      <c r="AQ219" t="s">
        <v>74</v>
      </c>
      <c r="AR219" t="s">
        <v>1868</v>
      </c>
      <c r="AS219" t="s">
        <v>1879</v>
      </c>
      <c r="AT219" t="s">
        <v>4647</v>
      </c>
      <c r="AU219">
        <v>2023</v>
      </c>
      <c r="AV219">
        <v>620</v>
      </c>
      <c r="AW219">
        <v>7972</v>
      </c>
      <c r="AX219" t="s">
        <v>74</v>
      </c>
      <c r="AY219" t="s">
        <v>74</v>
      </c>
      <c r="AZ219" t="s">
        <v>74</v>
      </c>
      <c r="BA219" t="s">
        <v>74</v>
      </c>
      <c r="BB219">
        <v>104</v>
      </c>
      <c r="BC219" t="s">
        <v>153</v>
      </c>
      <c r="BD219" t="s">
        <v>74</v>
      </c>
      <c r="BE219" t="s">
        <v>4648</v>
      </c>
      <c r="BF219" t="str">
        <f>HYPERLINK("http://dx.doi.org/10.1038/s41586-023-06210-5","http://dx.doi.org/10.1038/s41586-023-06210-5")</f>
        <v>http://dx.doi.org/10.1038/s41586-023-06210-5</v>
      </c>
      <c r="BG219" t="s">
        <v>74</v>
      </c>
      <c r="BH219" t="s">
        <v>74</v>
      </c>
      <c r="BI219">
        <v>15</v>
      </c>
      <c r="BJ219" t="s">
        <v>1881</v>
      </c>
      <c r="BK219" t="s">
        <v>104</v>
      </c>
      <c r="BL219" t="s">
        <v>1882</v>
      </c>
      <c r="BM219" t="s">
        <v>4649</v>
      </c>
      <c r="BN219">
        <v>37532817</v>
      </c>
      <c r="BO219" t="s">
        <v>74</v>
      </c>
      <c r="BP219" t="s">
        <v>74</v>
      </c>
      <c r="BQ219" t="s">
        <v>74</v>
      </c>
      <c r="BR219" t="s">
        <v>107</v>
      </c>
      <c r="BS219" t="s">
        <v>4650</v>
      </c>
      <c r="BT219" t="str">
        <f>HYPERLINK("https%3A%2F%2Fwww.webofscience.com%2Fwos%2Fwoscc%2Ffull-record%2FWOS:001042130400015","View Full Record in Web of Science")</f>
        <v>View Full Record in Web of Science</v>
      </c>
    </row>
    <row r="220" spans="1:72" x14ac:dyDescent="0.15">
      <c r="A220" t="s">
        <v>72</v>
      </c>
      <c r="B220" t="s">
        <v>4651</v>
      </c>
      <c r="C220" t="s">
        <v>74</v>
      </c>
      <c r="D220" t="s">
        <v>74</v>
      </c>
      <c r="E220" t="s">
        <v>74</v>
      </c>
      <c r="F220" t="s">
        <v>4652</v>
      </c>
      <c r="G220" t="s">
        <v>74</v>
      </c>
      <c r="H220" t="s">
        <v>74</v>
      </c>
      <c r="I220" t="s">
        <v>4653</v>
      </c>
      <c r="J220" t="s">
        <v>3001</v>
      </c>
      <c r="K220" t="s">
        <v>74</v>
      </c>
      <c r="L220" t="s">
        <v>74</v>
      </c>
      <c r="M220" t="s">
        <v>78</v>
      </c>
      <c r="N220" t="s">
        <v>1911</v>
      </c>
      <c r="O220" t="s">
        <v>74</v>
      </c>
      <c r="P220" t="s">
        <v>74</v>
      </c>
      <c r="Q220" t="s">
        <v>74</v>
      </c>
      <c r="R220" t="s">
        <v>74</v>
      </c>
      <c r="S220" t="s">
        <v>74</v>
      </c>
      <c r="T220" t="s">
        <v>4654</v>
      </c>
      <c r="U220" t="s">
        <v>4655</v>
      </c>
      <c r="V220" t="s">
        <v>4656</v>
      </c>
      <c r="W220" t="s">
        <v>4657</v>
      </c>
      <c r="X220" t="s">
        <v>4658</v>
      </c>
      <c r="Y220" t="s">
        <v>4659</v>
      </c>
      <c r="Z220" t="s">
        <v>4660</v>
      </c>
      <c r="AA220" t="s">
        <v>4661</v>
      </c>
      <c r="AB220" t="s">
        <v>74</v>
      </c>
      <c r="AC220" t="s">
        <v>74</v>
      </c>
      <c r="AD220" t="s">
        <v>74</v>
      </c>
      <c r="AE220" t="s">
        <v>74</v>
      </c>
      <c r="AF220" t="s">
        <v>74</v>
      </c>
      <c r="AG220">
        <v>86</v>
      </c>
      <c r="AH220">
        <v>0</v>
      </c>
      <c r="AI220">
        <v>0</v>
      </c>
      <c r="AJ220">
        <v>5</v>
      </c>
      <c r="AK220">
        <v>8</v>
      </c>
      <c r="AL220" t="s">
        <v>3013</v>
      </c>
      <c r="AM220" t="s">
        <v>3014</v>
      </c>
      <c r="AN220" t="s">
        <v>3015</v>
      </c>
      <c r="AO220" t="s">
        <v>3016</v>
      </c>
      <c r="AP220" t="s">
        <v>3017</v>
      </c>
      <c r="AQ220" t="s">
        <v>74</v>
      </c>
      <c r="AR220" t="s">
        <v>3018</v>
      </c>
      <c r="AS220" t="s">
        <v>3019</v>
      </c>
      <c r="AT220" t="s">
        <v>4662</v>
      </c>
      <c r="AU220">
        <v>2023</v>
      </c>
      <c r="AV220" t="s">
        <v>74</v>
      </c>
      <c r="AW220" t="s">
        <v>74</v>
      </c>
      <c r="AX220" t="s">
        <v>74</v>
      </c>
      <c r="AY220" t="s">
        <v>74</v>
      </c>
      <c r="AZ220" t="s">
        <v>74</v>
      </c>
      <c r="BA220" t="s">
        <v>74</v>
      </c>
      <c r="BB220" t="s">
        <v>74</v>
      </c>
      <c r="BC220" t="s">
        <v>74</v>
      </c>
      <c r="BD220" t="s">
        <v>74</v>
      </c>
      <c r="BE220" t="s">
        <v>4663</v>
      </c>
      <c r="BF220" t="str">
        <f>HYPERLINK("http://dx.doi.org/10.1071/MF22142","http://dx.doi.org/10.1071/MF22142")</f>
        <v>http://dx.doi.org/10.1071/MF22142</v>
      </c>
      <c r="BG220" t="s">
        <v>74</v>
      </c>
      <c r="BH220" t="s">
        <v>1812</v>
      </c>
      <c r="BI220">
        <v>11</v>
      </c>
      <c r="BJ220" t="s">
        <v>3021</v>
      </c>
      <c r="BK220" t="s">
        <v>104</v>
      </c>
      <c r="BL220" t="s">
        <v>2771</v>
      </c>
      <c r="BM220" t="s">
        <v>4664</v>
      </c>
      <c r="BN220" t="s">
        <v>74</v>
      </c>
      <c r="BO220" t="s">
        <v>549</v>
      </c>
      <c r="BP220" t="s">
        <v>74</v>
      </c>
      <c r="BQ220" t="s">
        <v>74</v>
      </c>
      <c r="BR220" t="s">
        <v>107</v>
      </c>
      <c r="BS220" t="s">
        <v>4665</v>
      </c>
      <c r="BT220" t="str">
        <f>HYPERLINK("https%3A%2F%2Fwww.webofscience.com%2Fwos%2Fwoscc%2Ffull-record%2FWOS:001042069400001","View Full Record in Web of Science")</f>
        <v>View Full Record in Web of Science</v>
      </c>
    </row>
    <row r="221" spans="1:72" x14ac:dyDescent="0.15">
      <c r="A221" t="s">
        <v>72</v>
      </c>
      <c r="B221" t="s">
        <v>4666</v>
      </c>
      <c r="C221" t="s">
        <v>74</v>
      </c>
      <c r="D221" t="s">
        <v>74</v>
      </c>
      <c r="E221" t="s">
        <v>74</v>
      </c>
      <c r="F221" t="s">
        <v>4667</v>
      </c>
      <c r="G221" t="s">
        <v>74</v>
      </c>
      <c r="H221" t="s">
        <v>74</v>
      </c>
      <c r="I221" t="s">
        <v>4668</v>
      </c>
      <c r="J221" t="s">
        <v>4669</v>
      </c>
      <c r="K221" t="s">
        <v>74</v>
      </c>
      <c r="L221" t="s">
        <v>74</v>
      </c>
      <c r="M221" t="s">
        <v>78</v>
      </c>
      <c r="N221" t="s">
        <v>79</v>
      </c>
      <c r="O221" t="s">
        <v>74</v>
      </c>
      <c r="P221" t="s">
        <v>74</v>
      </c>
      <c r="Q221" t="s">
        <v>74</v>
      </c>
      <c r="R221" t="s">
        <v>74</v>
      </c>
      <c r="S221" t="s">
        <v>74</v>
      </c>
      <c r="T221" t="s">
        <v>4670</v>
      </c>
      <c r="U221" t="s">
        <v>4671</v>
      </c>
      <c r="V221" t="s">
        <v>4672</v>
      </c>
      <c r="W221" t="s">
        <v>4673</v>
      </c>
      <c r="X221" t="s">
        <v>4674</v>
      </c>
      <c r="Y221" t="s">
        <v>4675</v>
      </c>
      <c r="Z221" t="s">
        <v>4676</v>
      </c>
      <c r="AA221" t="s">
        <v>4677</v>
      </c>
      <c r="AB221" t="s">
        <v>4678</v>
      </c>
      <c r="AC221" t="s">
        <v>4679</v>
      </c>
      <c r="AD221" t="s">
        <v>4680</v>
      </c>
      <c r="AE221" t="s">
        <v>4681</v>
      </c>
      <c r="AF221" t="s">
        <v>74</v>
      </c>
      <c r="AG221">
        <v>32</v>
      </c>
      <c r="AH221">
        <v>1</v>
      </c>
      <c r="AI221">
        <v>1</v>
      </c>
      <c r="AJ221">
        <v>12</v>
      </c>
      <c r="AK221">
        <v>17</v>
      </c>
      <c r="AL221" t="s">
        <v>4682</v>
      </c>
      <c r="AM221" t="s">
        <v>4683</v>
      </c>
      <c r="AN221" t="s">
        <v>4684</v>
      </c>
      <c r="AO221" t="s">
        <v>4685</v>
      </c>
      <c r="AP221" t="s">
        <v>4686</v>
      </c>
      <c r="AQ221" t="s">
        <v>74</v>
      </c>
      <c r="AR221" t="s">
        <v>4687</v>
      </c>
      <c r="AS221" t="s">
        <v>4688</v>
      </c>
      <c r="AT221" t="s">
        <v>4689</v>
      </c>
      <c r="AU221">
        <v>2023</v>
      </c>
      <c r="AV221">
        <v>20</v>
      </c>
      <c r="AW221">
        <v>8</v>
      </c>
      <c r="AX221" t="s">
        <v>74</v>
      </c>
      <c r="AY221" t="s">
        <v>74</v>
      </c>
      <c r="AZ221" t="s">
        <v>74</v>
      </c>
      <c r="BA221" t="s">
        <v>74</v>
      </c>
      <c r="BB221" t="s">
        <v>74</v>
      </c>
      <c r="BC221" t="s">
        <v>74</v>
      </c>
      <c r="BD221" t="s">
        <v>74</v>
      </c>
      <c r="BE221" t="s">
        <v>4690</v>
      </c>
      <c r="BF221" t="str">
        <f>HYPERLINK("http://dx.doi.org/10.1002/cbdv.202300090","http://dx.doi.org/10.1002/cbdv.202300090")</f>
        <v>http://dx.doi.org/10.1002/cbdv.202300090</v>
      </c>
      <c r="BG221" t="s">
        <v>74</v>
      </c>
      <c r="BH221" t="s">
        <v>1812</v>
      </c>
      <c r="BI221">
        <v>8</v>
      </c>
      <c r="BJ221" t="s">
        <v>794</v>
      </c>
      <c r="BK221" t="s">
        <v>104</v>
      </c>
      <c r="BL221" t="s">
        <v>795</v>
      </c>
      <c r="BM221" t="s">
        <v>4691</v>
      </c>
      <c r="BN221">
        <v>37172105</v>
      </c>
      <c r="BO221" t="s">
        <v>133</v>
      </c>
      <c r="BP221" t="s">
        <v>74</v>
      </c>
      <c r="BQ221" t="s">
        <v>74</v>
      </c>
      <c r="BR221" t="s">
        <v>107</v>
      </c>
      <c r="BS221" t="s">
        <v>4692</v>
      </c>
      <c r="BT221" t="str">
        <f>HYPERLINK("https%3A%2F%2Fwww.webofscience.com%2Fwos%2Fwoscc%2Ffull-record%2FWOS:001041914300001","View Full Record in Web of Science")</f>
        <v>View Full Record in Web of Science</v>
      </c>
    </row>
    <row r="222" spans="1:72" x14ac:dyDescent="0.15">
      <c r="A222" t="s">
        <v>72</v>
      </c>
      <c r="B222" t="s">
        <v>4693</v>
      </c>
      <c r="C222" t="s">
        <v>74</v>
      </c>
      <c r="D222" t="s">
        <v>74</v>
      </c>
      <c r="E222" t="s">
        <v>74</v>
      </c>
      <c r="F222" t="s">
        <v>4694</v>
      </c>
      <c r="G222" t="s">
        <v>74</v>
      </c>
      <c r="H222" t="s">
        <v>74</v>
      </c>
      <c r="I222" t="s">
        <v>4695</v>
      </c>
      <c r="J222" t="s">
        <v>2851</v>
      </c>
      <c r="K222" t="s">
        <v>74</v>
      </c>
      <c r="L222" t="s">
        <v>74</v>
      </c>
      <c r="M222" t="s">
        <v>78</v>
      </c>
      <c r="N222" t="s">
        <v>79</v>
      </c>
      <c r="O222" t="s">
        <v>74</v>
      </c>
      <c r="P222" t="s">
        <v>74</v>
      </c>
      <c r="Q222" t="s">
        <v>74</v>
      </c>
      <c r="R222" t="s">
        <v>74</v>
      </c>
      <c r="S222" t="s">
        <v>74</v>
      </c>
      <c r="T222" t="s">
        <v>4696</v>
      </c>
      <c r="U222" t="s">
        <v>4697</v>
      </c>
      <c r="V222" t="s">
        <v>4698</v>
      </c>
      <c r="W222" t="s">
        <v>4699</v>
      </c>
      <c r="X222" t="s">
        <v>4700</v>
      </c>
      <c r="Y222" t="s">
        <v>4701</v>
      </c>
      <c r="Z222" t="s">
        <v>4702</v>
      </c>
      <c r="AA222" t="s">
        <v>4703</v>
      </c>
      <c r="AB222" t="s">
        <v>4704</v>
      </c>
      <c r="AC222" t="s">
        <v>4705</v>
      </c>
      <c r="AD222" t="s">
        <v>4706</v>
      </c>
      <c r="AE222" t="s">
        <v>4707</v>
      </c>
      <c r="AF222" t="s">
        <v>74</v>
      </c>
      <c r="AG222">
        <v>28</v>
      </c>
      <c r="AH222">
        <v>2</v>
      </c>
      <c r="AI222">
        <v>2</v>
      </c>
      <c r="AJ222">
        <v>1</v>
      </c>
      <c r="AK222">
        <v>2</v>
      </c>
      <c r="AL222" t="s">
        <v>2862</v>
      </c>
      <c r="AM222" t="s">
        <v>2863</v>
      </c>
      <c r="AN222" t="s">
        <v>2864</v>
      </c>
      <c r="AO222" t="s">
        <v>2865</v>
      </c>
      <c r="AP222" t="s">
        <v>2866</v>
      </c>
      <c r="AQ222" t="s">
        <v>74</v>
      </c>
      <c r="AR222" t="s">
        <v>2867</v>
      </c>
      <c r="AS222" t="s">
        <v>2868</v>
      </c>
      <c r="AT222" t="s">
        <v>4708</v>
      </c>
      <c r="AU222">
        <v>2023</v>
      </c>
      <c r="AV222">
        <v>42</v>
      </c>
      <c r="AW222" t="s">
        <v>74</v>
      </c>
      <c r="AX222" t="s">
        <v>74</v>
      </c>
      <c r="AY222" t="s">
        <v>74</v>
      </c>
      <c r="AZ222" t="s">
        <v>74</v>
      </c>
      <c r="BA222" t="s">
        <v>74</v>
      </c>
      <c r="BB222" t="s">
        <v>74</v>
      </c>
      <c r="BC222" t="s">
        <v>74</v>
      </c>
      <c r="BD222">
        <v>8874</v>
      </c>
      <c r="BE222" t="s">
        <v>4709</v>
      </c>
      <c r="BF222" t="str">
        <f>HYPERLINK("http://dx.doi.org/10.33265/polar.v42.8874","http://dx.doi.org/10.33265/polar.v42.8874")</f>
        <v>http://dx.doi.org/10.33265/polar.v42.8874</v>
      </c>
      <c r="BG222" t="s">
        <v>74</v>
      </c>
      <c r="BH222" t="s">
        <v>74</v>
      </c>
      <c r="BI222">
        <v>13</v>
      </c>
      <c r="BJ222" t="s">
        <v>2871</v>
      </c>
      <c r="BK222" t="s">
        <v>104</v>
      </c>
      <c r="BL222" t="s">
        <v>2872</v>
      </c>
      <c r="BM222" t="s">
        <v>4710</v>
      </c>
      <c r="BN222" t="s">
        <v>74</v>
      </c>
      <c r="BO222" t="s">
        <v>3243</v>
      </c>
      <c r="BP222" t="s">
        <v>74</v>
      </c>
      <c r="BQ222" t="s">
        <v>74</v>
      </c>
      <c r="BR222" t="s">
        <v>107</v>
      </c>
      <c r="BS222" t="s">
        <v>4711</v>
      </c>
      <c r="BT222" t="str">
        <f>HYPERLINK("https%3A%2F%2Fwww.webofscience.com%2Fwos%2Fwoscc%2Ffull-record%2FWOS:001058796900001","View Full Record in Web of Science")</f>
        <v>View Full Record in Web of Science</v>
      </c>
    </row>
    <row r="223" spans="1:72" x14ac:dyDescent="0.15">
      <c r="A223" t="s">
        <v>72</v>
      </c>
      <c r="B223" t="s">
        <v>4712</v>
      </c>
      <c r="C223" t="s">
        <v>74</v>
      </c>
      <c r="D223" t="s">
        <v>74</v>
      </c>
      <c r="E223" t="s">
        <v>74</v>
      </c>
      <c r="F223" t="s">
        <v>4713</v>
      </c>
      <c r="G223" t="s">
        <v>74</v>
      </c>
      <c r="H223" t="s">
        <v>74</v>
      </c>
      <c r="I223" t="s">
        <v>4714</v>
      </c>
      <c r="J223" t="s">
        <v>2470</v>
      </c>
      <c r="K223" t="s">
        <v>74</v>
      </c>
      <c r="L223" t="s">
        <v>74</v>
      </c>
      <c r="M223" t="s">
        <v>78</v>
      </c>
      <c r="N223" t="s">
        <v>79</v>
      </c>
      <c r="O223" t="s">
        <v>74</v>
      </c>
      <c r="P223" t="s">
        <v>74</v>
      </c>
      <c r="Q223" t="s">
        <v>74</v>
      </c>
      <c r="R223" t="s">
        <v>74</v>
      </c>
      <c r="S223" t="s">
        <v>74</v>
      </c>
      <c r="T223" t="s">
        <v>4715</v>
      </c>
      <c r="U223" t="s">
        <v>4716</v>
      </c>
      <c r="V223" t="s">
        <v>4717</v>
      </c>
      <c r="W223" t="s">
        <v>4718</v>
      </c>
      <c r="X223" t="s">
        <v>4719</v>
      </c>
      <c r="Y223" t="s">
        <v>4720</v>
      </c>
      <c r="Z223" t="s">
        <v>4721</v>
      </c>
      <c r="AA223" t="s">
        <v>4722</v>
      </c>
      <c r="AB223" t="s">
        <v>4723</v>
      </c>
      <c r="AC223" t="s">
        <v>4724</v>
      </c>
      <c r="AD223" t="s">
        <v>4725</v>
      </c>
      <c r="AE223" t="s">
        <v>4726</v>
      </c>
      <c r="AF223" t="s">
        <v>74</v>
      </c>
      <c r="AG223">
        <v>101</v>
      </c>
      <c r="AH223">
        <v>0</v>
      </c>
      <c r="AI223">
        <v>0</v>
      </c>
      <c r="AJ223">
        <v>9</v>
      </c>
      <c r="AK223">
        <v>16</v>
      </c>
      <c r="AL223" t="s">
        <v>2305</v>
      </c>
      <c r="AM223" t="s">
        <v>538</v>
      </c>
      <c r="AN223" t="s">
        <v>2306</v>
      </c>
      <c r="AO223" t="s">
        <v>2482</v>
      </c>
      <c r="AP223" t="s">
        <v>2483</v>
      </c>
      <c r="AQ223" t="s">
        <v>74</v>
      </c>
      <c r="AR223" t="s">
        <v>2484</v>
      </c>
      <c r="AS223" t="s">
        <v>2485</v>
      </c>
      <c r="AT223" t="s">
        <v>544</v>
      </c>
      <c r="AU223">
        <v>2023</v>
      </c>
      <c r="AV223">
        <v>315</v>
      </c>
      <c r="AW223" t="s">
        <v>74</v>
      </c>
      <c r="AX223" t="s">
        <v>74</v>
      </c>
      <c r="AY223" t="s">
        <v>74</v>
      </c>
      <c r="AZ223" t="s">
        <v>74</v>
      </c>
      <c r="BA223" t="s">
        <v>74</v>
      </c>
      <c r="BB223" t="s">
        <v>74</v>
      </c>
      <c r="BC223" t="s">
        <v>74</v>
      </c>
      <c r="BD223">
        <v>108241</v>
      </c>
      <c r="BE223" t="s">
        <v>4727</v>
      </c>
      <c r="BF223" t="str">
        <f>HYPERLINK("http://dx.doi.org/10.1016/j.quascirev.2023.108241","http://dx.doi.org/10.1016/j.quascirev.2023.108241")</f>
        <v>http://dx.doi.org/10.1016/j.quascirev.2023.108241</v>
      </c>
      <c r="BG223" t="s">
        <v>74</v>
      </c>
      <c r="BH223" t="s">
        <v>1812</v>
      </c>
      <c r="BI223">
        <v>14</v>
      </c>
      <c r="BJ223" t="s">
        <v>1783</v>
      </c>
      <c r="BK223" t="s">
        <v>104</v>
      </c>
      <c r="BL223" t="s">
        <v>1784</v>
      </c>
      <c r="BM223" t="s">
        <v>4728</v>
      </c>
      <c r="BN223" t="s">
        <v>74</v>
      </c>
      <c r="BO223" t="s">
        <v>74</v>
      </c>
      <c r="BP223" t="s">
        <v>74</v>
      </c>
      <c r="BQ223" t="s">
        <v>74</v>
      </c>
      <c r="BR223" t="s">
        <v>107</v>
      </c>
      <c r="BS223" t="s">
        <v>4729</v>
      </c>
      <c r="BT223" t="str">
        <f>HYPERLINK("https%3A%2F%2Fwww.webofscience.com%2Fwos%2Fwoscc%2Ffull-record%2FWOS:001052541000001","View Full Record in Web of Science")</f>
        <v>View Full Record in Web of Science</v>
      </c>
    </row>
    <row r="224" spans="1:72" x14ac:dyDescent="0.15">
      <c r="A224" t="s">
        <v>72</v>
      </c>
      <c r="B224" t="s">
        <v>4730</v>
      </c>
      <c r="C224" t="s">
        <v>74</v>
      </c>
      <c r="D224" t="s">
        <v>74</v>
      </c>
      <c r="E224" t="s">
        <v>74</v>
      </c>
      <c r="F224" t="s">
        <v>4731</v>
      </c>
      <c r="G224" t="s">
        <v>74</v>
      </c>
      <c r="H224" t="s">
        <v>74</v>
      </c>
      <c r="I224" t="s">
        <v>4732</v>
      </c>
      <c r="J224" t="s">
        <v>2031</v>
      </c>
      <c r="K224" t="s">
        <v>74</v>
      </c>
      <c r="L224" t="s">
        <v>74</v>
      </c>
      <c r="M224" t="s">
        <v>78</v>
      </c>
      <c r="N224" t="s">
        <v>79</v>
      </c>
      <c r="O224" t="s">
        <v>74</v>
      </c>
      <c r="P224" t="s">
        <v>74</v>
      </c>
      <c r="Q224" t="s">
        <v>74</v>
      </c>
      <c r="R224" t="s">
        <v>74</v>
      </c>
      <c r="S224" t="s">
        <v>74</v>
      </c>
      <c r="T224" t="s">
        <v>4733</v>
      </c>
      <c r="U224" t="s">
        <v>4734</v>
      </c>
      <c r="V224" t="s">
        <v>4735</v>
      </c>
      <c r="W224" t="s">
        <v>4736</v>
      </c>
      <c r="X224" t="s">
        <v>4737</v>
      </c>
      <c r="Y224" t="s">
        <v>4738</v>
      </c>
      <c r="Z224" t="s">
        <v>4739</v>
      </c>
      <c r="AA224" t="s">
        <v>74</v>
      </c>
      <c r="AB224" t="s">
        <v>4740</v>
      </c>
      <c r="AC224" t="s">
        <v>4741</v>
      </c>
      <c r="AD224" t="s">
        <v>4741</v>
      </c>
      <c r="AE224" t="s">
        <v>4742</v>
      </c>
      <c r="AF224" t="s">
        <v>74</v>
      </c>
      <c r="AG224">
        <v>96</v>
      </c>
      <c r="AH224">
        <v>2</v>
      </c>
      <c r="AI224">
        <v>2</v>
      </c>
      <c r="AJ224">
        <v>3</v>
      </c>
      <c r="AK224">
        <v>11</v>
      </c>
      <c r="AL224" t="s">
        <v>172</v>
      </c>
      <c r="AM224" t="s">
        <v>173</v>
      </c>
      <c r="AN224" t="s">
        <v>174</v>
      </c>
      <c r="AO224" t="s">
        <v>2044</v>
      </c>
      <c r="AP224" t="s">
        <v>2045</v>
      </c>
      <c r="AQ224" t="s">
        <v>74</v>
      </c>
      <c r="AR224" t="s">
        <v>2046</v>
      </c>
      <c r="AS224" t="s">
        <v>2047</v>
      </c>
      <c r="AT224" t="s">
        <v>4743</v>
      </c>
      <c r="AU224">
        <v>2023</v>
      </c>
      <c r="AV224">
        <v>900</v>
      </c>
      <c r="AW224" t="s">
        <v>74</v>
      </c>
      <c r="AX224" t="s">
        <v>74</v>
      </c>
      <c r="AY224" t="s">
        <v>74</v>
      </c>
      <c r="AZ224" t="s">
        <v>74</v>
      </c>
      <c r="BA224" t="s">
        <v>74</v>
      </c>
      <c r="BB224" t="s">
        <v>74</v>
      </c>
      <c r="BC224" t="s">
        <v>74</v>
      </c>
      <c r="BD224">
        <v>165565</v>
      </c>
      <c r="BE224" t="s">
        <v>4744</v>
      </c>
      <c r="BF224" t="str">
        <f>HYPERLINK("http://dx.doi.org/10.1016/j.scitotenv.2023.165565","http://dx.doi.org/10.1016/j.scitotenv.2023.165565")</f>
        <v>http://dx.doi.org/10.1016/j.scitotenv.2023.165565</v>
      </c>
      <c r="BG224" t="s">
        <v>74</v>
      </c>
      <c r="BH224" t="s">
        <v>1812</v>
      </c>
      <c r="BI224">
        <v>13</v>
      </c>
      <c r="BJ224" t="s">
        <v>2050</v>
      </c>
      <c r="BK224" t="s">
        <v>104</v>
      </c>
      <c r="BL224" t="s">
        <v>1535</v>
      </c>
      <c r="BM224" t="s">
        <v>4745</v>
      </c>
      <c r="BN224">
        <v>37495133</v>
      </c>
      <c r="BO224" t="s">
        <v>4746</v>
      </c>
      <c r="BP224" t="s">
        <v>74</v>
      </c>
      <c r="BQ224" t="s">
        <v>74</v>
      </c>
      <c r="BR224" t="s">
        <v>107</v>
      </c>
      <c r="BS224" t="s">
        <v>4747</v>
      </c>
      <c r="BT224" t="str">
        <f>HYPERLINK("https%3A%2F%2Fwww.webofscience.com%2Fwos%2Fwoscc%2Ffull-record%2FWOS:001052482100001","View Full Record in Web of Science")</f>
        <v>View Full Record in Web of Science</v>
      </c>
    </row>
    <row r="225" spans="1:72" x14ac:dyDescent="0.15">
      <c r="A225" t="s">
        <v>72</v>
      </c>
      <c r="B225" t="s">
        <v>4748</v>
      </c>
      <c r="C225" t="s">
        <v>74</v>
      </c>
      <c r="D225" t="s">
        <v>74</v>
      </c>
      <c r="E225" t="s">
        <v>74</v>
      </c>
      <c r="F225" t="s">
        <v>4749</v>
      </c>
      <c r="G225" t="s">
        <v>74</v>
      </c>
      <c r="H225" t="s">
        <v>74</v>
      </c>
      <c r="I225" t="s">
        <v>4750</v>
      </c>
      <c r="J225" t="s">
        <v>3334</v>
      </c>
      <c r="K225" t="s">
        <v>74</v>
      </c>
      <c r="L225" t="s">
        <v>74</v>
      </c>
      <c r="M225" t="s">
        <v>78</v>
      </c>
      <c r="N225" t="s">
        <v>79</v>
      </c>
      <c r="O225" t="s">
        <v>74</v>
      </c>
      <c r="P225" t="s">
        <v>74</v>
      </c>
      <c r="Q225" t="s">
        <v>74</v>
      </c>
      <c r="R225" t="s">
        <v>74</v>
      </c>
      <c r="S225" t="s">
        <v>74</v>
      </c>
      <c r="T225" t="s">
        <v>74</v>
      </c>
      <c r="U225" t="s">
        <v>4751</v>
      </c>
      <c r="V225" t="s">
        <v>4752</v>
      </c>
      <c r="W225" t="s">
        <v>4753</v>
      </c>
      <c r="X225" t="s">
        <v>4754</v>
      </c>
      <c r="Y225" t="s">
        <v>4755</v>
      </c>
      <c r="Z225" t="s">
        <v>4756</v>
      </c>
      <c r="AA225" t="s">
        <v>4757</v>
      </c>
      <c r="AB225" t="s">
        <v>4758</v>
      </c>
      <c r="AC225" t="s">
        <v>4759</v>
      </c>
      <c r="AD225" t="s">
        <v>4760</v>
      </c>
      <c r="AE225" t="s">
        <v>4761</v>
      </c>
      <c r="AF225" t="s">
        <v>74</v>
      </c>
      <c r="AG225">
        <v>72</v>
      </c>
      <c r="AH225">
        <v>0</v>
      </c>
      <c r="AI225">
        <v>0</v>
      </c>
      <c r="AJ225">
        <v>5</v>
      </c>
      <c r="AK225">
        <v>10</v>
      </c>
      <c r="AL225" t="s">
        <v>1775</v>
      </c>
      <c r="AM225" t="s">
        <v>1776</v>
      </c>
      <c r="AN225" t="s">
        <v>1777</v>
      </c>
      <c r="AO225" t="s">
        <v>3346</v>
      </c>
      <c r="AP225" t="s">
        <v>3347</v>
      </c>
      <c r="AQ225" t="s">
        <v>74</v>
      </c>
      <c r="AR225" t="s">
        <v>3348</v>
      </c>
      <c r="AS225" t="s">
        <v>3349</v>
      </c>
      <c r="AT225" t="s">
        <v>4708</v>
      </c>
      <c r="AU225">
        <v>2023</v>
      </c>
      <c r="AV225">
        <v>19</v>
      </c>
      <c r="AW225">
        <v>8</v>
      </c>
      <c r="AX225" t="s">
        <v>74</v>
      </c>
      <c r="AY225" t="s">
        <v>74</v>
      </c>
      <c r="AZ225" t="s">
        <v>74</v>
      </c>
      <c r="BA225" t="s">
        <v>74</v>
      </c>
      <c r="BB225">
        <v>1585</v>
      </c>
      <c r="BC225">
        <v>1606</v>
      </c>
      <c r="BD225" t="s">
        <v>74</v>
      </c>
      <c r="BE225" t="s">
        <v>4762</v>
      </c>
      <c r="BF225" t="str">
        <f>HYPERLINK("http://dx.doi.org/10.5194/cp-19-1585-2023","http://dx.doi.org/10.5194/cp-19-1585-2023")</f>
        <v>http://dx.doi.org/10.5194/cp-19-1585-2023</v>
      </c>
      <c r="BG225" t="s">
        <v>74</v>
      </c>
      <c r="BH225" t="s">
        <v>74</v>
      </c>
      <c r="BI225">
        <v>22</v>
      </c>
      <c r="BJ225" t="s">
        <v>3351</v>
      </c>
      <c r="BK225" t="s">
        <v>104</v>
      </c>
      <c r="BL225" t="s">
        <v>3352</v>
      </c>
      <c r="BM225" t="s">
        <v>4763</v>
      </c>
      <c r="BN225" t="s">
        <v>74</v>
      </c>
      <c r="BO225" t="s">
        <v>206</v>
      </c>
      <c r="BP225" t="s">
        <v>74</v>
      </c>
      <c r="BQ225" t="s">
        <v>74</v>
      </c>
      <c r="BR225" t="s">
        <v>107</v>
      </c>
      <c r="BS225" t="s">
        <v>4764</v>
      </c>
      <c r="BT225" t="str">
        <f>HYPERLINK("https%3A%2F%2Fwww.webofscience.com%2Fwos%2Fwoscc%2Ffull-record%2FWOS:001041411600001","View Full Record in Web of Science")</f>
        <v>View Full Record in Web of Science</v>
      </c>
    </row>
    <row r="226" spans="1:72" x14ac:dyDescent="0.15">
      <c r="A226" t="s">
        <v>72</v>
      </c>
      <c r="B226" t="s">
        <v>4765</v>
      </c>
      <c r="C226" t="s">
        <v>74</v>
      </c>
      <c r="D226" t="s">
        <v>74</v>
      </c>
      <c r="E226" t="s">
        <v>74</v>
      </c>
      <c r="F226" t="s">
        <v>4766</v>
      </c>
      <c r="G226" t="s">
        <v>74</v>
      </c>
      <c r="H226" t="s">
        <v>74</v>
      </c>
      <c r="I226" t="s">
        <v>4767</v>
      </c>
      <c r="J226" t="s">
        <v>4768</v>
      </c>
      <c r="K226" t="s">
        <v>74</v>
      </c>
      <c r="L226" t="s">
        <v>74</v>
      </c>
      <c r="M226" t="s">
        <v>78</v>
      </c>
      <c r="N226" t="s">
        <v>79</v>
      </c>
      <c r="O226" t="s">
        <v>74</v>
      </c>
      <c r="P226" t="s">
        <v>74</v>
      </c>
      <c r="Q226" t="s">
        <v>74</v>
      </c>
      <c r="R226" t="s">
        <v>74</v>
      </c>
      <c r="S226" t="s">
        <v>74</v>
      </c>
      <c r="T226" t="s">
        <v>4769</v>
      </c>
      <c r="U226" t="s">
        <v>4770</v>
      </c>
      <c r="V226" t="s">
        <v>4771</v>
      </c>
      <c r="W226" t="s">
        <v>4772</v>
      </c>
      <c r="X226" t="s">
        <v>315</v>
      </c>
      <c r="Y226" t="s">
        <v>4773</v>
      </c>
      <c r="Z226" t="s">
        <v>4774</v>
      </c>
      <c r="AA226" t="s">
        <v>4775</v>
      </c>
      <c r="AB226" t="s">
        <v>4776</v>
      </c>
      <c r="AC226" t="s">
        <v>74</v>
      </c>
      <c r="AD226" t="s">
        <v>74</v>
      </c>
      <c r="AE226" t="s">
        <v>74</v>
      </c>
      <c r="AF226" t="s">
        <v>74</v>
      </c>
      <c r="AG226">
        <v>78</v>
      </c>
      <c r="AH226">
        <v>0</v>
      </c>
      <c r="AI226">
        <v>0</v>
      </c>
      <c r="AJ226">
        <v>0</v>
      </c>
      <c r="AK226">
        <v>1</v>
      </c>
      <c r="AL226" t="s">
        <v>298</v>
      </c>
      <c r="AM226" t="s">
        <v>3791</v>
      </c>
      <c r="AN226" t="s">
        <v>3792</v>
      </c>
      <c r="AO226" t="s">
        <v>4777</v>
      </c>
      <c r="AP226" t="s">
        <v>4778</v>
      </c>
      <c r="AQ226" t="s">
        <v>74</v>
      </c>
      <c r="AR226" t="s">
        <v>4779</v>
      </c>
      <c r="AS226" t="s">
        <v>4780</v>
      </c>
      <c r="AT226" t="s">
        <v>4781</v>
      </c>
      <c r="AU226">
        <v>2024</v>
      </c>
      <c r="AV226">
        <v>45</v>
      </c>
      <c r="AW226">
        <v>1</v>
      </c>
      <c r="AX226" t="s">
        <v>74</v>
      </c>
      <c r="AY226" t="s">
        <v>74</v>
      </c>
      <c r="AZ226" t="s">
        <v>74</v>
      </c>
      <c r="BA226" t="s">
        <v>74</v>
      </c>
      <c r="BB226">
        <v>55</v>
      </c>
      <c r="BC226">
        <v>82</v>
      </c>
      <c r="BD226" t="s">
        <v>74</v>
      </c>
      <c r="BE226" t="s">
        <v>4782</v>
      </c>
      <c r="BF226" t="str">
        <f>HYPERLINK("http://dx.doi.org/10.1007/s10712-023-09799-4","http://dx.doi.org/10.1007/s10712-023-09799-4")</f>
        <v>http://dx.doi.org/10.1007/s10712-023-09799-4</v>
      </c>
      <c r="BG226" t="s">
        <v>74</v>
      </c>
      <c r="BH226" t="s">
        <v>1812</v>
      </c>
      <c r="BI226">
        <v>28</v>
      </c>
      <c r="BJ226" t="s">
        <v>597</v>
      </c>
      <c r="BK226" t="s">
        <v>104</v>
      </c>
      <c r="BL226" t="s">
        <v>597</v>
      </c>
      <c r="BM226" t="s">
        <v>4783</v>
      </c>
      <c r="BN226" t="s">
        <v>74</v>
      </c>
      <c r="BO226" t="s">
        <v>74</v>
      </c>
      <c r="BP226" t="s">
        <v>74</v>
      </c>
      <c r="BQ226" t="s">
        <v>74</v>
      </c>
      <c r="BR226" t="s">
        <v>107</v>
      </c>
      <c r="BS226" t="s">
        <v>4784</v>
      </c>
      <c r="BT226" t="str">
        <f>HYPERLINK("https%3A%2F%2Fwww.webofscience.com%2Fwos%2Fwoscc%2Ffull-record%2FWOS:001041443600001","View Full Record in Web of Science")</f>
        <v>View Full Record in Web of Science</v>
      </c>
    </row>
    <row r="227" spans="1:72" x14ac:dyDescent="0.15">
      <c r="A227" t="s">
        <v>72</v>
      </c>
      <c r="B227" t="s">
        <v>4785</v>
      </c>
      <c r="C227" t="s">
        <v>74</v>
      </c>
      <c r="D227" t="s">
        <v>74</v>
      </c>
      <c r="E227" t="s">
        <v>74</v>
      </c>
      <c r="F227" t="s">
        <v>4786</v>
      </c>
      <c r="G227" t="s">
        <v>74</v>
      </c>
      <c r="H227" t="s">
        <v>74</v>
      </c>
      <c r="I227" t="s">
        <v>4787</v>
      </c>
      <c r="J227" t="s">
        <v>162</v>
      </c>
      <c r="K227" t="s">
        <v>74</v>
      </c>
      <c r="L227" t="s">
        <v>74</v>
      </c>
      <c r="M227" t="s">
        <v>78</v>
      </c>
      <c r="N227" t="s">
        <v>79</v>
      </c>
      <c r="O227" t="s">
        <v>74</v>
      </c>
      <c r="P227" t="s">
        <v>74</v>
      </c>
      <c r="Q227" t="s">
        <v>74</v>
      </c>
      <c r="R227" t="s">
        <v>74</v>
      </c>
      <c r="S227" t="s">
        <v>74</v>
      </c>
      <c r="T227" t="s">
        <v>74</v>
      </c>
      <c r="U227" t="s">
        <v>4788</v>
      </c>
      <c r="V227" t="s">
        <v>4789</v>
      </c>
      <c r="W227" t="s">
        <v>4790</v>
      </c>
      <c r="X227" t="s">
        <v>4791</v>
      </c>
      <c r="Y227" t="s">
        <v>4792</v>
      </c>
      <c r="Z227" t="s">
        <v>4793</v>
      </c>
      <c r="AA227" t="s">
        <v>4794</v>
      </c>
      <c r="AB227" t="s">
        <v>4795</v>
      </c>
      <c r="AC227" t="s">
        <v>4796</v>
      </c>
      <c r="AD227" t="s">
        <v>4797</v>
      </c>
      <c r="AE227" t="s">
        <v>4798</v>
      </c>
      <c r="AF227" t="s">
        <v>74</v>
      </c>
      <c r="AG227">
        <v>37</v>
      </c>
      <c r="AH227">
        <v>0</v>
      </c>
      <c r="AI227">
        <v>0</v>
      </c>
      <c r="AJ227">
        <v>6</v>
      </c>
      <c r="AK227">
        <v>6</v>
      </c>
      <c r="AL227" t="s">
        <v>172</v>
      </c>
      <c r="AM227" t="s">
        <v>173</v>
      </c>
      <c r="AN227" t="s">
        <v>174</v>
      </c>
      <c r="AO227" t="s">
        <v>74</v>
      </c>
      <c r="AP227" t="s">
        <v>175</v>
      </c>
      <c r="AQ227" t="s">
        <v>74</v>
      </c>
      <c r="AR227" t="s">
        <v>176</v>
      </c>
      <c r="AS227" t="s">
        <v>177</v>
      </c>
      <c r="AT227" t="s">
        <v>4689</v>
      </c>
      <c r="AU227">
        <v>2023</v>
      </c>
      <c r="AV227">
        <v>299</v>
      </c>
      <c r="AW227">
        <v>8</v>
      </c>
      <c r="AX227" t="s">
        <v>74</v>
      </c>
      <c r="AY227" t="s">
        <v>74</v>
      </c>
      <c r="AZ227" t="s">
        <v>74</v>
      </c>
      <c r="BA227" t="s">
        <v>74</v>
      </c>
      <c r="BB227" t="s">
        <v>74</v>
      </c>
      <c r="BC227" t="s">
        <v>74</v>
      </c>
      <c r="BD227">
        <v>104958</v>
      </c>
      <c r="BE227" t="s">
        <v>4799</v>
      </c>
      <c r="BF227" t="str">
        <f>HYPERLINK("http://dx.doi.org/10.1016/j.jbc.2023.104958","http://dx.doi.org/10.1016/j.jbc.2023.104958")</f>
        <v>http://dx.doi.org/10.1016/j.jbc.2023.104958</v>
      </c>
      <c r="BG227" t="s">
        <v>74</v>
      </c>
      <c r="BH227" t="s">
        <v>74</v>
      </c>
      <c r="BI227">
        <v>10</v>
      </c>
      <c r="BJ227" t="s">
        <v>179</v>
      </c>
      <c r="BK227" t="s">
        <v>104</v>
      </c>
      <c r="BL227" t="s">
        <v>179</v>
      </c>
      <c r="BM227" t="s">
        <v>4800</v>
      </c>
      <c r="BN227">
        <v>37380083</v>
      </c>
      <c r="BO227" t="s">
        <v>181</v>
      </c>
      <c r="BP227" t="s">
        <v>74</v>
      </c>
      <c r="BQ227" t="s">
        <v>74</v>
      </c>
      <c r="BR227" t="s">
        <v>107</v>
      </c>
      <c r="BS227" t="s">
        <v>4801</v>
      </c>
      <c r="BT227" t="str">
        <f>HYPERLINK("https%3A%2F%2Fwww.webofscience.com%2Fwos%2Fwoscc%2Ffull-record%2FWOS:001161998500001","View Full Record in Web of Science")</f>
        <v>View Full Record in Web of Science</v>
      </c>
    </row>
    <row r="228" spans="1:72" x14ac:dyDescent="0.15">
      <c r="A228" t="s">
        <v>72</v>
      </c>
      <c r="B228" t="s">
        <v>4802</v>
      </c>
      <c r="C228" t="s">
        <v>74</v>
      </c>
      <c r="D228" t="s">
        <v>74</v>
      </c>
      <c r="E228" t="s">
        <v>74</v>
      </c>
      <c r="F228" t="s">
        <v>4803</v>
      </c>
      <c r="G228" t="s">
        <v>74</v>
      </c>
      <c r="H228" t="s">
        <v>74</v>
      </c>
      <c r="I228" t="s">
        <v>4804</v>
      </c>
      <c r="J228" t="s">
        <v>1008</v>
      </c>
      <c r="K228" t="s">
        <v>74</v>
      </c>
      <c r="L228" t="s">
        <v>74</v>
      </c>
      <c r="M228" t="s">
        <v>78</v>
      </c>
      <c r="N228" t="s">
        <v>79</v>
      </c>
      <c r="O228" t="s">
        <v>74</v>
      </c>
      <c r="P228" t="s">
        <v>74</v>
      </c>
      <c r="Q228" t="s">
        <v>74</v>
      </c>
      <c r="R228" t="s">
        <v>74</v>
      </c>
      <c r="S228" t="s">
        <v>74</v>
      </c>
      <c r="T228" t="s">
        <v>4805</v>
      </c>
      <c r="U228" t="s">
        <v>74</v>
      </c>
      <c r="V228" t="s">
        <v>4806</v>
      </c>
      <c r="W228" t="s">
        <v>4807</v>
      </c>
      <c r="X228" t="s">
        <v>4808</v>
      </c>
      <c r="Y228" t="s">
        <v>4809</v>
      </c>
      <c r="Z228" t="s">
        <v>4810</v>
      </c>
      <c r="AA228" t="s">
        <v>74</v>
      </c>
      <c r="AB228" t="s">
        <v>4811</v>
      </c>
      <c r="AC228" t="s">
        <v>4812</v>
      </c>
      <c r="AD228" t="s">
        <v>4813</v>
      </c>
      <c r="AE228" t="s">
        <v>4814</v>
      </c>
      <c r="AF228" t="s">
        <v>74</v>
      </c>
      <c r="AG228">
        <v>0</v>
      </c>
      <c r="AH228">
        <v>1</v>
      </c>
      <c r="AI228">
        <v>1</v>
      </c>
      <c r="AJ228">
        <v>2</v>
      </c>
      <c r="AK228">
        <v>2</v>
      </c>
      <c r="AL228" t="s">
        <v>588</v>
      </c>
      <c r="AM228" t="s">
        <v>589</v>
      </c>
      <c r="AN228" t="s">
        <v>590</v>
      </c>
      <c r="AO228" t="s">
        <v>1020</v>
      </c>
      <c r="AP228" t="s">
        <v>1021</v>
      </c>
      <c r="AQ228" t="s">
        <v>74</v>
      </c>
      <c r="AR228" t="s">
        <v>1022</v>
      </c>
      <c r="AS228" t="s">
        <v>1023</v>
      </c>
      <c r="AT228" t="s">
        <v>4689</v>
      </c>
      <c r="AU228">
        <v>2023</v>
      </c>
      <c r="AV228">
        <v>128</v>
      </c>
      <c r="AW228">
        <v>8</v>
      </c>
      <c r="AX228" t="s">
        <v>74</v>
      </c>
      <c r="AY228" t="s">
        <v>74</v>
      </c>
      <c r="AZ228" t="s">
        <v>74</v>
      </c>
      <c r="BA228" t="s">
        <v>74</v>
      </c>
      <c r="BB228" t="s">
        <v>74</v>
      </c>
      <c r="BC228" t="s">
        <v>74</v>
      </c>
      <c r="BD228" t="s">
        <v>4815</v>
      </c>
      <c r="BE228" t="s">
        <v>4816</v>
      </c>
      <c r="BF228" t="str">
        <f>HYPERLINK("http://dx.doi.org/10.1029/2022JC019322","http://dx.doi.org/10.1029/2022JC019322")</f>
        <v>http://dx.doi.org/10.1029/2022JC019322</v>
      </c>
      <c r="BG228" t="s">
        <v>74</v>
      </c>
      <c r="BH228" t="s">
        <v>74</v>
      </c>
      <c r="BI228">
        <v>19</v>
      </c>
      <c r="BJ228" t="s">
        <v>306</v>
      </c>
      <c r="BK228" t="s">
        <v>104</v>
      </c>
      <c r="BL228" t="s">
        <v>306</v>
      </c>
      <c r="BM228" t="s">
        <v>4817</v>
      </c>
      <c r="BN228" t="s">
        <v>74</v>
      </c>
      <c r="BO228" t="s">
        <v>1217</v>
      </c>
      <c r="BP228" t="s">
        <v>74</v>
      </c>
      <c r="BQ228" t="s">
        <v>74</v>
      </c>
      <c r="BR228" t="s">
        <v>107</v>
      </c>
      <c r="BS228" t="s">
        <v>4818</v>
      </c>
      <c r="BT228" t="str">
        <f>HYPERLINK("https%3A%2F%2Fwww.webofscience.com%2Fwos%2Fwoscc%2Ffull-record%2FWOS:001116267300002","View Full Record in Web of Science")</f>
        <v>View Full Record in Web of Science</v>
      </c>
    </row>
    <row r="229" spans="1:72" x14ac:dyDescent="0.15">
      <c r="A229" t="s">
        <v>72</v>
      </c>
      <c r="B229" t="s">
        <v>4819</v>
      </c>
      <c r="C229" t="s">
        <v>74</v>
      </c>
      <c r="D229" t="s">
        <v>74</v>
      </c>
      <c r="E229" t="s">
        <v>74</v>
      </c>
      <c r="F229" t="s">
        <v>4820</v>
      </c>
      <c r="G229" t="s">
        <v>74</v>
      </c>
      <c r="H229" t="s">
        <v>74</v>
      </c>
      <c r="I229" t="s">
        <v>4821</v>
      </c>
      <c r="J229" t="s">
        <v>4822</v>
      </c>
      <c r="K229" t="s">
        <v>74</v>
      </c>
      <c r="L229" t="s">
        <v>74</v>
      </c>
      <c r="M229" t="s">
        <v>78</v>
      </c>
      <c r="N229" t="s">
        <v>79</v>
      </c>
      <c r="O229" t="s">
        <v>74</v>
      </c>
      <c r="P229" t="s">
        <v>74</v>
      </c>
      <c r="Q229" t="s">
        <v>74</v>
      </c>
      <c r="R229" t="s">
        <v>74</v>
      </c>
      <c r="S229" t="s">
        <v>74</v>
      </c>
      <c r="T229" t="s">
        <v>4823</v>
      </c>
      <c r="U229" t="s">
        <v>74</v>
      </c>
      <c r="V229" t="s">
        <v>4824</v>
      </c>
      <c r="W229" t="s">
        <v>4825</v>
      </c>
      <c r="X229" t="s">
        <v>315</v>
      </c>
      <c r="Y229" t="s">
        <v>4826</v>
      </c>
      <c r="Z229" t="s">
        <v>4827</v>
      </c>
      <c r="AA229" t="s">
        <v>4828</v>
      </c>
      <c r="AB229" t="s">
        <v>4829</v>
      </c>
      <c r="AC229" t="s">
        <v>74</v>
      </c>
      <c r="AD229" t="s">
        <v>74</v>
      </c>
      <c r="AE229" t="s">
        <v>74</v>
      </c>
      <c r="AF229" t="s">
        <v>74</v>
      </c>
      <c r="AG229">
        <v>21</v>
      </c>
      <c r="AH229">
        <v>0</v>
      </c>
      <c r="AI229">
        <v>0</v>
      </c>
      <c r="AJ229">
        <v>0</v>
      </c>
      <c r="AK229">
        <v>0</v>
      </c>
      <c r="AL229" t="s">
        <v>4830</v>
      </c>
      <c r="AM229" t="s">
        <v>299</v>
      </c>
      <c r="AN229" t="s">
        <v>4831</v>
      </c>
      <c r="AO229" t="s">
        <v>4832</v>
      </c>
      <c r="AP229" t="s">
        <v>4833</v>
      </c>
      <c r="AQ229" t="s">
        <v>74</v>
      </c>
      <c r="AR229" t="s">
        <v>4834</v>
      </c>
      <c r="AS229" t="s">
        <v>4835</v>
      </c>
      <c r="AT229" t="s">
        <v>4689</v>
      </c>
      <c r="AU229">
        <v>2023</v>
      </c>
      <c r="AV229">
        <v>65</v>
      </c>
      <c r="AW229">
        <v>4</v>
      </c>
      <c r="AX229" t="s">
        <v>74</v>
      </c>
      <c r="AY229" t="s">
        <v>74</v>
      </c>
      <c r="AZ229" t="s">
        <v>74</v>
      </c>
      <c r="BA229" t="s">
        <v>74</v>
      </c>
      <c r="BB229">
        <v>485</v>
      </c>
      <c r="BC229">
        <v>492</v>
      </c>
      <c r="BD229" t="s">
        <v>74</v>
      </c>
      <c r="BE229" t="s">
        <v>4836</v>
      </c>
      <c r="BF229" t="str">
        <f>HYPERLINK("http://dx.doi.org/10.1134/S1066362223040100","http://dx.doi.org/10.1134/S1066362223040100")</f>
        <v>http://dx.doi.org/10.1134/S1066362223040100</v>
      </c>
      <c r="BG229" t="s">
        <v>74</v>
      </c>
      <c r="BH229" t="s">
        <v>74</v>
      </c>
      <c r="BI229">
        <v>8</v>
      </c>
      <c r="BJ229" t="s">
        <v>4837</v>
      </c>
      <c r="BK229" t="s">
        <v>518</v>
      </c>
      <c r="BL229" t="s">
        <v>4838</v>
      </c>
      <c r="BM229" t="s">
        <v>4839</v>
      </c>
      <c r="BN229" t="s">
        <v>74</v>
      </c>
      <c r="BO229" t="s">
        <v>74</v>
      </c>
      <c r="BP229" t="s">
        <v>74</v>
      </c>
      <c r="BQ229" t="s">
        <v>74</v>
      </c>
      <c r="BR229" t="s">
        <v>107</v>
      </c>
      <c r="BS229" t="s">
        <v>4840</v>
      </c>
      <c r="BT229" t="str">
        <f>HYPERLINK("https%3A%2F%2Fwww.webofscience.com%2Fwos%2Fwoscc%2Ffull-record%2FWOS:001090202800010","View Full Record in Web of Science")</f>
        <v>View Full Record in Web of Science</v>
      </c>
    </row>
    <row r="230" spans="1:72" x14ac:dyDescent="0.15">
      <c r="A230" t="s">
        <v>72</v>
      </c>
      <c r="B230" t="s">
        <v>4841</v>
      </c>
      <c r="C230" t="s">
        <v>74</v>
      </c>
      <c r="D230" t="s">
        <v>74</v>
      </c>
      <c r="E230" t="s">
        <v>74</v>
      </c>
      <c r="F230" t="s">
        <v>4842</v>
      </c>
      <c r="G230" t="s">
        <v>74</v>
      </c>
      <c r="H230" t="s">
        <v>74</v>
      </c>
      <c r="I230" t="s">
        <v>4843</v>
      </c>
      <c r="J230" t="s">
        <v>1195</v>
      </c>
      <c r="K230" t="s">
        <v>74</v>
      </c>
      <c r="L230" t="s">
        <v>74</v>
      </c>
      <c r="M230" t="s">
        <v>78</v>
      </c>
      <c r="N230" t="s">
        <v>79</v>
      </c>
      <c r="O230" t="s">
        <v>74</v>
      </c>
      <c r="P230" t="s">
        <v>74</v>
      </c>
      <c r="Q230" t="s">
        <v>74</v>
      </c>
      <c r="R230" t="s">
        <v>74</v>
      </c>
      <c r="S230" t="s">
        <v>74</v>
      </c>
      <c r="T230" t="s">
        <v>4844</v>
      </c>
      <c r="U230" t="s">
        <v>4845</v>
      </c>
      <c r="V230" t="s">
        <v>4846</v>
      </c>
      <c r="W230" t="s">
        <v>4847</v>
      </c>
      <c r="X230" t="s">
        <v>4848</v>
      </c>
      <c r="Y230" t="s">
        <v>4849</v>
      </c>
      <c r="Z230" t="s">
        <v>4850</v>
      </c>
      <c r="AA230" t="s">
        <v>4851</v>
      </c>
      <c r="AB230" t="s">
        <v>4852</v>
      </c>
      <c r="AC230" t="s">
        <v>4853</v>
      </c>
      <c r="AD230" t="s">
        <v>4854</v>
      </c>
      <c r="AE230" t="s">
        <v>4855</v>
      </c>
      <c r="AF230" t="s">
        <v>74</v>
      </c>
      <c r="AG230">
        <v>181</v>
      </c>
      <c r="AH230">
        <v>5</v>
      </c>
      <c r="AI230">
        <v>5</v>
      </c>
      <c r="AJ230">
        <v>18</v>
      </c>
      <c r="AK230">
        <v>18</v>
      </c>
      <c r="AL230" t="s">
        <v>588</v>
      </c>
      <c r="AM230" t="s">
        <v>589</v>
      </c>
      <c r="AN230" t="s">
        <v>590</v>
      </c>
      <c r="AO230" t="s">
        <v>1208</v>
      </c>
      <c r="AP230" t="s">
        <v>1209</v>
      </c>
      <c r="AQ230" t="s">
        <v>74</v>
      </c>
      <c r="AR230" t="s">
        <v>1210</v>
      </c>
      <c r="AS230" t="s">
        <v>1211</v>
      </c>
      <c r="AT230" t="s">
        <v>4689</v>
      </c>
      <c r="AU230">
        <v>2023</v>
      </c>
      <c r="AV230">
        <v>37</v>
      </c>
      <c r="AW230">
        <v>8</v>
      </c>
      <c r="AX230" t="s">
        <v>74</v>
      </c>
      <c r="AY230" t="s">
        <v>74</v>
      </c>
      <c r="AZ230" t="s">
        <v>74</v>
      </c>
      <c r="BA230" t="s">
        <v>74</v>
      </c>
      <c r="BB230" t="s">
        <v>74</v>
      </c>
      <c r="BC230" t="s">
        <v>74</v>
      </c>
      <c r="BD230" t="s">
        <v>4856</v>
      </c>
      <c r="BE230" t="s">
        <v>4857</v>
      </c>
      <c r="BF230" t="str">
        <f>HYPERLINK("http://dx.doi.org/10.1029/2023GB007875","http://dx.doi.org/10.1029/2023GB007875")</f>
        <v>http://dx.doi.org/10.1029/2023GB007875</v>
      </c>
      <c r="BG230" t="s">
        <v>74</v>
      </c>
      <c r="BH230" t="s">
        <v>74</v>
      </c>
      <c r="BI230">
        <v>33</v>
      </c>
      <c r="BJ230" t="s">
        <v>1214</v>
      </c>
      <c r="BK230" t="s">
        <v>104</v>
      </c>
      <c r="BL230" t="s">
        <v>1215</v>
      </c>
      <c r="BM230" t="s">
        <v>4858</v>
      </c>
      <c r="BN230" t="s">
        <v>74</v>
      </c>
      <c r="BO230" t="s">
        <v>1282</v>
      </c>
      <c r="BP230" t="s">
        <v>74</v>
      </c>
      <c r="BQ230" t="s">
        <v>74</v>
      </c>
      <c r="BR230" t="s">
        <v>107</v>
      </c>
      <c r="BS230" t="s">
        <v>4859</v>
      </c>
      <c r="BT230" t="str">
        <f>HYPERLINK("https%3A%2F%2Fwww.webofscience.com%2Fwos%2Fwoscc%2Ffull-record%2FWOS:001089023200001","View Full Record in Web of Science")</f>
        <v>View Full Record in Web of Science</v>
      </c>
    </row>
    <row r="231" spans="1:72" x14ac:dyDescent="0.15">
      <c r="A231" t="s">
        <v>72</v>
      </c>
      <c r="B231" t="s">
        <v>4860</v>
      </c>
      <c r="C231" t="s">
        <v>74</v>
      </c>
      <c r="D231" t="s">
        <v>74</v>
      </c>
      <c r="E231" t="s">
        <v>74</v>
      </c>
      <c r="F231" t="s">
        <v>4861</v>
      </c>
      <c r="G231" t="s">
        <v>74</v>
      </c>
      <c r="H231" t="s">
        <v>74</v>
      </c>
      <c r="I231" t="s">
        <v>4862</v>
      </c>
      <c r="J231" t="s">
        <v>4863</v>
      </c>
      <c r="K231" t="s">
        <v>74</v>
      </c>
      <c r="L231" t="s">
        <v>74</v>
      </c>
      <c r="M231" t="s">
        <v>78</v>
      </c>
      <c r="N231" t="s">
        <v>79</v>
      </c>
      <c r="O231" t="s">
        <v>74</v>
      </c>
      <c r="P231" t="s">
        <v>74</v>
      </c>
      <c r="Q231" t="s">
        <v>74</v>
      </c>
      <c r="R231" t="s">
        <v>74</v>
      </c>
      <c r="S231" t="s">
        <v>74</v>
      </c>
      <c r="T231" t="s">
        <v>4864</v>
      </c>
      <c r="U231" t="s">
        <v>4865</v>
      </c>
      <c r="V231" t="s">
        <v>4866</v>
      </c>
      <c r="W231" t="s">
        <v>4867</v>
      </c>
      <c r="X231" t="s">
        <v>4868</v>
      </c>
      <c r="Y231" t="s">
        <v>4869</v>
      </c>
      <c r="Z231" t="s">
        <v>4870</v>
      </c>
      <c r="AA231" t="s">
        <v>74</v>
      </c>
      <c r="AB231" t="s">
        <v>74</v>
      </c>
      <c r="AC231" t="s">
        <v>4871</v>
      </c>
      <c r="AD231" t="s">
        <v>4871</v>
      </c>
      <c r="AE231" t="s">
        <v>4871</v>
      </c>
      <c r="AF231" t="s">
        <v>74</v>
      </c>
      <c r="AG231">
        <v>65</v>
      </c>
      <c r="AH231">
        <v>0</v>
      </c>
      <c r="AI231">
        <v>0</v>
      </c>
      <c r="AJ231">
        <v>1</v>
      </c>
      <c r="AK231">
        <v>1</v>
      </c>
      <c r="AL231" t="s">
        <v>4830</v>
      </c>
      <c r="AM231" t="s">
        <v>299</v>
      </c>
      <c r="AN231" t="s">
        <v>4831</v>
      </c>
      <c r="AO231" t="s">
        <v>4872</v>
      </c>
      <c r="AP231" t="s">
        <v>4873</v>
      </c>
      <c r="AQ231" t="s">
        <v>74</v>
      </c>
      <c r="AR231" t="s">
        <v>4874</v>
      </c>
      <c r="AS231" t="s">
        <v>4875</v>
      </c>
      <c r="AT231" t="s">
        <v>4689</v>
      </c>
      <c r="AU231">
        <v>2023</v>
      </c>
      <c r="AV231">
        <v>57</v>
      </c>
      <c r="AW231">
        <v>4</v>
      </c>
      <c r="AX231" t="s">
        <v>74</v>
      </c>
      <c r="AY231" t="s">
        <v>74</v>
      </c>
      <c r="AZ231" t="s">
        <v>74</v>
      </c>
      <c r="BA231" t="s">
        <v>74</v>
      </c>
      <c r="BB231">
        <v>386</v>
      </c>
      <c r="BC231">
        <v>404</v>
      </c>
      <c r="BD231" t="s">
        <v>74</v>
      </c>
      <c r="BE231" t="s">
        <v>4876</v>
      </c>
      <c r="BF231" t="str">
        <f>HYPERLINK("http://dx.doi.org/10.1134/S0016852123040052","http://dx.doi.org/10.1134/S0016852123040052")</f>
        <v>http://dx.doi.org/10.1134/S0016852123040052</v>
      </c>
      <c r="BG231" t="s">
        <v>74</v>
      </c>
      <c r="BH231" t="s">
        <v>74</v>
      </c>
      <c r="BI231">
        <v>19</v>
      </c>
      <c r="BJ231" t="s">
        <v>597</v>
      </c>
      <c r="BK231" t="s">
        <v>104</v>
      </c>
      <c r="BL231" t="s">
        <v>597</v>
      </c>
      <c r="BM231" t="s">
        <v>4877</v>
      </c>
      <c r="BN231" t="s">
        <v>74</v>
      </c>
      <c r="BO231" t="s">
        <v>74</v>
      </c>
      <c r="BP231" t="s">
        <v>74</v>
      </c>
      <c r="BQ231" t="s">
        <v>74</v>
      </c>
      <c r="BR231" t="s">
        <v>107</v>
      </c>
      <c r="BS231" t="s">
        <v>4878</v>
      </c>
      <c r="BT231" t="str">
        <f>HYPERLINK("https%3A%2F%2Fwww.webofscience.com%2Fwos%2Fwoscc%2Ffull-record%2FWOS:001086902900002","View Full Record in Web of Science")</f>
        <v>View Full Record in Web of Science</v>
      </c>
    </row>
    <row r="232" spans="1:72" x14ac:dyDescent="0.15">
      <c r="A232" t="s">
        <v>72</v>
      </c>
      <c r="B232" t="s">
        <v>4879</v>
      </c>
      <c r="C232" t="s">
        <v>74</v>
      </c>
      <c r="D232" t="s">
        <v>74</v>
      </c>
      <c r="E232" t="s">
        <v>74</v>
      </c>
      <c r="F232" t="s">
        <v>4880</v>
      </c>
      <c r="G232" t="s">
        <v>74</v>
      </c>
      <c r="H232" t="s">
        <v>74</v>
      </c>
      <c r="I232" t="s">
        <v>4881</v>
      </c>
      <c r="J232" t="s">
        <v>1304</v>
      </c>
      <c r="K232" t="s">
        <v>74</v>
      </c>
      <c r="L232" t="s">
        <v>74</v>
      </c>
      <c r="M232" t="s">
        <v>78</v>
      </c>
      <c r="N232" t="s">
        <v>79</v>
      </c>
      <c r="O232" t="s">
        <v>74</v>
      </c>
      <c r="P232" t="s">
        <v>74</v>
      </c>
      <c r="Q232" t="s">
        <v>74</v>
      </c>
      <c r="R232" t="s">
        <v>74</v>
      </c>
      <c r="S232" t="s">
        <v>74</v>
      </c>
      <c r="T232" t="s">
        <v>4882</v>
      </c>
      <c r="U232" t="s">
        <v>4883</v>
      </c>
      <c r="V232" t="s">
        <v>4884</v>
      </c>
      <c r="W232" t="s">
        <v>4885</v>
      </c>
      <c r="X232" t="s">
        <v>4886</v>
      </c>
      <c r="Y232" t="s">
        <v>4887</v>
      </c>
      <c r="Z232" t="s">
        <v>4888</v>
      </c>
      <c r="AA232" t="s">
        <v>74</v>
      </c>
      <c r="AB232" t="s">
        <v>4889</v>
      </c>
      <c r="AC232" t="s">
        <v>4890</v>
      </c>
      <c r="AD232" t="s">
        <v>4891</v>
      </c>
      <c r="AE232" t="s">
        <v>4892</v>
      </c>
      <c r="AF232" t="s">
        <v>74</v>
      </c>
      <c r="AG232">
        <v>129</v>
      </c>
      <c r="AH232">
        <v>1</v>
      </c>
      <c r="AI232">
        <v>1</v>
      </c>
      <c r="AJ232">
        <v>10</v>
      </c>
      <c r="AK232">
        <v>10</v>
      </c>
      <c r="AL232" t="s">
        <v>588</v>
      </c>
      <c r="AM232" t="s">
        <v>589</v>
      </c>
      <c r="AN232" t="s">
        <v>590</v>
      </c>
      <c r="AO232" t="s">
        <v>1317</v>
      </c>
      <c r="AP232" t="s">
        <v>1318</v>
      </c>
      <c r="AQ232" t="s">
        <v>74</v>
      </c>
      <c r="AR232" t="s">
        <v>1319</v>
      </c>
      <c r="AS232" t="s">
        <v>1320</v>
      </c>
      <c r="AT232" t="s">
        <v>4689</v>
      </c>
      <c r="AU232">
        <v>2023</v>
      </c>
      <c r="AV232">
        <v>38</v>
      </c>
      <c r="AW232">
        <v>8</v>
      </c>
      <c r="AX232" t="s">
        <v>74</v>
      </c>
      <c r="AY232" t="s">
        <v>74</v>
      </c>
      <c r="AZ232" t="s">
        <v>74</v>
      </c>
      <c r="BA232" t="s">
        <v>74</v>
      </c>
      <c r="BB232" t="s">
        <v>74</v>
      </c>
      <c r="BC232" t="s">
        <v>74</v>
      </c>
      <c r="BD232" t="s">
        <v>4893</v>
      </c>
      <c r="BE232" t="s">
        <v>4894</v>
      </c>
      <c r="BF232" t="str">
        <f>HYPERLINK("http://dx.doi.org/10.1029/2023PA004650","http://dx.doi.org/10.1029/2023PA004650")</f>
        <v>http://dx.doi.org/10.1029/2023PA004650</v>
      </c>
      <c r="BG232" t="s">
        <v>74</v>
      </c>
      <c r="BH232" t="s">
        <v>74</v>
      </c>
      <c r="BI232">
        <v>14</v>
      </c>
      <c r="BJ232" t="s">
        <v>1323</v>
      </c>
      <c r="BK232" t="s">
        <v>104</v>
      </c>
      <c r="BL232" t="s">
        <v>1324</v>
      </c>
      <c r="BM232" t="s">
        <v>4895</v>
      </c>
      <c r="BN232" t="s">
        <v>74</v>
      </c>
      <c r="BO232" t="s">
        <v>2670</v>
      </c>
      <c r="BP232" t="s">
        <v>74</v>
      </c>
      <c r="BQ232" t="s">
        <v>74</v>
      </c>
      <c r="BR232" t="s">
        <v>107</v>
      </c>
      <c r="BS232" t="s">
        <v>4896</v>
      </c>
      <c r="BT232" t="str">
        <f>HYPERLINK("https%3A%2F%2Fwww.webofscience.com%2Fwos%2Fwoscc%2Ffull-record%2FWOS:001079066900001","View Full Record in Web of Science")</f>
        <v>View Full Record in Web of Science</v>
      </c>
    </row>
    <row r="233" spans="1:72" x14ac:dyDescent="0.15">
      <c r="A233" t="s">
        <v>72</v>
      </c>
      <c r="B233" t="s">
        <v>4897</v>
      </c>
      <c r="C233" t="s">
        <v>74</v>
      </c>
      <c r="D233" t="s">
        <v>74</v>
      </c>
      <c r="E233" t="s">
        <v>74</v>
      </c>
      <c r="F233" t="s">
        <v>4898</v>
      </c>
      <c r="G233" t="s">
        <v>74</v>
      </c>
      <c r="H233" t="s">
        <v>74</v>
      </c>
      <c r="I233" t="s">
        <v>4899</v>
      </c>
      <c r="J233" t="s">
        <v>1790</v>
      </c>
      <c r="K233" t="s">
        <v>74</v>
      </c>
      <c r="L233" t="s">
        <v>74</v>
      </c>
      <c r="M233" t="s">
        <v>78</v>
      </c>
      <c r="N233" t="s">
        <v>79</v>
      </c>
      <c r="O233" t="s">
        <v>74</v>
      </c>
      <c r="P233" t="s">
        <v>74</v>
      </c>
      <c r="Q233" t="s">
        <v>74</v>
      </c>
      <c r="R233" t="s">
        <v>74</v>
      </c>
      <c r="S233" t="s">
        <v>74</v>
      </c>
      <c r="T233" t="s">
        <v>4900</v>
      </c>
      <c r="U233" t="s">
        <v>4901</v>
      </c>
      <c r="V233" t="s">
        <v>4902</v>
      </c>
      <c r="W233" t="s">
        <v>4903</v>
      </c>
      <c r="X233" t="s">
        <v>4904</v>
      </c>
      <c r="Y233" t="s">
        <v>4905</v>
      </c>
      <c r="Z233" t="s">
        <v>4906</v>
      </c>
      <c r="AA233" t="s">
        <v>4907</v>
      </c>
      <c r="AB233" t="s">
        <v>4908</v>
      </c>
      <c r="AC233" t="s">
        <v>4909</v>
      </c>
      <c r="AD233" t="s">
        <v>4910</v>
      </c>
      <c r="AE233" t="s">
        <v>4911</v>
      </c>
      <c r="AF233" t="s">
        <v>74</v>
      </c>
      <c r="AG233">
        <v>57</v>
      </c>
      <c r="AH233">
        <v>0</v>
      </c>
      <c r="AI233">
        <v>0</v>
      </c>
      <c r="AJ233">
        <v>1</v>
      </c>
      <c r="AK233">
        <v>1</v>
      </c>
      <c r="AL233" t="s">
        <v>1803</v>
      </c>
      <c r="AM233" t="s">
        <v>1804</v>
      </c>
      <c r="AN233" t="s">
        <v>1805</v>
      </c>
      <c r="AO233" t="s">
        <v>1806</v>
      </c>
      <c r="AP233" t="s">
        <v>1807</v>
      </c>
      <c r="AQ233" t="s">
        <v>74</v>
      </c>
      <c r="AR233" t="s">
        <v>1808</v>
      </c>
      <c r="AS233" t="s">
        <v>1809</v>
      </c>
      <c r="AT233" t="s">
        <v>4689</v>
      </c>
      <c r="AU233">
        <v>2023</v>
      </c>
      <c r="AV233">
        <v>35</v>
      </c>
      <c r="AW233">
        <v>4</v>
      </c>
      <c r="AX233" t="s">
        <v>74</v>
      </c>
      <c r="AY233" t="s">
        <v>74</v>
      </c>
      <c r="AZ233" t="s">
        <v>74</v>
      </c>
      <c r="BA233" t="s">
        <v>74</v>
      </c>
      <c r="BB233">
        <v>235</v>
      </c>
      <c r="BC233">
        <v>242</v>
      </c>
      <c r="BD233" t="s">
        <v>74</v>
      </c>
      <c r="BE233" t="s">
        <v>4912</v>
      </c>
      <c r="BF233" t="str">
        <f>HYPERLINK("http://dx.doi.org/10.1017/S0954102023000135","http://dx.doi.org/10.1017/S0954102023000135")</f>
        <v>http://dx.doi.org/10.1017/S0954102023000135</v>
      </c>
      <c r="BG233" t="s">
        <v>74</v>
      </c>
      <c r="BH233" t="s">
        <v>74</v>
      </c>
      <c r="BI233">
        <v>8</v>
      </c>
      <c r="BJ233" t="s">
        <v>1813</v>
      </c>
      <c r="BK233" t="s">
        <v>104</v>
      </c>
      <c r="BL233" t="s">
        <v>1814</v>
      </c>
      <c r="BM233" t="s">
        <v>4913</v>
      </c>
      <c r="BN233" t="s">
        <v>74</v>
      </c>
      <c r="BO233" t="s">
        <v>549</v>
      </c>
      <c r="BP233" t="s">
        <v>74</v>
      </c>
      <c r="BQ233" t="s">
        <v>74</v>
      </c>
      <c r="BR233" t="s">
        <v>107</v>
      </c>
      <c r="BS233" t="s">
        <v>4914</v>
      </c>
      <c r="BT233" t="str">
        <f>HYPERLINK("https%3A%2F%2Fwww.webofscience.com%2Fwos%2Fwoscc%2Ffull-record%2FWOS:001078783500001","View Full Record in Web of Science")</f>
        <v>View Full Record in Web of Science</v>
      </c>
    </row>
    <row r="234" spans="1:72" x14ac:dyDescent="0.15">
      <c r="A234" t="s">
        <v>72</v>
      </c>
      <c r="B234" t="s">
        <v>4915</v>
      </c>
      <c r="C234" t="s">
        <v>74</v>
      </c>
      <c r="D234" t="s">
        <v>74</v>
      </c>
      <c r="E234" t="s">
        <v>74</v>
      </c>
      <c r="F234" t="s">
        <v>4916</v>
      </c>
      <c r="G234" t="s">
        <v>74</v>
      </c>
      <c r="H234" t="s">
        <v>74</v>
      </c>
      <c r="I234" t="s">
        <v>4917</v>
      </c>
      <c r="J234" t="s">
        <v>1790</v>
      </c>
      <c r="K234" t="s">
        <v>74</v>
      </c>
      <c r="L234" t="s">
        <v>74</v>
      </c>
      <c r="M234" t="s">
        <v>78</v>
      </c>
      <c r="N234" t="s">
        <v>79</v>
      </c>
      <c r="O234" t="s">
        <v>74</v>
      </c>
      <c r="P234" t="s">
        <v>74</v>
      </c>
      <c r="Q234" t="s">
        <v>74</v>
      </c>
      <c r="R234" t="s">
        <v>74</v>
      </c>
      <c r="S234" t="s">
        <v>74</v>
      </c>
      <c r="T234" t="s">
        <v>4918</v>
      </c>
      <c r="U234" t="s">
        <v>4919</v>
      </c>
      <c r="V234" t="s">
        <v>4920</v>
      </c>
      <c r="W234" t="s">
        <v>4921</v>
      </c>
      <c r="X234" t="s">
        <v>4922</v>
      </c>
      <c r="Y234" t="s">
        <v>4923</v>
      </c>
      <c r="Z234" t="s">
        <v>4924</v>
      </c>
      <c r="AA234" t="s">
        <v>74</v>
      </c>
      <c r="AB234" t="s">
        <v>4925</v>
      </c>
      <c r="AC234" t="s">
        <v>4926</v>
      </c>
      <c r="AD234" t="s">
        <v>4927</v>
      </c>
      <c r="AE234" t="s">
        <v>4928</v>
      </c>
      <c r="AF234" t="s">
        <v>74</v>
      </c>
      <c r="AG234">
        <v>81</v>
      </c>
      <c r="AH234">
        <v>1</v>
      </c>
      <c r="AI234">
        <v>1</v>
      </c>
      <c r="AJ234">
        <v>0</v>
      </c>
      <c r="AK234">
        <v>0</v>
      </c>
      <c r="AL234" t="s">
        <v>1803</v>
      </c>
      <c r="AM234" t="s">
        <v>299</v>
      </c>
      <c r="AN234" t="s">
        <v>1924</v>
      </c>
      <c r="AO234" t="s">
        <v>1806</v>
      </c>
      <c r="AP234" t="s">
        <v>1807</v>
      </c>
      <c r="AQ234" t="s">
        <v>74</v>
      </c>
      <c r="AR234" t="s">
        <v>1808</v>
      </c>
      <c r="AS234" t="s">
        <v>1809</v>
      </c>
      <c r="AT234" t="s">
        <v>4689</v>
      </c>
      <c r="AU234">
        <v>2023</v>
      </c>
      <c r="AV234">
        <v>35</v>
      </c>
      <c r="AW234">
        <v>4</v>
      </c>
      <c r="AX234" t="s">
        <v>74</v>
      </c>
      <c r="AY234" t="s">
        <v>74</v>
      </c>
      <c r="AZ234" t="s">
        <v>74</v>
      </c>
      <c r="BA234" t="s">
        <v>74</v>
      </c>
      <c r="BB234">
        <v>283</v>
      </c>
      <c r="BC234">
        <v>298</v>
      </c>
      <c r="BD234" t="s">
        <v>74</v>
      </c>
      <c r="BE234" t="s">
        <v>4929</v>
      </c>
      <c r="BF234" t="str">
        <f>HYPERLINK("http://dx.doi.org/10.1017/S0954102023000111","http://dx.doi.org/10.1017/S0954102023000111")</f>
        <v>http://dx.doi.org/10.1017/S0954102023000111</v>
      </c>
      <c r="BG234" t="s">
        <v>74</v>
      </c>
      <c r="BH234" t="s">
        <v>74</v>
      </c>
      <c r="BI234">
        <v>16</v>
      </c>
      <c r="BJ234" t="s">
        <v>1813</v>
      </c>
      <c r="BK234" t="s">
        <v>104</v>
      </c>
      <c r="BL234" t="s">
        <v>1814</v>
      </c>
      <c r="BM234" t="s">
        <v>4930</v>
      </c>
      <c r="BN234" t="s">
        <v>74</v>
      </c>
      <c r="BO234" t="s">
        <v>549</v>
      </c>
      <c r="BP234" t="s">
        <v>74</v>
      </c>
      <c r="BQ234" t="s">
        <v>74</v>
      </c>
      <c r="BR234" t="s">
        <v>107</v>
      </c>
      <c r="BS234" t="s">
        <v>4931</v>
      </c>
      <c r="BT234" t="str">
        <f>HYPERLINK("https%3A%2F%2Fwww.webofscience.com%2Fwos%2Fwoscc%2Ffull-record%2FWOS:001074468500001","View Full Record in Web of Science")</f>
        <v>View Full Record in Web of Science</v>
      </c>
    </row>
    <row r="235" spans="1:72" x14ac:dyDescent="0.15">
      <c r="A235" t="s">
        <v>72</v>
      </c>
      <c r="B235" t="s">
        <v>4932</v>
      </c>
      <c r="C235" t="s">
        <v>74</v>
      </c>
      <c r="D235" t="s">
        <v>74</v>
      </c>
      <c r="E235" t="s">
        <v>74</v>
      </c>
      <c r="F235" t="s">
        <v>4933</v>
      </c>
      <c r="G235" t="s">
        <v>74</v>
      </c>
      <c r="H235" t="s">
        <v>74</v>
      </c>
      <c r="I235" t="s">
        <v>4934</v>
      </c>
      <c r="J235" t="s">
        <v>3107</v>
      </c>
      <c r="K235" t="s">
        <v>74</v>
      </c>
      <c r="L235" t="s">
        <v>74</v>
      </c>
      <c r="M235" t="s">
        <v>78</v>
      </c>
      <c r="N235" t="s">
        <v>52</v>
      </c>
      <c r="O235" t="s">
        <v>4935</v>
      </c>
      <c r="P235" t="s">
        <v>4936</v>
      </c>
      <c r="Q235" t="s">
        <v>4937</v>
      </c>
      <c r="R235" t="s">
        <v>74</v>
      </c>
      <c r="S235" t="s">
        <v>74</v>
      </c>
      <c r="T235" t="s">
        <v>74</v>
      </c>
      <c r="U235" t="s">
        <v>4938</v>
      </c>
      <c r="V235" t="s">
        <v>74</v>
      </c>
      <c r="W235" t="s">
        <v>4939</v>
      </c>
      <c r="X235" t="s">
        <v>4940</v>
      </c>
      <c r="Y235" t="s">
        <v>74</v>
      </c>
      <c r="Z235" t="s">
        <v>4941</v>
      </c>
      <c r="AA235" t="s">
        <v>4942</v>
      </c>
      <c r="AB235" t="s">
        <v>74</v>
      </c>
      <c r="AC235" t="s">
        <v>74</v>
      </c>
      <c r="AD235" t="s">
        <v>74</v>
      </c>
      <c r="AE235" t="s">
        <v>74</v>
      </c>
      <c r="AF235" t="s">
        <v>74</v>
      </c>
      <c r="AG235">
        <v>7</v>
      </c>
      <c r="AH235">
        <v>0</v>
      </c>
      <c r="AI235">
        <v>0</v>
      </c>
      <c r="AJ235">
        <v>1</v>
      </c>
      <c r="AK235">
        <v>1</v>
      </c>
      <c r="AL235" t="s">
        <v>460</v>
      </c>
      <c r="AM235" t="s">
        <v>461</v>
      </c>
      <c r="AN235" t="s">
        <v>462</v>
      </c>
      <c r="AO235" t="s">
        <v>3119</v>
      </c>
      <c r="AP235" t="s">
        <v>3120</v>
      </c>
      <c r="AQ235" t="s">
        <v>74</v>
      </c>
      <c r="AR235" t="s">
        <v>3121</v>
      </c>
      <c r="AS235" t="s">
        <v>3122</v>
      </c>
      <c r="AT235" t="s">
        <v>4689</v>
      </c>
      <c r="AU235">
        <v>2023</v>
      </c>
      <c r="AV235">
        <v>58</v>
      </c>
      <c r="AW235" t="s">
        <v>74</v>
      </c>
      <c r="AX235" t="s">
        <v>74</v>
      </c>
      <c r="AY235">
        <v>1</v>
      </c>
      <c r="AZ235" t="s">
        <v>74</v>
      </c>
      <c r="BA235" t="s">
        <v>74</v>
      </c>
      <c r="BB235" t="s">
        <v>4943</v>
      </c>
      <c r="BC235" t="s">
        <v>4943</v>
      </c>
      <c r="BD235" t="s">
        <v>74</v>
      </c>
      <c r="BE235" t="s">
        <v>74</v>
      </c>
      <c r="BF235" t="s">
        <v>74</v>
      </c>
      <c r="BG235" t="s">
        <v>74</v>
      </c>
      <c r="BH235" t="s">
        <v>74</v>
      </c>
      <c r="BI235">
        <v>1</v>
      </c>
      <c r="BJ235" t="s">
        <v>597</v>
      </c>
      <c r="BK235" t="s">
        <v>4944</v>
      </c>
      <c r="BL235" t="s">
        <v>597</v>
      </c>
      <c r="BM235" t="s">
        <v>4945</v>
      </c>
      <c r="BN235" t="s">
        <v>74</v>
      </c>
      <c r="BO235" t="s">
        <v>74</v>
      </c>
      <c r="BP235" t="s">
        <v>74</v>
      </c>
      <c r="BQ235" t="s">
        <v>74</v>
      </c>
      <c r="BR235" t="s">
        <v>107</v>
      </c>
      <c r="BS235" t="s">
        <v>4946</v>
      </c>
      <c r="BT235" t="str">
        <f>HYPERLINK("https%3A%2F%2Fwww.webofscience.com%2Fwos%2Fwoscc%2Ffull-record%2FWOS:001048626300034","View Full Record in Web of Science")</f>
        <v>View Full Record in Web of Science</v>
      </c>
    </row>
    <row r="236" spans="1:72" x14ac:dyDescent="0.15">
      <c r="A236" t="s">
        <v>72</v>
      </c>
      <c r="B236" t="s">
        <v>4947</v>
      </c>
      <c r="C236" t="s">
        <v>74</v>
      </c>
      <c r="D236" t="s">
        <v>74</v>
      </c>
      <c r="E236" t="s">
        <v>74</v>
      </c>
      <c r="F236" t="s">
        <v>4948</v>
      </c>
      <c r="G236" t="s">
        <v>74</v>
      </c>
      <c r="H236" t="s">
        <v>74</v>
      </c>
      <c r="I236" t="s">
        <v>4949</v>
      </c>
      <c r="J236" t="s">
        <v>3107</v>
      </c>
      <c r="K236" t="s">
        <v>74</v>
      </c>
      <c r="L236" t="s">
        <v>74</v>
      </c>
      <c r="M236" t="s">
        <v>78</v>
      </c>
      <c r="N236" t="s">
        <v>52</v>
      </c>
      <c r="O236" t="s">
        <v>4935</v>
      </c>
      <c r="P236" t="s">
        <v>4936</v>
      </c>
      <c r="Q236" t="s">
        <v>4937</v>
      </c>
      <c r="R236" t="s">
        <v>74</v>
      </c>
      <c r="S236" t="s">
        <v>74</v>
      </c>
      <c r="T236" t="s">
        <v>74</v>
      </c>
      <c r="U236" t="s">
        <v>74</v>
      </c>
      <c r="V236" t="s">
        <v>74</v>
      </c>
      <c r="W236" t="s">
        <v>4950</v>
      </c>
      <c r="X236" t="s">
        <v>74</v>
      </c>
      <c r="Y236" t="s">
        <v>74</v>
      </c>
      <c r="Z236" t="s">
        <v>74</v>
      </c>
      <c r="AA236" t="s">
        <v>74</v>
      </c>
      <c r="AB236" t="s">
        <v>74</v>
      </c>
      <c r="AC236" t="s">
        <v>74</v>
      </c>
      <c r="AD236" t="s">
        <v>74</v>
      </c>
      <c r="AE236" t="s">
        <v>74</v>
      </c>
      <c r="AF236" t="s">
        <v>74</v>
      </c>
      <c r="AG236">
        <v>1</v>
      </c>
      <c r="AH236">
        <v>0</v>
      </c>
      <c r="AI236">
        <v>0</v>
      </c>
      <c r="AJ236">
        <v>0</v>
      </c>
      <c r="AK236">
        <v>0</v>
      </c>
      <c r="AL236" t="s">
        <v>460</v>
      </c>
      <c r="AM236" t="s">
        <v>461</v>
      </c>
      <c r="AN236" t="s">
        <v>462</v>
      </c>
      <c r="AO236" t="s">
        <v>3119</v>
      </c>
      <c r="AP236" t="s">
        <v>3120</v>
      </c>
      <c r="AQ236" t="s">
        <v>74</v>
      </c>
      <c r="AR236" t="s">
        <v>3121</v>
      </c>
      <c r="AS236" t="s">
        <v>3122</v>
      </c>
      <c r="AT236" t="s">
        <v>4689</v>
      </c>
      <c r="AU236">
        <v>2023</v>
      </c>
      <c r="AV236">
        <v>58</v>
      </c>
      <c r="AW236" t="s">
        <v>74</v>
      </c>
      <c r="AX236" t="s">
        <v>74</v>
      </c>
      <c r="AY236">
        <v>1</v>
      </c>
      <c r="AZ236" t="s">
        <v>74</v>
      </c>
      <c r="BA236" t="s">
        <v>74</v>
      </c>
      <c r="BB236" t="s">
        <v>4951</v>
      </c>
      <c r="BC236" t="s">
        <v>4951</v>
      </c>
      <c r="BD236" t="s">
        <v>74</v>
      </c>
      <c r="BE236" t="s">
        <v>74</v>
      </c>
      <c r="BF236" t="s">
        <v>74</v>
      </c>
      <c r="BG236" t="s">
        <v>74</v>
      </c>
      <c r="BH236" t="s">
        <v>74</v>
      </c>
      <c r="BI236">
        <v>1</v>
      </c>
      <c r="BJ236" t="s">
        <v>597</v>
      </c>
      <c r="BK236" t="s">
        <v>4944</v>
      </c>
      <c r="BL236" t="s">
        <v>597</v>
      </c>
      <c r="BM236" t="s">
        <v>4945</v>
      </c>
      <c r="BN236" t="s">
        <v>74</v>
      </c>
      <c r="BO236" t="s">
        <v>74</v>
      </c>
      <c r="BP236" t="s">
        <v>74</v>
      </c>
      <c r="BQ236" t="s">
        <v>74</v>
      </c>
      <c r="BR236" t="s">
        <v>107</v>
      </c>
      <c r="BS236" t="s">
        <v>4952</v>
      </c>
      <c r="BT236" t="str">
        <f>HYPERLINK("https%3A%2F%2Fwww.webofscience.com%2Fwos%2Fwoscc%2Ffull-record%2FWOS:001048626300143","View Full Record in Web of Science")</f>
        <v>View Full Record in Web of Science</v>
      </c>
    </row>
    <row r="237" spans="1:72" x14ac:dyDescent="0.15">
      <c r="A237" t="s">
        <v>72</v>
      </c>
      <c r="B237" t="s">
        <v>4953</v>
      </c>
      <c r="C237" t="s">
        <v>74</v>
      </c>
      <c r="D237" t="s">
        <v>74</v>
      </c>
      <c r="E237" t="s">
        <v>74</v>
      </c>
      <c r="F237" t="s">
        <v>4954</v>
      </c>
      <c r="G237" t="s">
        <v>74</v>
      </c>
      <c r="H237" t="s">
        <v>74</v>
      </c>
      <c r="I237" t="s">
        <v>4955</v>
      </c>
      <c r="J237" t="s">
        <v>3107</v>
      </c>
      <c r="K237" t="s">
        <v>74</v>
      </c>
      <c r="L237" t="s">
        <v>74</v>
      </c>
      <c r="M237" t="s">
        <v>78</v>
      </c>
      <c r="N237" t="s">
        <v>52</v>
      </c>
      <c r="O237" t="s">
        <v>4935</v>
      </c>
      <c r="P237" t="s">
        <v>4936</v>
      </c>
      <c r="Q237" t="s">
        <v>4937</v>
      </c>
      <c r="R237" t="s">
        <v>74</v>
      </c>
      <c r="S237" t="s">
        <v>74</v>
      </c>
      <c r="T237" t="s">
        <v>74</v>
      </c>
      <c r="U237" t="s">
        <v>74</v>
      </c>
      <c r="V237" t="s">
        <v>74</v>
      </c>
      <c r="W237" t="s">
        <v>4956</v>
      </c>
      <c r="X237" t="s">
        <v>74</v>
      </c>
      <c r="Y237" t="s">
        <v>74</v>
      </c>
      <c r="Z237" t="s">
        <v>74</v>
      </c>
      <c r="AA237" t="s">
        <v>74</v>
      </c>
      <c r="AB237" t="s">
        <v>74</v>
      </c>
      <c r="AC237" t="s">
        <v>74</v>
      </c>
      <c r="AD237" t="s">
        <v>74</v>
      </c>
      <c r="AE237" t="s">
        <v>74</v>
      </c>
      <c r="AF237" t="s">
        <v>74</v>
      </c>
      <c r="AG237">
        <v>1</v>
      </c>
      <c r="AH237">
        <v>0</v>
      </c>
      <c r="AI237">
        <v>0</v>
      </c>
      <c r="AJ237">
        <v>0</v>
      </c>
      <c r="AK237">
        <v>0</v>
      </c>
      <c r="AL237" t="s">
        <v>460</v>
      </c>
      <c r="AM237" t="s">
        <v>461</v>
      </c>
      <c r="AN237" t="s">
        <v>462</v>
      </c>
      <c r="AO237" t="s">
        <v>3119</v>
      </c>
      <c r="AP237" t="s">
        <v>3120</v>
      </c>
      <c r="AQ237" t="s">
        <v>74</v>
      </c>
      <c r="AR237" t="s">
        <v>3121</v>
      </c>
      <c r="AS237" t="s">
        <v>3122</v>
      </c>
      <c r="AT237" t="s">
        <v>4689</v>
      </c>
      <c r="AU237">
        <v>2023</v>
      </c>
      <c r="AV237">
        <v>58</v>
      </c>
      <c r="AW237" t="s">
        <v>74</v>
      </c>
      <c r="AX237" t="s">
        <v>74</v>
      </c>
      <c r="AY237">
        <v>1</v>
      </c>
      <c r="AZ237" t="s">
        <v>74</v>
      </c>
      <c r="BA237" t="s">
        <v>74</v>
      </c>
      <c r="BB237" t="s">
        <v>4957</v>
      </c>
      <c r="BC237" t="s">
        <v>4957</v>
      </c>
      <c r="BD237" t="s">
        <v>74</v>
      </c>
      <c r="BE237" t="s">
        <v>74</v>
      </c>
      <c r="BF237" t="s">
        <v>74</v>
      </c>
      <c r="BG237" t="s">
        <v>74</v>
      </c>
      <c r="BH237" t="s">
        <v>74</v>
      </c>
      <c r="BI237">
        <v>1</v>
      </c>
      <c r="BJ237" t="s">
        <v>597</v>
      </c>
      <c r="BK237" t="s">
        <v>4944</v>
      </c>
      <c r="BL237" t="s">
        <v>597</v>
      </c>
      <c r="BM237" t="s">
        <v>4945</v>
      </c>
      <c r="BN237" t="s">
        <v>74</v>
      </c>
      <c r="BO237" t="s">
        <v>74</v>
      </c>
      <c r="BP237" t="s">
        <v>74</v>
      </c>
      <c r="BQ237" t="s">
        <v>74</v>
      </c>
      <c r="BR237" t="s">
        <v>107</v>
      </c>
      <c r="BS237" t="s">
        <v>4958</v>
      </c>
      <c r="BT237" t="str">
        <f>HYPERLINK("https%3A%2F%2Fwww.webofscience.com%2Fwos%2Fwoscc%2Ffull-record%2FWOS:001048626300146","View Full Record in Web of Science")</f>
        <v>View Full Record in Web of Science</v>
      </c>
    </row>
    <row r="238" spans="1:72" x14ac:dyDescent="0.15">
      <c r="A238" t="s">
        <v>72</v>
      </c>
      <c r="B238" t="s">
        <v>4959</v>
      </c>
      <c r="C238" t="s">
        <v>74</v>
      </c>
      <c r="D238" t="s">
        <v>74</v>
      </c>
      <c r="E238" t="s">
        <v>74</v>
      </c>
      <c r="F238" t="s">
        <v>4960</v>
      </c>
      <c r="G238" t="s">
        <v>74</v>
      </c>
      <c r="H238" t="s">
        <v>74</v>
      </c>
      <c r="I238" t="s">
        <v>4961</v>
      </c>
      <c r="J238" t="s">
        <v>3107</v>
      </c>
      <c r="K238" t="s">
        <v>74</v>
      </c>
      <c r="L238" t="s">
        <v>74</v>
      </c>
      <c r="M238" t="s">
        <v>78</v>
      </c>
      <c r="N238" t="s">
        <v>52</v>
      </c>
      <c r="O238" t="s">
        <v>4935</v>
      </c>
      <c r="P238" t="s">
        <v>4936</v>
      </c>
      <c r="Q238" t="s">
        <v>4937</v>
      </c>
      <c r="R238" t="s">
        <v>74</v>
      </c>
      <c r="S238" t="s">
        <v>74</v>
      </c>
      <c r="T238" t="s">
        <v>74</v>
      </c>
      <c r="U238" t="s">
        <v>74</v>
      </c>
      <c r="V238" t="s">
        <v>74</v>
      </c>
      <c r="W238" t="s">
        <v>4962</v>
      </c>
      <c r="X238" t="s">
        <v>4963</v>
      </c>
      <c r="Y238" t="s">
        <v>74</v>
      </c>
      <c r="Z238" t="s">
        <v>4964</v>
      </c>
      <c r="AA238" t="s">
        <v>74</v>
      </c>
      <c r="AB238" t="s">
        <v>74</v>
      </c>
      <c r="AC238" t="s">
        <v>74</v>
      </c>
      <c r="AD238" t="s">
        <v>74</v>
      </c>
      <c r="AE238" t="s">
        <v>74</v>
      </c>
      <c r="AF238" t="s">
        <v>74</v>
      </c>
      <c r="AG238">
        <v>10</v>
      </c>
      <c r="AH238">
        <v>0</v>
      </c>
      <c r="AI238">
        <v>0</v>
      </c>
      <c r="AJ238">
        <v>0</v>
      </c>
      <c r="AK238">
        <v>0</v>
      </c>
      <c r="AL238" t="s">
        <v>460</v>
      </c>
      <c r="AM238" t="s">
        <v>461</v>
      </c>
      <c r="AN238" t="s">
        <v>462</v>
      </c>
      <c r="AO238" t="s">
        <v>3119</v>
      </c>
      <c r="AP238" t="s">
        <v>3120</v>
      </c>
      <c r="AQ238" t="s">
        <v>74</v>
      </c>
      <c r="AR238" t="s">
        <v>3121</v>
      </c>
      <c r="AS238" t="s">
        <v>3122</v>
      </c>
      <c r="AT238" t="s">
        <v>4689</v>
      </c>
      <c r="AU238">
        <v>2023</v>
      </c>
      <c r="AV238">
        <v>58</v>
      </c>
      <c r="AW238" t="s">
        <v>74</v>
      </c>
      <c r="AX238" t="s">
        <v>74</v>
      </c>
      <c r="AY238">
        <v>1</v>
      </c>
      <c r="AZ238" t="s">
        <v>74</v>
      </c>
      <c r="BA238" t="s">
        <v>74</v>
      </c>
      <c r="BB238" t="s">
        <v>4965</v>
      </c>
      <c r="BC238" t="s">
        <v>4965</v>
      </c>
      <c r="BD238" t="s">
        <v>74</v>
      </c>
      <c r="BE238" t="s">
        <v>74</v>
      </c>
      <c r="BF238" t="s">
        <v>74</v>
      </c>
      <c r="BG238" t="s">
        <v>74</v>
      </c>
      <c r="BH238" t="s">
        <v>74</v>
      </c>
      <c r="BI238">
        <v>1</v>
      </c>
      <c r="BJ238" t="s">
        <v>597</v>
      </c>
      <c r="BK238" t="s">
        <v>4944</v>
      </c>
      <c r="BL238" t="s">
        <v>597</v>
      </c>
      <c r="BM238" t="s">
        <v>4945</v>
      </c>
      <c r="BN238" t="s">
        <v>74</v>
      </c>
      <c r="BO238" t="s">
        <v>74</v>
      </c>
      <c r="BP238" t="s">
        <v>74</v>
      </c>
      <c r="BQ238" t="s">
        <v>74</v>
      </c>
      <c r="BR238" t="s">
        <v>107</v>
      </c>
      <c r="BS238" t="s">
        <v>4966</v>
      </c>
      <c r="BT238" t="str">
        <f>HYPERLINK("https%3A%2F%2Fwww.webofscience.com%2Fwos%2Fwoscc%2Ffull-record%2FWOS:001048626300248","View Full Record in Web of Science")</f>
        <v>View Full Record in Web of Science</v>
      </c>
    </row>
    <row r="239" spans="1:72" x14ac:dyDescent="0.15">
      <c r="A239" t="s">
        <v>72</v>
      </c>
      <c r="B239" t="s">
        <v>4967</v>
      </c>
      <c r="C239" t="s">
        <v>74</v>
      </c>
      <c r="D239" t="s">
        <v>74</v>
      </c>
      <c r="E239" t="s">
        <v>74</v>
      </c>
      <c r="F239" t="s">
        <v>4968</v>
      </c>
      <c r="G239" t="s">
        <v>74</v>
      </c>
      <c r="H239" t="s">
        <v>74</v>
      </c>
      <c r="I239" t="s">
        <v>4969</v>
      </c>
      <c r="J239" t="s">
        <v>3107</v>
      </c>
      <c r="K239" t="s">
        <v>74</v>
      </c>
      <c r="L239" t="s">
        <v>74</v>
      </c>
      <c r="M239" t="s">
        <v>78</v>
      </c>
      <c r="N239" t="s">
        <v>52</v>
      </c>
      <c r="O239" t="s">
        <v>4935</v>
      </c>
      <c r="P239" t="s">
        <v>4936</v>
      </c>
      <c r="Q239" t="s">
        <v>4937</v>
      </c>
      <c r="R239" t="s">
        <v>74</v>
      </c>
      <c r="S239" t="s">
        <v>74</v>
      </c>
      <c r="T239" t="s">
        <v>74</v>
      </c>
      <c r="U239" t="s">
        <v>74</v>
      </c>
      <c r="V239" t="s">
        <v>74</v>
      </c>
      <c r="W239" t="s">
        <v>4970</v>
      </c>
      <c r="X239" t="s">
        <v>74</v>
      </c>
      <c r="Y239" t="s">
        <v>74</v>
      </c>
      <c r="Z239" t="s">
        <v>74</v>
      </c>
      <c r="AA239" t="s">
        <v>74</v>
      </c>
      <c r="AB239" t="s">
        <v>74</v>
      </c>
      <c r="AC239" t="s">
        <v>74</v>
      </c>
      <c r="AD239" t="s">
        <v>74</v>
      </c>
      <c r="AE239" t="s">
        <v>74</v>
      </c>
      <c r="AF239" t="s">
        <v>74</v>
      </c>
      <c r="AG239">
        <v>1</v>
      </c>
      <c r="AH239">
        <v>0</v>
      </c>
      <c r="AI239">
        <v>0</v>
      </c>
      <c r="AJ239">
        <v>0</v>
      </c>
      <c r="AK239">
        <v>0</v>
      </c>
      <c r="AL239" t="s">
        <v>460</v>
      </c>
      <c r="AM239" t="s">
        <v>461</v>
      </c>
      <c r="AN239" t="s">
        <v>462</v>
      </c>
      <c r="AO239" t="s">
        <v>3119</v>
      </c>
      <c r="AP239" t="s">
        <v>3120</v>
      </c>
      <c r="AQ239" t="s">
        <v>74</v>
      </c>
      <c r="AR239" t="s">
        <v>3121</v>
      </c>
      <c r="AS239" t="s">
        <v>3122</v>
      </c>
      <c r="AT239" t="s">
        <v>4689</v>
      </c>
      <c r="AU239">
        <v>2023</v>
      </c>
      <c r="AV239">
        <v>58</v>
      </c>
      <c r="AW239" t="s">
        <v>74</v>
      </c>
      <c r="AX239" t="s">
        <v>74</v>
      </c>
      <c r="AY239">
        <v>1</v>
      </c>
      <c r="AZ239" t="s">
        <v>74</v>
      </c>
      <c r="BA239" t="s">
        <v>74</v>
      </c>
      <c r="BB239" t="s">
        <v>4971</v>
      </c>
      <c r="BC239" t="s">
        <v>4971</v>
      </c>
      <c r="BD239" t="s">
        <v>74</v>
      </c>
      <c r="BE239" t="s">
        <v>74</v>
      </c>
      <c r="BF239" t="s">
        <v>74</v>
      </c>
      <c r="BG239" t="s">
        <v>74</v>
      </c>
      <c r="BH239" t="s">
        <v>74</v>
      </c>
      <c r="BI239">
        <v>1</v>
      </c>
      <c r="BJ239" t="s">
        <v>597</v>
      </c>
      <c r="BK239" t="s">
        <v>4944</v>
      </c>
      <c r="BL239" t="s">
        <v>597</v>
      </c>
      <c r="BM239" t="s">
        <v>4945</v>
      </c>
      <c r="BN239" t="s">
        <v>74</v>
      </c>
      <c r="BO239" t="s">
        <v>74</v>
      </c>
      <c r="BP239" t="s">
        <v>74</v>
      </c>
      <c r="BQ239" t="s">
        <v>74</v>
      </c>
      <c r="BR239" t="s">
        <v>107</v>
      </c>
      <c r="BS239" t="s">
        <v>4972</v>
      </c>
      <c r="BT239" t="str">
        <f>HYPERLINK("https%3A%2F%2Fwww.webofscience.com%2Fwos%2Fwoscc%2Ffull-record%2FWOS:001048626300298","View Full Record in Web of Science")</f>
        <v>View Full Record in Web of Science</v>
      </c>
    </row>
    <row r="240" spans="1:72" x14ac:dyDescent="0.15">
      <c r="A240" t="s">
        <v>72</v>
      </c>
      <c r="B240" t="s">
        <v>4967</v>
      </c>
      <c r="C240" t="s">
        <v>74</v>
      </c>
      <c r="D240" t="s">
        <v>74</v>
      </c>
      <c r="E240" t="s">
        <v>74</v>
      </c>
      <c r="F240" t="s">
        <v>4968</v>
      </c>
      <c r="G240" t="s">
        <v>74</v>
      </c>
      <c r="H240" t="s">
        <v>74</v>
      </c>
      <c r="I240" t="s">
        <v>4973</v>
      </c>
      <c r="J240" t="s">
        <v>3107</v>
      </c>
      <c r="K240" t="s">
        <v>74</v>
      </c>
      <c r="L240" t="s">
        <v>74</v>
      </c>
      <c r="M240" t="s">
        <v>78</v>
      </c>
      <c r="N240" t="s">
        <v>52</v>
      </c>
      <c r="O240" t="s">
        <v>4935</v>
      </c>
      <c r="P240" t="s">
        <v>4936</v>
      </c>
      <c r="Q240" t="s">
        <v>4937</v>
      </c>
      <c r="R240" t="s">
        <v>74</v>
      </c>
      <c r="S240" t="s">
        <v>74</v>
      </c>
      <c r="T240" t="s">
        <v>74</v>
      </c>
      <c r="U240" t="s">
        <v>74</v>
      </c>
      <c r="V240" t="s">
        <v>74</v>
      </c>
      <c r="W240" t="s">
        <v>4970</v>
      </c>
      <c r="X240" t="s">
        <v>74</v>
      </c>
      <c r="Y240" t="s">
        <v>74</v>
      </c>
      <c r="Z240" t="s">
        <v>74</v>
      </c>
      <c r="AA240" t="s">
        <v>74</v>
      </c>
      <c r="AB240" t="s">
        <v>74</v>
      </c>
      <c r="AC240" t="s">
        <v>74</v>
      </c>
      <c r="AD240" t="s">
        <v>74</v>
      </c>
      <c r="AE240" t="s">
        <v>74</v>
      </c>
      <c r="AF240" t="s">
        <v>74</v>
      </c>
      <c r="AG240">
        <v>1</v>
      </c>
      <c r="AH240">
        <v>0</v>
      </c>
      <c r="AI240">
        <v>0</v>
      </c>
      <c r="AJ240">
        <v>0</v>
      </c>
      <c r="AK240">
        <v>0</v>
      </c>
      <c r="AL240" t="s">
        <v>460</v>
      </c>
      <c r="AM240" t="s">
        <v>461</v>
      </c>
      <c r="AN240" t="s">
        <v>462</v>
      </c>
      <c r="AO240" t="s">
        <v>3119</v>
      </c>
      <c r="AP240" t="s">
        <v>3120</v>
      </c>
      <c r="AQ240" t="s">
        <v>74</v>
      </c>
      <c r="AR240" t="s">
        <v>3121</v>
      </c>
      <c r="AS240" t="s">
        <v>3122</v>
      </c>
      <c r="AT240" t="s">
        <v>4689</v>
      </c>
      <c r="AU240">
        <v>2023</v>
      </c>
      <c r="AV240">
        <v>58</v>
      </c>
      <c r="AW240" t="s">
        <v>74</v>
      </c>
      <c r="AX240" t="s">
        <v>74</v>
      </c>
      <c r="AY240">
        <v>1</v>
      </c>
      <c r="AZ240" t="s">
        <v>74</v>
      </c>
      <c r="BA240" t="s">
        <v>74</v>
      </c>
      <c r="BB240" t="s">
        <v>4974</v>
      </c>
      <c r="BC240" t="s">
        <v>4974</v>
      </c>
      <c r="BD240" t="s">
        <v>74</v>
      </c>
      <c r="BE240" t="s">
        <v>74</v>
      </c>
      <c r="BF240" t="s">
        <v>74</v>
      </c>
      <c r="BG240" t="s">
        <v>74</v>
      </c>
      <c r="BH240" t="s">
        <v>74</v>
      </c>
      <c r="BI240">
        <v>1</v>
      </c>
      <c r="BJ240" t="s">
        <v>597</v>
      </c>
      <c r="BK240" t="s">
        <v>4944</v>
      </c>
      <c r="BL240" t="s">
        <v>597</v>
      </c>
      <c r="BM240" t="s">
        <v>4945</v>
      </c>
      <c r="BN240" t="s">
        <v>74</v>
      </c>
      <c r="BO240" t="s">
        <v>74</v>
      </c>
      <c r="BP240" t="s">
        <v>74</v>
      </c>
      <c r="BQ240" t="s">
        <v>74</v>
      </c>
      <c r="BR240" t="s">
        <v>107</v>
      </c>
      <c r="BS240" t="s">
        <v>4975</v>
      </c>
      <c r="BT240" t="str">
        <f>HYPERLINK("https%3A%2F%2Fwww.webofscience.com%2Fwos%2Fwoscc%2Ffull-record%2FWOS:001048626300297","View Full Record in Web of Science")</f>
        <v>View Full Record in Web of Science</v>
      </c>
    </row>
    <row r="241" spans="1:72" x14ac:dyDescent="0.15">
      <c r="A241" t="s">
        <v>72</v>
      </c>
      <c r="B241" t="s">
        <v>4976</v>
      </c>
      <c r="C241" t="s">
        <v>74</v>
      </c>
      <c r="D241" t="s">
        <v>74</v>
      </c>
      <c r="E241" t="s">
        <v>74</v>
      </c>
      <c r="F241" t="s">
        <v>4977</v>
      </c>
      <c r="G241" t="s">
        <v>74</v>
      </c>
      <c r="H241" t="s">
        <v>74</v>
      </c>
      <c r="I241" t="s">
        <v>4978</v>
      </c>
      <c r="J241" t="s">
        <v>4979</v>
      </c>
      <c r="K241" t="s">
        <v>74</v>
      </c>
      <c r="L241" t="s">
        <v>74</v>
      </c>
      <c r="M241" t="s">
        <v>78</v>
      </c>
      <c r="N241" t="s">
        <v>79</v>
      </c>
      <c r="O241" t="s">
        <v>74</v>
      </c>
      <c r="P241" t="s">
        <v>74</v>
      </c>
      <c r="Q241" t="s">
        <v>74</v>
      </c>
      <c r="R241" t="s">
        <v>74</v>
      </c>
      <c r="S241" t="s">
        <v>74</v>
      </c>
      <c r="T241" t="s">
        <v>4980</v>
      </c>
      <c r="U241" t="s">
        <v>4981</v>
      </c>
      <c r="V241" t="s">
        <v>4982</v>
      </c>
      <c r="W241" t="s">
        <v>4983</v>
      </c>
      <c r="X241" t="s">
        <v>4984</v>
      </c>
      <c r="Y241" t="s">
        <v>4985</v>
      </c>
      <c r="Z241" t="s">
        <v>4986</v>
      </c>
      <c r="AA241" t="s">
        <v>4987</v>
      </c>
      <c r="AB241" t="s">
        <v>74</v>
      </c>
      <c r="AC241" t="s">
        <v>4988</v>
      </c>
      <c r="AD241" t="s">
        <v>4989</v>
      </c>
      <c r="AE241" t="s">
        <v>4990</v>
      </c>
      <c r="AF241" t="s">
        <v>74</v>
      </c>
      <c r="AG241">
        <v>83</v>
      </c>
      <c r="AH241">
        <v>0</v>
      </c>
      <c r="AI241">
        <v>0</v>
      </c>
      <c r="AJ241">
        <v>10</v>
      </c>
      <c r="AK241">
        <v>11</v>
      </c>
      <c r="AL241" t="s">
        <v>90</v>
      </c>
      <c r="AM241" t="s">
        <v>91</v>
      </c>
      <c r="AN241" t="s">
        <v>92</v>
      </c>
      <c r="AO241" t="s">
        <v>4991</v>
      </c>
      <c r="AP241" t="s">
        <v>4992</v>
      </c>
      <c r="AQ241" t="s">
        <v>74</v>
      </c>
      <c r="AR241" t="s">
        <v>4993</v>
      </c>
      <c r="AS241" t="s">
        <v>4994</v>
      </c>
      <c r="AT241" t="s">
        <v>4689</v>
      </c>
      <c r="AU241">
        <v>2023</v>
      </c>
      <c r="AV241">
        <v>62</v>
      </c>
      <c r="AW241">
        <v>8</v>
      </c>
      <c r="AX241" t="s">
        <v>74</v>
      </c>
      <c r="AY241" t="s">
        <v>74</v>
      </c>
      <c r="AZ241" t="s">
        <v>74</v>
      </c>
      <c r="BA241" t="s">
        <v>74</v>
      </c>
      <c r="BB241">
        <v>1129</v>
      </c>
      <c r="BC241">
        <v>1146</v>
      </c>
      <c r="BD241" t="s">
        <v>74</v>
      </c>
      <c r="BE241" t="s">
        <v>4995</v>
      </c>
      <c r="BF241" t="str">
        <f>HYPERLINK("http://dx.doi.org/10.1175/JAMC-D-22-0137.1","http://dx.doi.org/10.1175/JAMC-D-22-0137.1")</f>
        <v>http://dx.doi.org/10.1175/JAMC-D-22-0137.1</v>
      </c>
      <c r="BG241" t="s">
        <v>74</v>
      </c>
      <c r="BH241" t="s">
        <v>74</v>
      </c>
      <c r="BI241">
        <v>18</v>
      </c>
      <c r="BJ241" t="s">
        <v>103</v>
      </c>
      <c r="BK241" t="s">
        <v>104</v>
      </c>
      <c r="BL241" t="s">
        <v>103</v>
      </c>
      <c r="BM241" t="s">
        <v>4996</v>
      </c>
      <c r="BN241" t="s">
        <v>74</v>
      </c>
      <c r="BO241" t="s">
        <v>74</v>
      </c>
      <c r="BP241" t="s">
        <v>74</v>
      </c>
      <c r="BQ241" t="s">
        <v>74</v>
      </c>
      <c r="BR241" t="s">
        <v>107</v>
      </c>
      <c r="BS241" t="s">
        <v>4997</v>
      </c>
      <c r="BT241" t="str">
        <f>HYPERLINK("https%3A%2F%2Fwww.webofscience.com%2Fwos%2Fwoscc%2Ffull-record%2FWOS:001059377000004","View Full Record in Web of Science")</f>
        <v>View Full Record in Web of Science</v>
      </c>
    </row>
    <row r="242" spans="1:72" x14ac:dyDescent="0.15">
      <c r="A242" t="s">
        <v>72</v>
      </c>
      <c r="B242" t="s">
        <v>4998</v>
      </c>
      <c r="C242" t="s">
        <v>74</v>
      </c>
      <c r="D242" t="s">
        <v>74</v>
      </c>
      <c r="E242" t="s">
        <v>74</v>
      </c>
      <c r="F242" t="s">
        <v>4999</v>
      </c>
      <c r="G242" t="s">
        <v>74</v>
      </c>
      <c r="H242" t="s">
        <v>74</v>
      </c>
      <c r="I242" t="s">
        <v>5000</v>
      </c>
      <c r="J242" t="s">
        <v>5001</v>
      </c>
      <c r="K242" t="s">
        <v>74</v>
      </c>
      <c r="L242" t="s">
        <v>74</v>
      </c>
      <c r="M242" t="s">
        <v>78</v>
      </c>
      <c r="N242" t="s">
        <v>79</v>
      </c>
      <c r="O242" t="s">
        <v>74</v>
      </c>
      <c r="P242" t="s">
        <v>74</v>
      </c>
      <c r="Q242" t="s">
        <v>74</v>
      </c>
      <c r="R242" t="s">
        <v>74</v>
      </c>
      <c r="S242" t="s">
        <v>74</v>
      </c>
      <c r="T242" t="s">
        <v>5002</v>
      </c>
      <c r="U242" t="s">
        <v>5003</v>
      </c>
      <c r="V242" t="s">
        <v>5004</v>
      </c>
      <c r="W242" t="s">
        <v>5005</v>
      </c>
      <c r="X242" t="s">
        <v>5006</v>
      </c>
      <c r="Y242" t="s">
        <v>5007</v>
      </c>
      <c r="Z242" t="s">
        <v>5008</v>
      </c>
      <c r="AA242" t="s">
        <v>74</v>
      </c>
      <c r="AB242" t="s">
        <v>74</v>
      </c>
      <c r="AC242" t="s">
        <v>5009</v>
      </c>
      <c r="AD242" t="s">
        <v>5009</v>
      </c>
      <c r="AE242" t="s">
        <v>5009</v>
      </c>
      <c r="AF242" t="s">
        <v>74</v>
      </c>
      <c r="AG242">
        <v>37</v>
      </c>
      <c r="AH242">
        <v>0</v>
      </c>
      <c r="AI242">
        <v>0</v>
      </c>
      <c r="AJ242">
        <v>3</v>
      </c>
      <c r="AK242">
        <v>3</v>
      </c>
      <c r="AL242" t="s">
        <v>5010</v>
      </c>
      <c r="AM242" t="s">
        <v>5011</v>
      </c>
      <c r="AN242" t="s">
        <v>5012</v>
      </c>
      <c r="AO242" t="s">
        <v>5013</v>
      </c>
      <c r="AP242" t="s">
        <v>5014</v>
      </c>
      <c r="AQ242" t="s">
        <v>74</v>
      </c>
      <c r="AR242" t="s">
        <v>5015</v>
      </c>
      <c r="AS242" t="s">
        <v>5016</v>
      </c>
      <c r="AT242" t="s">
        <v>4689</v>
      </c>
      <c r="AU242">
        <v>2023</v>
      </c>
      <c r="AV242">
        <v>37</v>
      </c>
      <c r="AW242">
        <v>4</v>
      </c>
      <c r="AX242" t="s">
        <v>74</v>
      </c>
      <c r="AY242" t="s">
        <v>74</v>
      </c>
      <c r="AZ242" t="s">
        <v>74</v>
      </c>
      <c r="BA242" t="s">
        <v>74</v>
      </c>
      <c r="BB242">
        <v>698</v>
      </c>
      <c r="BC242">
        <v>708</v>
      </c>
      <c r="BD242" t="s">
        <v>74</v>
      </c>
      <c r="BE242" t="s">
        <v>5017</v>
      </c>
      <c r="BF242" t="str">
        <f>HYPERLINK("http://dx.doi.org/10.1007/s13344-023-0059-6","http://dx.doi.org/10.1007/s13344-023-0059-6")</f>
        <v>http://dx.doi.org/10.1007/s13344-023-0059-6</v>
      </c>
      <c r="BG242" t="s">
        <v>74</v>
      </c>
      <c r="BH242" t="s">
        <v>74</v>
      </c>
      <c r="BI242">
        <v>11</v>
      </c>
      <c r="BJ242" t="s">
        <v>5018</v>
      </c>
      <c r="BK242" t="s">
        <v>104</v>
      </c>
      <c r="BL242" t="s">
        <v>5019</v>
      </c>
      <c r="BM242" t="s">
        <v>5020</v>
      </c>
      <c r="BN242" t="s">
        <v>74</v>
      </c>
      <c r="BO242" t="s">
        <v>74</v>
      </c>
      <c r="BP242" t="s">
        <v>74</v>
      </c>
      <c r="BQ242" t="s">
        <v>74</v>
      </c>
      <c r="BR242" t="s">
        <v>107</v>
      </c>
      <c r="BS242" t="s">
        <v>5021</v>
      </c>
      <c r="BT242" t="str">
        <f>HYPERLINK("https%3A%2F%2Fwww.webofscience.com%2Fwos%2Fwoscc%2Ffull-record%2FWOS:001067635900015","View Full Record in Web of Science")</f>
        <v>View Full Record in Web of Science</v>
      </c>
    </row>
    <row r="243" spans="1:72" x14ac:dyDescent="0.15">
      <c r="A243" t="s">
        <v>72</v>
      </c>
      <c r="B243" t="s">
        <v>5022</v>
      </c>
      <c r="C243" t="s">
        <v>74</v>
      </c>
      <c r="D243" t="s">
        <v>74</v>
      </c>
      <c r="E243" t="s">
        <v>74</v>
      </c>
      <c r="F243" t="s">
        <v>5023</v>
      </c>
      <c r="G243" t="s">
        <v>74</v>
      </c>
      <c r="H243" t="s">
        <v>74</v>
      </c>
      <c r="I243" t="s">
        <v>5024</v>
      </c>
      <c r="J243" t="s">
        <v>77</v>
      </c>
      <c r="K243" t="s">
        <v>74</v>
      </c>
      <c r="L243" t="s">
        <v>74</v>
      </c>
      <c r="M243" t="s">
        <v>78</v>
      </c>
      <c r="N243" t="s">
        <v>79</v>
      </c>
      <c r="O243" t="s">
        <v>74</v>
      </c>
      <c r="P243" t="s">
        <v>74</v>
      </c>
      <c r="Q243" t="s">
        <v>74</v>
      </c>
      <c r="R243" t="s">
        <v>74</v>
      </c>
      <c r="S243" t="s">
        <v>74</v>
      </c>
      <c r="T243" t="s">
        <v>74</v>
      </c>
      <c r="U243" t="s">
        <v>5025</v>
      </c>
      <c r="V243" t="s">
        <v>5026</v>
      </c>
      <c r="W243" t="s">
        <v>5027</v>
      </c>
      <c r="X243" t="s">
        <v>5028</v>
      </c>
      <c r="Y243" t="s">
        <v>5029</v>
      </c>
      <c r="Z243" t="s">
        <v>5030</v>
      </c>
      <c r="AA243" t="s">
        <v>5031</v>
      </c>
      <c r="AB243" t="s">
        <v>5032</v>
      </c>
      <c r="AC243" t="s">
        <v>5033</v>
      </c>
      <c r="AD243" t="s">
        <v>5034</v>
      </c>
      <c r="AE243" t="s">
        <v>5035</v>
      </c>
      <c r="AF243" t="s">
        <v>74</v>
      </c>
      <c r="AG243">
        <v>31</v>
      </c>
      <c r="AH243">
        <v>3</v>
      </c>
      <c r="AI243">
        <v>3</v>
      </c>
      <c r="AJ243">
        <v>3</v>
      </c>
      <c r="AK243">
        <v>3</v>
      </c>
      <c r="AL243" t="s">
        <v>90</v>
      </c>
      <c r="AM243" t="s">
        <v>91</v>
      </c>
      <c r="AN243" t="s">
        <v>92</v>
      </c>
      <c r="AO243" t="s">
        <v>93</v>
      </c>
      <c r="AP243" t="s">
        <v>94</v>
      </c>
      <c r="AQ243" t="s">
        <v>74</v>
      </c>
      <c r="AR243" t="s">
        <v>95</v>
      </c>
      <c r="AS243" t="s">
        <v>96</v>
      </c>
      <c r="AT243" t="s">
        <v>4689</v>
      </c>
      <c r="AU243">
        <v>2023</v>
      </c>
      <c r="AV243">
        <v>104</v>
      </c>
      <c r="AW243">
        <v>8</v>
      </c>
      <c r="AX243" t="s">
        <v>74</v>
      </c>
      <c r="AY243" t="s">
        <v>74</v>
      </c>
      <c r="AZ243" t="s">
        <v>74</v>
      </c>
      <c r="BA243" t="s">
        <v>74</v>
      </c>
      <c r="BB243" t="s">
        <v>5036</v>
      </c>
      <c r="BC243" t="s">
        <v>5037</v>
      </c>
      <c r="BD243" t="s">
        <v>74</v>
      </c>
      <c r="BE243" t="s">
        <v>5038</v>
      </c>
      <c r="BF243" t="str">
        <f>HYPERLINK("http://dx.doi.org/10.1175/BAMS-D-23-0119.1","http://dx.doi.org/10.1175/BAMS-D-23-0119.1")</f>
        <v>http://dx.doi.org/10.1175/BAMS-D-23-0119.1</v>
      </c>
      <c r="BG243" t="s">
        <v>74</v>
      </c>
      <c r="BH243" t="s">
        <v>74</v>
      </c>
      <c r="BI243">
        <v>7</v>
      </c>
      <c r="BJ243" t="s">
        <v>103</v>
      </c>
      <c r="BK243" t="s">
        <v>104</v>
      </c>
      <c r="BL243" t="s">
        <v>103</v>
      </c>
      <c r="BM243" t="s">
        <v>5039</v>
      </c>
      <c r="BN243" t="s">
        <v>74</v>
      </c>
      <c r="BO243" t="s">
        <v>1128</v>
      </c>
      <c r="BP243" t="s">
        <v>74</v>
      </c>
      <c r="BQ243" t="s">
        <v>74</v>
      </c>
      <c r="BR243" t="s">
        <v>107</v>
      </c>
      <c r="BS243" t="s">
        <v>5040</v>
      </c>
      <c r="BT243" t="str">
        <f>HYPERLINK("https%3A%2F%2Fwww.webofscience.com%2Fwos%2Fwoscc%2Ffull-record%2FWOS:001064529400001","View Full Record in Web of Science")</f>
        <v>View Full Record in Web of Science</v>
      </c>
    </row>
    <row r="244" spans="1:72" x14ac:dyDescent="0.15">
      <c r="A244" t="s">
        <v>72</v>
      </c>
      <c r="B244" t="s">
        <v>5041</v>
      </c>
      <c r="C244" t="s">
        <v>74</v>
      </c>
      <c r="D244" t="s">
        <v>74</v>
      </c>
      <c r="E244" t="s">
        <v>74</v>
      </c>
      <c r="F244" t="s">
        <v>5042</v>
      </c>
      <c r="G244" t="s">
        <v>74</v>
      </c>
      <c r="H244" t="s">
        <v>74</v>
      </c>
      <c r="I244" t="s">
        <v>5043</v>
      </c>
      <c r="J244" t="s">
        <v>5044</v>
      </c>
      <c r="K244" t="s">
        <v>74</v>
      </c>
      <c r="L244" t="s">
        <v>74</v>
      </c>
      <c r="M244" t="s">
        <v>78</v>
      </c>
      <c r="N244" t="s">
        <v>79</v>
      </c>
      <c r="O244" t="s">
        <v>74</v>
      </c>
      <c r="P244" t="s">
        <v>74</v>
      </c>
      <c r="Q244" t="s">
        <v>74</v>
      </c>
      <c r="R244" t="s">
        <v>74</v>
      </c>
      <c r="S244" t="s">
        <v>74</v>
      </c>
      <c r="T244" t="s">
        <v>5045</v>
      </c>
      <c r="U244" t="s">
        <v>5046</v>
      </c>
      <c r="V244" t="s">
        <v>5047</v>
      </c>
      <c r="W244" t="s">
        <v>5048</v>
      </c>
      <c r="X244" t="s">
        <v>5049</v>
      </c>
      <c r="Y244" t="s">
        <v>5050</v>
      </c>
      <c r="Z244" t="s">
        <v>5051</v>
      </c>
      <c r="AA244" t="s">
        <v>5052</v>
      </c>
      <c r="AB244" t="s">
        <v>5053</v>
      </c>
      <c r="AC244" t="s">
        <v>5054</v>
      </c>
      <c r="AD244" t="s">
        <v>2603</v>
      </c>
      <c r="AE244" t="s">
        <v>5055</v>
      </c>
      <c r="AF244" t="s">
        <v>74</v>
      </c>
      <c r="AG244">
        <v>45</v>
      </c>
      <c r="AH244">
        <v>0</v>
      </c>
      <c r="AI244">
        <v>0</v>
      </c>
      <c r="AJ244">
        <v>2</v>
      </c>
      <c r="AK244">
        <v>2</v>
      </c>
      <c r="AL244" t="s">
        <v>4830</v>
      </c>
      <c r="AM244" t="s">
        <v>299</v>
      </c>
      <c r="AN244" t="s">
        <v>4831</v>
      </c>
      <c r="AO244" t="s">
        <v>5056</v>
      </c>
      <c r="AP244" t="s">
        <v>5057</v>
      </c>
      <c r="AQ244" t="s">
        <v>74</v>
      </c>
      <c r="AR244" t="s">
        <v>5058</v>
      </c>
      <c r="AS244" t="s">
        <v>5059</v>
      </c>
      <c r="AT244" t="s">
        <v>4689</v>
      </c>
      <c r="AU244">
        <v>2023</v>
      </c>
      <c r="AV244">
        <v>63</v>
      </c>
      <c r="AW244">
        <v>4</v>
      </c>
      <c r="AX244" t="s">
        <v>74</v>
      </c>
      <c r="AY244" t="s">
        <v>74</v>
      </c>
      <c r="AZ244" t="s">
        <v>99</v>
      </c>
      <c r="BA244" t="s">
        <v>74</v>
      </c>
      <c r="BB244">
        <v>440</v>
      </c>
      <c r="BC244">
        <v>452</v>
      </c>
      <c r="BD244" t="s">
        <v>74</v>
      </c>
      <c r="BE244" t="s">
        <v>5060</v>
      </c>
      <c r="BF244" t="str">
        <f>HYPERLINK("http://dx.doi.org/10.1134/S000143702304015X","http://dx.doi.org/10.1134/S000143702304015X")</f>
        <v>http://dx.doi.org/10.1134/S000143702304015X</v>
      </c>
      <c r="BG244" t="s">
        <v>74</v>
      </c>
      <c r="BH244" t="s">
        <v>74</v>
      </c>
      <c r="BI244">
        <v>13</v>
      </c>
      <c r="BJ244" t="s">
        <v>306</v>
      </c>
      <c r="BK244" t="s">
        <v>104</v>
      </c>
      <c r="BL244" t="s">
        <v>306</v>
      </c>
      <c r="BM244" t="s">
        <v>5061</v>
      </c>
      <c r="BN244" t="s">
        <v>74</v>
      </c>
      <c r="BO244" t="s">
        <v>74</v>
      </c>
      <c r="BP244" t="s">
        <v>74</v>
      </c>
      <c r="BQ244" t="s">
        <v>74</v>
      </c>
      <c r="BR244" t="s">
        <v>107</v>
      </c>
      <c r="BS244" t="s">
        <v>5062</v>
      </c>
      <c r="BT244" t="str">
        <f>HYPERLINK("https%3A%2F%2Fwww.webofscience.com%2Fwos%2Fwoscc%2Ffull-record%2FWOS:001059620000002","View Full Record in Web of Science")</f>
        <v>View Full Record in Web of Science</v>
      </c>
    </row>
    <row r="245" spans="1:72" x14ac:dyDescent="0.15">
      <c r="A245" t="s">
        <v>72</v>
      </c>
      <c r="B245" t="s">
        <v>5063</v>
      </c>
      <c r="C245" t="s">
        <v>74</v>
      </c>
      <c r="D245" t="s">
        <v>74</v>
      </c>
      <c r="E245" t="s">
        <v>74</v>
      </c>
      <c r="F245" t="s">
        <v>5064</v>
      </c>
      <c r="G245" t="s">
        <v>74</v>
      </c>
      <c r="H245" t="s">
        <v>74</v>
      </c>
      <c r="I245" t="s">
        <v>5065</v>
      </c>
      <c r="J245" t="s">
        <v>5044</v>
      </c>
      <c r="K245" t="s">
        <v>74</v>
      </c>
      <c r="L245" t="s">
        <v>74</v>
      </c>
      <c r="M245" t="s">
        <v>78</v>
      </c>
      <c r="N245" t="s">
        <v>79</v>
      </c>
      <c r="O245" t="s">
        <v>74</v>
      </c>
      <c r="P245" t="s">
        <v>74</v>
      </c>
      <c r="Q245" t="s">
        <v>74</v>
      </c>
      <c r="R245" t="s">
        <v>74</v>
      </c>
      <c r="S245" t="s">
        <v>74</v>
      </c>
      <c r="T245" t="s">
        <v>5066</v>
      </c>
      <c r="U245" t="s">
        <v>5067</v>
      </c>
      <c r="V245" t="s">
        <v>5068</v>
      </c>
      <c r="W245" t="s">
        <v>5069</v>
      </c>
      <c r="X245" t="s">
        <v>5070</v>
      </c>
      <c r="Y245" t="s">
        <v>5071</v>
      </c>
      <c r="Z245" t="s">
        <v>5072</v>
      </c>
      <c r="AA245" t="s">
        <v>5052</v>
      </c>
      <c r="AB245" t="s">
        <v>5053</v>
      </c>
      <c r="AC245" t="s">
        <v>5054</v>
      </c>
      <c r="AD245" t="s">
        <v>2603</v>
      </c>
      <c r="AE245" t="s">
        <v>5073</v>
      </c>
      <c r="AF245" t="s">
        <v>74</v>
      </c>
      <c r="AG245">
        <v>30</v>
      </c>
      <c r="AH245">
        <v>0</v>
      </c>
      <c r="AI245">
        <v>0</v>
      </c>
      <c r="AJ245">
        <v>1</v>
      </c>
      <c r="AK245">
        <v>1</v>
      </c>
      <c r="AL245" t="s">
        <v>4830</v>
      </c>
      <c r="AM245" t="s">
        <v>299</v>
      </c>
      <c r="AN245" t="s">
        <v>4831</v>
      </c>
      <c r="AO245" t="s">
        <v>5056</v>
      </c>
      <c r="AP245" t="s">
        <v>5057</v>
      </c>
      <c r="AQ245" t="s">
        <v>74</v>
      </c>
      <c r="AR245" t="s">
        <v>5058</v>
      </c>
      <c r="AS245" t="s">
        <v>5059</v>
      </c>
      <c r="AT245" t="s">
        <v>4689</v>
      </c>
      <c r="AU245">
        <v>2023</v>
      </c>
      <c r="AV245">
        <v>63</v>
      </c>
      <c r="AW245">
        <v>4</v>
      </c>
      <c r="AX245" t="s">
        <v>74</v>
      </c>
      <c r="AY245" t="s">
        <v>74</v>
      </c>
      <c r="AZ245" t="s">
        <v>99</v>
      </c>
      <c r="BA245" t="s">
        <v>74</v>
      </c>
      <c r="BB245">
        <v>453</v>
      </c>
      <c r="BC245">
        <v>463</v>
      </c>
      <c r="BD245" t="s">
        <v>74</v>
      </c>
      <c r="BE245" t="s">
        <v>5074</v>
      </c>
      <c r="BF245" t="str">
        <f>HYPERLINK("http://dx.doi.org/10.1134/S0001437023040173","http://dx.doi.org/10.1134/S0001437023040173")</f>
        <v>http://dx.doi.org/10.1134/S0001437023040173</v>
      </c>
      <c r="BG245" t="s">
        <v>74</v>
      </c>
      <c r="BH245" t="s">
        <v>74</v>
      </c>
      <c r="BI245">
        <v>11</v>
      </c>
      <c r="BJ245" t="s">
        <v>306</v>
      </c>
      <c r="BK245" t="s">
        <v>104</v>
      </c>
      <c r="BL245" t="s">
        <v>306</v>
      </c>
      <c r="BM245" t="s">
        <v>5061</v>
      </c>
      <c r="BN245" t="s">
        <v>74</v>
      </c>
      <c r="BO245" t="s">
        <v>74</v>
      </c>
      <c r="BP245" t="s">
        <v>74</v>
      </c>
      <c r="BQ245" t="s">
        <v>74</v>
      </c>
      <c r="BR245" t="s">
        <v>107</v>
      </c>
      <c r="BS245" t="s">
        <v>5075</v>
      </c>
      <c r="BT245" t="str">
        <f>HYPERLINK("https%3A%2F%2Fwww.webofscience.com%2Fwos%2Fwoscc%2Ffull-record%2FWOS:001059620000003","View Full Record in Web of Science")</f>
        <v>View Full Record in Web of Science</v>
      </c>
    </row>
    <row r="246" spans="1:72" x14ac:dyDescent="0.15">
      <c r="A246" t="s">
        <v>72</v>
      </c>
      <c r="B246" t="s">
        <v>5076</v>
      </c>
      <c r="C246" t="s">
        <v>74</v>
      </c>
      <c r="D246" t="s">
        <v>74</v>
      </c>
      <c r="E246" t="s">
        <v>74</v>
      </c>
      <c r="F246" t="s">
        <v>5077</v>
      </c>
      <c r="G246" t="s">
        <v>74</v>
      </c>
      <c r="H246" t="s">
        <v>74</v>
      </c>
      <c r="I246" t="s">
        <v>5078</v>
      </c>
      <c r="J246" t="s">
        <v>5044</v>
      </c>
      <c r="K246" t="s">
        <v>74</v>
      </c>
      <c r="L246" t="s">
        <v>74</v>
      </c>
      <c r="M246" t="s">
        <v>78</v>
      </c>
      <c r="N246" t="s">
        <v>79</v>
      </c>
      <c r="O246" t="s">
        <v>74</v>
      </c>
      <c r="P246" t="s">
        <v>74</v>
      </c>
      <c r="Q246" t="s">
        <v>74</v>
      </c>
      <c r="R246" t="s">
        <v>74</v>
      </c>
      <c r="S246" t="s">
        <v>74</v>
      </c>
      <c r="T246" t="s">
        <v>5079</v>
      </c>
      <c r="U246" t="s">
        <v>5080</v>
      </c>
      <c r="V246" t="s">
        <v>5081</v>
      </c>
      <c r="W246" t="s">
        <v>5082</v>
      </c>
      <c r="X246" t="s">
        <v>5083</v>
      </c>
      <c r="Y246" t="s">
        <v>5084</v>
      </c>
      <c r="Z246" t="s">
        <v>5085</v>
      </c>
      <c r="AA246" t="s">
        <v>74</v>
      </c>
      <c r="AB246" t="s">
        <v>74</v>
      </c>
      <c r="AC246" t="s">
        <v>5086</v>
      </c>
      <c r="AD246" t="s">
        <v>5087</v>
      </c>
      <c r="AE246" t="s">
        <v>5088</v>
      </c>
      <c r="AF246" t="s">
        <v>74</v>
      </c>
      <c r="AG246">
        <v>34</v>
      </c>
      <c r="AH246">
        <v>0</v>
      </c>
      <c r="AI246">
        <v>0</v>
      </c>
      <c r="AJ246">
        <v>1</v>
      </c>
      <c r="AK246">
        <v>1</v>
      </c>
      <c r="AL246" t="s">
        <v>4830</v>
      </c>
      <c r="AM246" t="s">
        <v>299</v>
      </c>
      <c r="AN246" t="s">
        <v>4831</v>
      </c>
      <c r="AO246" t="s">
        <v>5056</v>
      </c>
      <c r="AP246" t="s">
        <v>5057</v>
      </c>
      <c r="AQ246" t="s">
        <v>74</v>
      </c>
      <c r="AR246" t="s">
        <v>5058</v>
      </c>
      <c r="AS246" t="s">
        <v>5059</v>
      </c>
      <c r="AT246" t="s">
        <v>4689</v>
      </c>
      <c r="AU246">
        <v>2023</v>
      </c>
      <c r="AV246">
        <v>63</v>
      </c>
      <c r="AW246">
        <v>4</v>
      </c>
      <c r="AX246" t="s">
        <v>74</v>
      </c>
      <c r="AY246" t="s">
        <v>74</v>
      </c>
      <c r="AZ246" t="s">
        <v>99</v>
      </c>
      <c r="BA246" t="s">
        <v>74</v>
      </c>
      <c r="BB246">
        <v>472</v>
      </c>
      <c r="BC246">
        <v>485</v>
      </c>
      <c r="BD246" t="s">
        <v>74</v>
      </c>
      <c r="BE246" t="s">
        <v>5089</v>
      </c>
      <c r="BF246" t="str">
        <f>HYPERLINK("http://dx.doi.org/10.1134/S0001437023040136","http://dx.doi.org/10.1134/S0001437023040136")</f>
        <v>http://dx.doi.org/10.1134/S0001437023040136</v>
      </c>
      <c r="BG246" t="s">
        <v>74</v>
      </c>
      <c r="BH246" t="s">
        <v>74</v>
      </c>
      <c r="BI246">
        <v>14</v>
      </c>
      <c r="BJ246" t="s">
        <v>306</v>
      </c>
      <c r="BK246" t="s">
        <v>104</v>
      </c>
      <c r="BL246" t="s">
        <v>306</v>
      </c>
      <c r="BM246" t="s">
        <v>5061</v>
      </c>
      <c r="BN246" t="s">
        <v>74</v>
      </c>
      <c r="BO246" t="s">
        <v>74</v>
      </c>
      <c r="BP246" t="s">
        <v>74</v>
      </c>
      <c r="BQ246" t="s">
        <v>74</v>
      </c>
      <c r="BR246" t="s">
        <v>107</v>
      </c>
      <c r="BS246" t="s">
        <v>5090</v>
      </c>
      <c r="BT246" t="str">
        <f>HYPERLINK("https%3A%2F%2Fwww.webofscience.com%2Fwos%2Fwoscc%2Ffull-record%2FWOS:001059620000005","View Full Record in Web of Science")</f>
        <v>View Full Record in Web of Science</v>
      </c>
    </row>
    <row r="247" spans="1:72" x14ac:dyDescent="0.15">
      <c r="A247" t="s">
        <v>72</v>
      </c>
      <c r="B247" t="s">
        <v>5091</v>
      </c>
      <c r="C247" t="s">
        <v>74</v>
      </c>
      <c r="D247" t="s">
        <v>74</v>
      </c>
      <c r="E247" t="s">
        <v>74</v>
      </c>
      <c r="F247" t="s">
        <v>5092</v>
      </c>
      <c r="G247" t="s">
        <v>74</v>
      </c>
      <c r="H247" t="s">
        <v>74</v>
      </c>
      <c r="I247" t="s">
        <v>5093</v>
      </c>
      <c r="J247" t="s">
        <v>5044</v>
      </c>
      <c r="K247" t="s">
        <v>74</v>
      </c>
      <c r="L247" t="s">
        <v>74</v>
      </c>
      <c r="M247" t="s">
        <v>78</v>
      </c>
      <c r="N247" t="s">
        <v>79</v>
      </c>
      <c r="O247" t="s">
        <v>74</v>
      </c>
      <c r="P247" t="s">
        <v>74</v>
      </c>
      <c r="Q247" t="s">
        <v>74</v>
      </c>
      <c r="R247" t="s">
        <v>74</v>
      </c>
      <c r="S247" t="s">
        <v>74</v>
      </c>
      <c r="T247" t="s">
        <v>5094</v>
      </c>
      <c r="U247" t="s">
        <v>5095</v>
      </c>
      <c r="V247" t="s">
        <v>5096</v>
      </c>
      <c r="W247" t="s">
        <v>5097</v>
      </c>
      <c r="X247" t="s">
        <v>5098</v>
      </c>
      <c r="Y247" t="s">
        <v>5099</v>
      </c>
      <c r="Z247" t="s">
        <v>5100</v>
      </c>
      <c r="AA247" t="s">
        <v>74</v>
      </c>
      <c r="AB247" t="s">
        <v>5101</v>
      </c>
      <c r="AC247" t="s">
        <v>5102</v>
      </c>
      <c r="AD247" t="s">
        <v>2603</v>
      </c>
      <c r="AE247" t="s">
        <v>5103</v>
      </c>
      <c r="AF247" t="s">
        <v>74</v>
      </c>
      <c r="AG247">
        <v>35</v>
      </c>
      <c r="AH247">
        <v>0</v>
      </c>
      <c r="AI247">
        <v>0</v>
      </c>
      <c r="AJ247">
        <v>1</v>
      </c>
      <c r="AK247">
        <v>2</v>
      </c>
      <c r="AL247" t="s">
        <v>4830</v>
      </c>
      <c r="AM247" t="s">
        <v>299</v>
      </c>
      <c r="AN247" t="s">
        <v>4831</v>
      </c>
      <c r="AO247" t="s">
        <v>5056</v>
      </c>
      <c r="AP247" t="s">
        <v>5057</v>
      </c>
      <c r="AQ247" t="s">
        <v>74</v>
      </c>
      <c r="AR247" t="s">
        <v>5058</v>
      </c>
      <c r="AS247" t="s">
        <v>5059</v>
      </c>
      <c r="AT247" t="s">
        <v>4689</v>
      </c>
      <c r="AU247">
        <v>2023</v>
      </c>
      <c r="AV247">
        <v>63</v>
      </c>
      <c r="AW247">
        <v>4</v>
      </c>
      <c r="AX247" t="s">
        <v>74</v>
      </c>
      <c r="AY247" t="s">
        <v>74</v>
      </c>
      <c r="AZ247" t="s">
        <v>99</v>
      </c>
      <c r="BA247" t="s">
        <v>74</v>
      </c>
      <c r="BB247">
        <v>497</v>
      </c>
      <c r="BC247">
        <v>509</v>
      </c>
      <c r="BD247" t="s">
        <v>74</v>
      </c>
      <c r="BE247" t="s">
        <v>5104</v>
      </c>
      <c r="BF247" t="str">
        <f>HYPERLINK("http://dx.doi.org/10.1134/S0001437023040094","http://dx.doi.org/10.1134/S0001437023040094")</f>
        <v>http://dx.doi.org/10.1134/S0001437023040094</v>
      </c>
      <c r="BG247" t="s">
        <v>74</v>
      </c>
      <c r="BH247" t="s">
        <v>74</v>
      </c>
      <c r="BI247">
        <v>13</v>
      </c>
      <c r="BJ247" t="s">
        <v>306</v>
      </c>
      <c r="BK247" t="s">
        <v>104</v>
      </c>
      <c r="BL247" t="s">
        <v>306</v>
      </c>
      <c r="BM247" t="s">
        <v>5061</v>
      </c>
      <c r="BN247" t="s">
        <v>74</v>
      </c>
      <c r="BO247" t="s">
        <v>74</v>
      </c>
      <c r="BP247" t="s">
        <v>74</v>
      </c>
      <c r="BQ247" t="s">
        <v>74</v>
      </c>
      <c r="BR247" t="s">
        <v>107</v>
      </c>
      <c r="BS247" t="s">
        <v>5105</v>
      </c>
      <c r="BT247" t="str">
        <f>HYPERLINK("https%3A%2F%2Fwww.webofscience.com%2Fwos%2Fwoscc%2Ffull-record%2FWOS:001059620000007","View Full Record in Web of Science")</f>
        <v>View Full Record in Web of Science</v>
      </c>
    </row>
    <row r="248" spans="1:72" x14ac:dyDescent="0.15">
      <c r="A248" t="s">
        <v>72</v>
      </c>
      <c r="B248" t="s">
        <v>5106</v>
      </c>
      <c r="C248" t="s">
        <v>74</v>
      </c>
      <c r="D248" t="s">
        <v>74</v>
      </c>
      <c r="E248" t="s">
        <v>74</v>
      </c>
      <c r="F248" t="s">
        <v>5107</v>
      </c>
      <c r="G248" t="s">
        <v>74</v>
      </c>
      <c r="H248" t="s">
        <v>74</v>
      </c>
      <c r="I248" t="s">
        <v>5108</v>
      </c>
      <c r="J248" t="s">
        <v>5044</v>
      </c>
      <c r="K248" t="s">
        <v>74</v>
      </c>
      <c r="L248" t="s">
        <v>74</v>
      </c>
      <c r="M248" t="s">
        <v>78</v>
      </c>
      <c r="N248" t="s">
        <v>79</v>
      </c>
      <c r="O248" t="s">
        <v>74</v>
      </c>
      <c r="P248" t="s">
        <v>74</v>
      </c>
      <c r="Q248" t="s">
        <v>74</v>
      </c>
      <c r="R248" t="s">
        <v>74</v>
      </c>
      <c r="S248" t="s">
        <v>74</v>
      </c>
      <c r="T248" t="s">
        <v>5109</v>
      </c>
      <c r="U248" t="s">
        <v>5110</v>
      </c>
      <c r="V248" t="s">
        <v>5111</v>
      </c>
      <c r="W248" t="s">
        <v>5112</v>
      </c>
      <c r="X248" t="s">
        <v>5113</v>
      </c>
      <c r="Y248" t="s">
        <v>5114</v>
      </c>
      <c r="Z248" t="s">
        <v>5115</v>
      </c>
      <c r="AA248" t="s">
        <v>5116</v>
      </c>
      <c r="AB248" t="s">
        <v>5117</v>
      </c>
      <c r="AC248" t="s">
        <v>5102</v>
      </c>
      <c r="AD248" t="s">
        <v>2603</v>
      </c>
      <c r="AE248" t="s">
        <v>5118</v>
      </c>
      <c r="AF248" t="s">
        <v>74</v>
      </c>
      <c r="AG248">
        <v>35</v>
      </c>
      <c r="AH248">
        <v>0</v>
      </c>
      <c r="AI248">
        <v>0</v>
      </c>
      <c r="AJ248">
        <v>0</v>
      </c>
      <c r="AK248">
        <v>0</v>
      </c>
      <c r="AL248" t="s">
        <v>4830</v>
      </c>
      <c r="AM248" t="s">
        <v>299</v>
      </c>
      <c r="AN248" t="s">
        <v>4831</v>
      </c>
      <c r="AO248" t="s">
        <v>5056</v>
      </c>
      <c r="AP248" t="s">
        <v>5057</v>
      </c>
      <c r="AQ248" t="s">
        <v>74</v>
      </c>
      <c r="AR248" t="s">
        <v>5058</v>
      </c>
      <c r="AS248" t="s">
        <v>5059</v>
      </c>
      <c r="AT248" t="s">
        <v>4689</v>
      </c>
      <c r="AU248">
        <v>2023</v>
      </c>
      <c r="AV248">
        <v>63</v>
      </c>
      <c r="AW248">
        <v>4</v>
      </c>
      <c r="AX248" t="s">
        <v>74</v>
      </c>
      <c r="AY248" t="s">
        <v>74</v>
      </c>
      <c r="AZ248" t="s">
        <v>99</v>
      </c>
      <c r="BA248" t="s">
        <v>74</v>
      </c>
      <c r="BB248">
        <v>510</v>
      </c>
      <c r="BC248">
        <v>522</v>
      </c>
      <c r="BD248" t="s">
        <v>74</v>
      </c>
      <c r="BE248" t="s">
        <v>5119</v>
      </c>
      <c r="BF248" t="str">
        <f>HYPERLINK("http://dx.doi.org/10.1134/S0001437023040161","http://dx.doi.org/10.1134/S0001437023040161")</f>
        <v>http://dx.doi.org/10.1134/S0001437023040161</v>
      </c>
      <c r="BG248" t="s">
        <v>74</v>
      </c>
      <c r="BH248" t="s">
        <v>74</v>
      </c>
      <c r="BI248">
        <v>13</v>
      </c>
      <c r="BJ248" t="s">
        <v>306</v>
      </c>
      <c r="BK248" t="s">
        <v>104</v>
      </c>
      <c r="BL248" t="s">
        <v>306</v>
      </c>
      <c r="BM248" t="s">
        <v>5061</v>
      </c>
      <c r="BN248" t="s">
        <v>74</v>
      </c>
      <c r="BO248" t="s">
        <v>74</v>
      </c>
      <c r="BP248" t="s">
        <v>74</v>
      </c>
      <c r="BQ248" t="s">
        <v>74</v>
      </c>
      <c r="BR248" t="s">
        <v>107</v>
      </c>
      <c r="BS248" t="s">
        <v>5120</v>
      </c>
      <c r="BT248" t="str">
        <f>HYPERLINK("https%3A%2F%2Fwww.webofscience.com%2Fwos%2Fwoscc%2Ffull-record%2FWOS:001059620000008","View Full Record in Web of Science")</f>
        <v>View Full Record in Web of Science</v>
      </c>
    </row>
    <row r="249" spans="1:72" x14ac:dyDescent="0.15">
      <c r="A249" t="s">
        <v>72</v>
      </c>
      <c r="B249" t="s">
        <v>5121</v>
      </c>
      <c r="C249" t="s">
        <v>74</v>
      </c>
      <c r="D249" t="s">
        <v>74</v>
      </c>
      <c r="E249" t="s">
        <v>74</v>
      </c>
      <c r="F249" t="s">
        <v>5122</v>
      </c>
      <c r="G249" t="s">
        <v>74</v>
      </c>
      <c r="H249" t="s">
        <v>74</v>
      </c>
      <c r="I249" t="s">
        <v>5123</v>
      </c>
      <c r="J249" t="s">
        <v>5044</v>
      </c>
      <c r="K249" t="s">
        <v>74</v>
      </c>
      <c r="L249" t="s">
        <v>74</v>
      </c>
      <c r="M249" t="s">
        <v>78</v>
      </c>
      <c r="N249" t="s">
        <v>79</v>
      </c>
      <c r="O249" t="s">
        <v>74</v>
      </c>
      <c r="P249" t="s">
        <v>74</v>
      </c>
      <c r="Q249" t="s">
        <v>74</v>
      </c>
      <c r="R249" t="s">
        <v>74</v>
      </c>
      <c r="S249" t="s">
        <v>74</v>
      </c>
      <c r="T249" t="s">
        <v>5124</v>
      </c>
      <c r="U249" t="s">
        <v>74</v>
      </c>
      <c r="V249" t="s">
        <v>5125</v>
      </c>
      <c r="W249" t="s">
        <v>5126</v>
      </c>
      <c r="X249" t="s">
        <v>5127</v>
      </c>
      <c r="Y249" t="s">
        <v>5128</v>
      </c>
      <c r="Z249" t="s">
        <v>5129</v>
      </c>
      <c r="AA249" t="s">
        <v>5130</v>
      </c>
      <c r="AB249" t="s">
        <v>74</v>
      </c>
      <c r="AC249" t="s">
        <v>5131</v>
      </c>
      <c r="AD249" t="s">
        <v>2603</v>
      </c>
      <c r="AE249" t="s">
        <v>5132</v>
      </c>
      <c r="AF249" t="s">
        <v>74</v>
      </c>
      <c r="AG249">
        <v>27</v>
      </c>
      <c r="AH249">
        <v>0</v>
      </c>
      <c r="AI249">
        <v>0</v>
      </c>
      <c r="AJ249">
        <v>0</v>
      </c>
      <c r="AK249">
        <v>0</v>
      </c>
      <c r="AL249" t="s">
        <v>4830</v>
      </c>
      <c r="AM249" t="s">
        <v>299</v>
      </c>
      <c r="AN249" t="s">
        <v>4831</v>
      </c>
      <c r="AO249" t="s">
        <v>5056</v>
      </c>
      <c r="AP249" t="s">
        <v>5057</v>
      </c>
      <c r="AQ249" t="s">
        <v>74</v>
      </c>
      <c r="AR249" t="s">
        <v>5058</v>
      </c>
      <c r="AS249" t="s">
        <v>5059</v>
      </c>
      <c r="AT249" t="s">
        <v>4689</v>
      </c>
      <c r="AU249">
        <v>2023</v>
      </c>
      <c r="AV249">
        <v>63</v>
      </c>
      <c r="AW249">
        <v>4</v>
      </c>
      <c r="AX249" t="s">
        <v>74</v>
      </c>
      <c r="AY249" t="s">
        <v>74</v>
      </c>
      <c r="AZ249" t="s">
        <v>99</v>
      </c>
      <c r="BA249" t="s">
        <v>74</v>
      </c>
      <c r="BB249">
        <v>545</v>
      </c>
      <c r="BC249">
        <v>549</v>
      </c>
      <c r="BD249" t="s">
        <v>74</v>
      </c>
      <c r="BE249" t="s">
        <v>5133</v>
      </c>
      <c r="BF249" t="str">
        <f>HYPERLINK("http://dx.doi.org/10.1134/S0001437023040082","http://dx.doi.org/10.1134/S0001437023040082")</f>
        <v>http://dx.doi.org/10.1134/S0001437023040082</v>
      </c>
      <c r="BG249" t="s">
        <v>74</v>
      </c>
      <c r="BH249" t="s">
        <v>74</v>
      </c>
      <c r="BI249">
        <v>5</v>
      </c>
      <c r="BJ249" t="s">
        <v>306</v>
      </c>
      <c r="BK249" t="s">
        <v>104</v>
      </c>
      <c r="BL249" t="s">
        <v>306</v>
      </c>
      <c r="BM249" t="s">
        <v>5061</v>
      </c>
      <c r="BN249" t="s">
        <v>74</v>
      </c>
      <c r="BO249" t="s">
        <v>74</v>
      </c>
      <c r="BP249" t="s">
        <v>74</v>
      </c>
      <c r="BQ249" t="s">
        <v>74</v>
      </c>
      <c r="BR249" t="s">
        <v>107</v>
      </c>
      <c r="BS249" t="s">
        <v>5134</v>
      </c>
      <c r="BT249" t="str">
        <f>HYPERLINK("https%3A%2F%2Fwww.webofscience.com%2Fwos%2Fwoscc%2Ffull-record%2FWOS:001059620000011","View Full Record in Web of Science")</f>
        <v>View Full Record in Web of Science</v>
      </c>
    </row>
    <row r="250" spans="1:72" x14ac:dyDescent="0.15">
      <c r="A250" t="s">
        <v>72</v>
      </c>
      <c r="B250" t="s">
        <v>5135</v>
      </c>
      <c r="C250" t="s">
        <v>74</v>
      </c>
      <c r="D250" t="s">
        <v>74</v>
      </c>
      <c r="E250" t="s">
        <v>74</v>
      </c>
      <c r="F250" t="s">
        <v>5136</v>
      </c>
      <c r="G250" t="s">
        <v>74</v>
      </c>
      <c r="H250" t="s">
        <v>74</v>
      </c>
      <c r="I250" t="s">
        <v>5137</v>
      </c>
      <c r="J250" t="s">
        <v>5044</v>
      </c>
      <c r="K250" t="s">
        <v>74</v>
      </c>
      <c r="L250" t="s">
        <v>74</v>
      </c>
      <c r="M250" t="s">
        <v>78</v>
      </c>
      <c r="N250" t="s">
        <v>79</v>
      </c>
      <c r="O250" t="s">
        <v>74</v>
      </c>
      <c r="P250" t="s">
        <v>74</v>
      </c>
      <c r="Q250" t="s">
        <v>74</v>
      </c>
      <c r="R250" t="s">
        <v>74</v>
      </c>
      <c r="S250" t="s">
        <v>74</v>
      </c>
      <c r="T250" t="s">
        <v>5138</v>
      </c>
      <c r="U250" t="s">
        <v>5139</v>
      </c>
      <c r="V250" t="s">
        <v>5140</v>
      </c>
      <c r="W250" t="s">
        <v>5141</v>
      </c>
      <c r="X250" t="s">
        <v>5142</v>
      </c>
      <c r="Y250" t="s">
        <v>5143</v>
      </c>
      <c r="Z250" t="s">
        <v>5144</v>
      </c>
      <c r="AA250" t="s">
        <v>5145</v>
      </c>
      <c r="AB250" t="s">
        <v>74</v>
      </c>
      <c r="AC250" t="s">
        <v>74</v>
      </c>
      <c r="AD250" t="s">
        <v>74</v>
      </c>
      <c r="AE250" t="s">
        <v>74</v>
      </c>
      <c r="AF250" t="s">
        <v>74</v>
      </c>
      <c r="AG250">
        <v>54</v>
      </c>
      <c r="AH250">
        <v>0</v>
      </c>
      <c r="AI250">
        <v>0</v>
      </c>
      <c r="AJ250">
        <v>1</v>
      </c>
      <c r="AK250">
        <v>1</v>
      </c>
      <c r="AL250" t="s">
        <v>4830</v>
      </c>
      <c r="AM250" t="s">
        <v>299</v>
      </c>
      <c r="AN250" t="s">
        <v>4831</v>
      </c>
      <c r="AO250" t="s">
        <v>5056</v>
      </c>
      <c r="AP250" t="s">
        <v>5057</v>
      </c>
      <c r="AQ250" t="s">
        <v>74</v>
      </c>
      <c r="AR250" t="s">
        <v>5058</v>
      </c>
      <c r="AS250" t="s">
        <v>5059</v>
      </c>
      <c r="AT250" t="s">
        <v>4689</v>
      </c>
      <c r="AU250">
        <v>2023</v>
      </c>
      <c r="AV250">
        <v>63</v>
      </c>
      <c r="AW250">
        <v>4</v>
      </c>
      <c r="AX250" t="s">
        <v>74</v>
      </c>
      <c r="AY250" t="s">
        <v>74</v>
      </c>
      <c r="AZ250" t="s">
        <v>99</v>
      </c>
      <c r="BA250" t="s">
        <v>74</v>
      </c>
      <c r="BB250">
        <v>550</v>
      </c>
      <c r="BC250">
        <v>558</v>
      </c>
      <c r="BD250" t="s">
        <v>74</v>
      </c>
      <c r="BE250" t="s">
        <v>5146</v>
      </c>
      <c r="BF250" t="str">
        <f>HYPERLINK("http://dx.doi.org/10.1134/S0001437023040057","http://dx.doi.org/10.1134/S0001437023040057")</f>
        <v>http://dx.doi.org/10.1134/S0001437023040057</v>
      </c>
      <c r="BG250" t="s">
        <v>74</v>
      </c>
      <c r="BH250" t="s">
        <v>74</v>
      </c>
      <c r="BI250">
        <v>9</v>
      </c>
      <c r="BJ250" t="s">
        <v>306</v>
      </c>
      <c r="BK250" t="s">
        <v>104</v>
      </c>
      <c r="BL250" t="s">
        <v>306</v>
      </c>
      <c r="BM250" t="s">
        <v>5061</v>
      </c>
      <c r="BN250" t="s">
        <v>74</v>
      </c>
      <c r="BO250" t="s">
        <v>74</v>
      </c>
      <c r="BP250" t="s">
        <v>74</v>
      </c>
      <c r="BQ250" t="s">
        <v>74</v>
      </c>
      <c r="BR250" t="s">
        <v>107</v>
      </c>
      <c r="BS250" t="s">
        <v>5147</v>
      </c>
      <c r="BT250" t="str">
        <f>HYPERLINK("https%3A%2F%2Fwww.webofscience.com%2Fwos%2Fwoscc%2Ffull-record%2FWOS:001059620000012","View Full Record in Web of Science")</f>
        <v>View Full Record in Web of Science</v>
      </c>
    </row>
    <row r="251" spans="1:72" x14ac:dyDescent="0.15">
      <c r="A251" t="s">
        <v>72</v>
      </c>
      <c r="B251" t="s">
        <v>5148</v>
      </c>
      <c r="C251" t="s">
        <v>74</v>
      </c>
      <c r="D251" t="s">
        <v>74</v>
      </c>
      <c r="E251" t="s">
        <v>74</v>
      </c>
      <c r="F251" t="s">
        <v>5149</v>
      </c>
      <c r="G251" t="s">
        <v>74</v>
      </c>
      <c r="H251" t="s">
        <v>74</v>
      </c>
      <c r="I251" t="s">
        <v>5150</v>
      </c>
      <c r="J251" t="s">
        <v>5044</v>
      </c>
      <c r="K251" t="s">
        <v>74</v>
      </c>
      <c r="L251" t="s">
        <v>74</v>
      </c>
      <c r="M251" t="s">
        <v>78</v>
      </c>
      <c r="N251" t="s">
        <v>79</v>
      </c>
      <c r="O251" t="s">
        <v>74</v>
      </c>
      <c r="P251" t="s">
        <v>74</v>
      </c>
      <c r="Q251" t="s">
        <v>74</v>
      </c>
      <c r="R251" t="s">
        <v>74</v>
      </c>
      <c r="S251" t="s">
        <v>74</v>
      </c>
      <c r="T251" t="s">
        <v>5151</v>
      </c>
      <c r="U251" t="s">
        <v>5152</v>
      </c>
      <c r="V251" t="s">
        <v>5153</v>
      </c>
      <c r="W251" t="s">
        <v>5154</v>
      </c>
      <c r="X251" t="s">
        <v>5155</v>
      </c>
      <c r="Y251" t="s">
        <v>5156</v>
      </c>
      <c r="Z251" t="s">
        <v>5157</v>
      </c>
      <c r="AA251" t="s">
        <v>74</v>
      </c>
      <c r="AB251" t="s">
        <v>74</v>
      </c>
      <c r="AC251" t="s">
        <v>5158</v>
      </c>
      <c r="AD251" t="s">
        <v>5158</v>
      </c>
      <c r="AE251" t="s">
        <v>5158</v>
      </c>
      <c r="AF251" t="s">
        <v>74</v>
      </c>
      <c r="AG251">
        <v>32</v>
      </c>
      <c r="AH251">
        <v>0</v>
      </c>
      <c r="AI251">
        <v>0</v>
      </c>
      <c r="AJ251">
        <v>1</v>
      </c>
      <c r="AK251">
        <v>1</v>
      </c>
      <c r="AL251" t="s">
        <v>4830</v>
      </c>
      <c r="AM251" t="s">
        <v>299</v>
      </c>
      <c r="AN251" t="s">
        <v>4831</v>
      </c>
      <c r="AO251" t="s">
        <v>5056</v>
      </c>
      <c r="AP251" t="s">
        <v>5057</v>
      </c>
      <c r="AQ251" t="s">
        <v>74</v>
      </c>
      <c r="AR251" t="s">
        <v>5058</v>
      </c>
      <c r="AS251" t="s">
        <v>5059</v>
      </c>
      <c r="AT251" t="s">
        <v>4689</v>
      </c>
      <c r="AU251">
        <v>2023</v>
      </c>
      <c r="AV251">
        <v>63</v>
      </c>
      <c r="AW251">
        <v>4</v>
      </c>
      <c r="AX251" t="s">
        <v>74</v>
      </c>
      <c r="AY251" t="s">
        <v>74</v>
      </c>
      <c r="AZ251" t="s">
        <v>99</v>
      </c>
      <c r="BA251" t="s">
        <v>74</v>
      </c>
      <c r="BB251">
        <v>559</v>
      </c>
      <c r="BC251">
        <v>567</v>
      </c>
      <c r="BD251" t="s">
        <v>74</v>
      </c>
      <c r="BE251" t="s">
        <v>5159</v>
      </c>
      <c r="BF251" t="str">
        <f>HYPERLINK("http://dx.doi.org/10.1134/S0001437023040045","http://dx.doi.org/10.1134/S0001437023040045")</f>
        <v>http://dx.doi.org/10.1134/S0001437023040045</v>
      </c>
      <c r="BG251" t="s">
        <v>74</v>
      </c>
      <c r="BH251" t="s">
        <v>74</v>
      </c>
      <c r="BI251">
        <v>9</v>
      </c>
      <c r="BJ251" t="s">
        <v>306</v>
      </c>
      <c r="BK251" t="s">
        <v>104</v>
      </c>
      <c r="BL251" t="s">
        <v>306</v>
      </c>
      <c r="BM251" t="s">
        <v>5061</v>
      </c>
      <c r="BN251" t="s">
        <v>74</v>
      </c>
      <c r="BO251" t="s">
        <v>74</v>
      </c>
      <c r="BP251" t="s">
        <v>74</v>
      </c>
      <c r="BQ251" t="s">
        <v>74</v>
      </c>
      <c r="BR251" t="s">
        <v>107</v>
      </c>
      <c r="BS251" t="s">
        <v>5160</v>
      </c>
      <c r="BT251" t="str">
        <f>HYPERLINK("https%3A%2F%2Fwww.webofscience.com%2Fwos%2Fwoscc%2Ffull-record%2FWOS:001059620000013","View Full Record in Web of Science")</f>
        <v>View Full Record in Web of Science</v>
      </c>
    </row>
    <row r="252" spans="1:72" x14ac:dyDescent="0.15">
      <c r="A252" t="s">
        <v>72</v>
      </c>
      <c r="B252" t="s">
        <v>5161</v>
      </c>
      <c r="C252" t="s">
        <v>74</v>
      </c>
      <c r="D252" t="s">
        <v>74</v>
      </c>
      <c r="E252" t="s">
        <v>74</v>
      </c>
      <c r="F252" t="s">
        <v>5162</v>
      </c>
      <c r="G252" t="s">
        <v>74</v>
      </c>
      <c r="H252" t="s">
        <v>74</v>
      </c>
      <c r="I252" t="s">
        <v>5163</v>
      </c>
      <c r="J252" t="s">
        <v>5044</v>
      </c>
      <c r="K252" t="s">
        <v>74</v>
      </c>
      <c r="L252" t="s">
        <v>74</v>
      </c>
      <c r="M252" t="s">
        <v>78</v>
      </c>
      <c r="N252" t="s">
        <v>79</v>
      </c>
      <c r="O252" t="s">
        <v>74</v>
      </c>
      <c r="P252" t="s">
        <v>74</v>
      </c>
      <c r="Q252" t="s">
        <v>74</v>
      </c>
      <c r="R252" t="s">
        <v>74</v>
      </c>
      <c r="S252" t="s">
        <v>74</v>
      </c>
      <c r="T252" t="s">
        <v>5164</v>
      </c>
      <c r="U252" t="s">
        <v>5165</v>
      </c>
      <c r="V252" t="s">
        <v>5166</v>
      </c>
      <c r="W252" t="s">
        <v>5167</v>
      </c>
      <c r="X252" t="s">
        <v>5168</v>
      </c>
      <c r="Y252" t="s">
        <v>5169</v>
      </c>
      <c r="Z252" t="s">
        <v>5170</v>
      </c>
      <c r="AA252" t="s">
        <v>5171</v>
      </c>
      <c r="AB252" t="s">
        <v>5172</v>
      </c>
      <c r="AC252" t="s">
        <v>5173</v>
      </c>
      <c r="AD252" t="s">
        <v>5174</v>
      </c>
      <c r="AE252" t="s">
        <v>5175</v>
      </c>
      <c r="AF252" t="s">
        <v>74</v>
      </c>
      <c r="AG252">
        <v>28</v>
      </c>
      <c r="AH252">
        <v>1</v>
      </c>
      <c r="AI252">
        <v>1</v>
      </c>
      <c r="AJ252">
        <v>1</v>
      </c>
      <c r="AK252">
        <v>1</v>
      </c>
      <c r="AL252" t="s">
        <v>4830</v>
      </c>
      <c r="AM252" t="s">
        <v>299</v>
      </c>
      <c r="AN252" t="s">
        <v>4831</v>
      </c>
      <c r="AO252" t="s">
        <v>5056</v>
      </c>
      <c r="AP252" t="s">
        <v>5057</v>
      </c>
      <c r="AQ252" t="s">
        <v>74</v>
      </c>
      <c r="AR252" t="s">
        <v>5058</v>
      </c>
      <c r="AS252" t="s">
        <v>5059</v>
      </c>
      <c r="AT252" t="s">
        <v>4689</v>
      </c>
      <c r="AU252">
        <v>2023</v>
      </c>
      <c r="AV252">
        <v>63</v>
      </c>
      <c r="AW252">
        <v>4</v>
      </c>
      <c r="AX252" t="s">
        <v>74</v>
      </c>
      <c r="AY252" t="s">
        <v>74</v>
      </c>
      <c r="AZ252" t="s">
        <v>99</v>
      </c>
      <c r="BA252" t="s">
        <v>74</v>
      </c>
      <c r="BB252">
        <v>568</v>
      </c>
      <c r="BC252">
        <v>573</v>
      </c>
      <c r="BD252" t="s">
        <v>74</v>
      </c>
      <c r="BE252" t="s">
        <v>5176</v>
      </c>
      <c r="BF252" t="str">
        <f>HYPERLINK("http://dx.doi.org/10.1134/S0001437023040148","http://dx.doi.org/10.1134/S0001437023040148")</f>
        <v>http://dx.doi.org/10.1134/S0001437023040148</v>
      </c>
      <c r="BG252" t="s">
        <v>74</v>
      </c>
      <c r="BH252" t="s">
        <v>74</v>
      </c>
      <c r="BI252">
        <v>6</v>
      </c>
      <c r="BJ252" t="s">
        <v>306</v>
      </c>
      <c r="BK252" t="s">
        <v>104</v>
      </c>
      <c r="BL252" t="s">
        <v>306</v>
      </c>
      <c r="BM252" t="s">
        <v>5061</v>
      </c>
      <c r="BN252" t="s">
        <v>74</v>
      </c>
      <c r="BO252" t="s">
        <v>74</v>
      </c>
      <c r="BP252" t="s">
        <v>74</v>
      </c>
      <c r="BQ252" t="s">
        <v>74</v>
      </c>
      <c r="BR252" t="s">
        <v>107</v>
      </c>
      <c r="BS252" t="s">
        <v>5177</v>
      </c>
      <c r="BT252" t="str">
        <f>HYPERLINK("https%3A%2F%2Fwww.webofscience.com%2Fwos%2Fwoscc%2Ffull-record%2FWOS:001059620000014","View Full Record in Web of Science")</f>
        <v>View Full Record in Web of Science</v>
      </c>
    </row>
    <row r="253" spans="1:72" x14ac:dyDescent="0.15">
      <c r="A253" t="s">
        <v>72</v>
      </c>
      <c r="B253" t="s">
        <v>5178</v>
      </c>
      <c r="C253" t="s">
        <v>74</v>
      </c>
      <c r="D253" t="s">
        <v>74</v>
      </c>
      <c r="E253" t="s">
        <v>74</v>
      </c>
      <c r="F253" t="s">
        <v>5179</v>
      </c>
      <c r="G253" t="s">
        <v>74</v>
      </c>
      <c r="H253" t="s">
        <v>74</v>
      </c>
      <c r="I253" t="s">
        <v>5180</v>
      </c>
      <c r="J253" t="s">
        <v>5044</v>
      </c>
      <c r="K253" t="s">
        <v>74</v>
      </c>
      <c r="L253" t="s">
        <v>74</v>
      </c>
      <c r="M253" t="s">
        <v>78</v>
      </c>
      <c r="N253" t="s">
        <v>79</v>
      </c>
      <c r="O253" t="s">
        <v>74</v>
      </c>
      <c r="P253" t="s">
        <v>74</v>
      </c>
      <c r="Q253" t="s">
        <v>74</v>
      </c>
      <c r="R253" t="s">
        <v>74</v>
      </c>
      <c r="S253" t="s">
        <v>74</v>
      </c>
      <c r="T253" t="s">
        <v>5181</v>
      </c>
      <c r="U253" t="s">
        <v>5182</v>
      </c>
      <c r="V253" t="s">
        <v>5183</v>
      </c>
      <c r="W253" t="s">
        <v>5184</v>
      </c>
      <c r="X253" t="s">
        <v>5185</v>
      </c>
      <c r="Y253" t="s">
        <v>5186</v>
      </c>
      <c r="Z253" t="s">
        <v>5187</v>
      </c>
      <c r="AA253" t="s">
        <v>5188</v>
      </c>
      <c r="AB253" t="s">
        <v>5189</v>
      </c>
      <c r="AC253" t="s">
        <v>74</v>
      </c>
      <c r="AD253" t="s">
        <v>74</v>
      </c>
      <c r="AE253" t="s">
        <v>74</v>
      </c>
      <c r="AF253" t="s">
        <v>74</v>
      </c>
      <c r="AG253">
        <v>48</v>
      </c>
      <c r="AH253">
        <v>0</v>
      </c>
      <c r="AI253">
        <v>0</v>
      </c>
      <c r="AJ253">
        <v>0</v>
      </c>
      <c r="AK253">
        <v>0</v>
      </c>
      <c r="AL253" t="s">
        <v>4830</v>
      </c>
      <c r="AM253" t="s">
        <v>299</v>
      </c>
      <c r="AN253" t="s">
        <v>4831</v>
      </c>
      <c r="AO253" t="s">
        <v>5056</v>
      </c>
      <c r="AP253" t="s">
        <v>5057</v>
      </c>
      <c r="AQ253" t="s">
        <v>74</v>
      </c>
      <c r="AR253" t="s">
        <v>5058</v>
      </c>
      <c r="AS253" t="s">
        <v>5059</v>
      </c>
      <c r="AT253" t="s">
        <v>4689</v>
      </c>
      <c r="AU253">
        <v>2023</v>
      </c>
      <c r="AV253">
        <v>63</v>
      </c>
      <c r="AW253">
        <v>4</v>
      </c>
      <c r="AX253" t="s">
        <v>74</v>
      </c>
      <c r="AY253" t="s">
        <v>74</v>
      </c>
      <c r="AZ253" t="s">
        <v>99</v>
      </c>
      <c r="BA253" t="s">
        <v>74</v>
      </c>
      <c r="BB253">
        <v>574</v>
      </c>
      <c r="BC253">
        <v>588</v>
      </c>
      <c r="BD253" t="s">
        <v>74</v>
      </c>
      <c r="BE253" t="s">
        <v>5190</v>
      </c>
      <c r="BF253" t="str">
        <f>HYPERLINK("http://dx.doi.org/10.1134/S0001437023040070","http://dx.doi.org/10.1134/S0001437023040070")</f>
        <v>http://dx.doi.org/10.1134/S0001437023040070</v>
      </c>
      <c r="BG253" t="s">
        <v>74</v>
      </c>
      <c r="BH253" t="s">
        <v>74</v>
      </c>
      <c r="BI253">
        <v>15</v>
      </c>
      <c r="BJ253" t="s">
        <v>306</v>
      </c>
      <c r="BK253" t="s">
        <v>104</v>
      </c>
      <c r="BL253" t="s">
        <v>306</v>
      </c>
      <c r="BM253" t="s">
        <v>5061</v>
      </c>
      <c r="BN253" t="s">
        <v>74</v>
      </c>
      <c r="BO253" t="s">
        <v>74</v>
      </c>
      <c r="BP253" t="s">
        <v>74</v>
      </c>
      <c r="BQ253" t="s">
        <v>74</v>
      </c>
      <c r="BR253" t="s">
        <v>107</v>
      </c>
      <c r="BS253" t="s">
        <v>5191</v>
      </c>
      <c r="BT253" t="str">
        <f>HYPERLINK("https%3A%2F%2Fwww.webofscience.com%2Fwos%2Fwoscc%2Ffull-record%2FWOS:001059620000015","View Full Record in Web of Science")</f>
        <v>View Full Record in Web of Science</v>
      </c>
    </row>
    <row r="254" spans="1:72" x14ac:dyDescent="0.15">
      <c r="A254" t="s">
        <v>72</v>
      </c>
      <c r="B254" t="s">
        <v>5192</v>
      </c>
      <c r="C254" t="s">
        <v>74</v>
      </c>
      <c r="D254" t="s">
        <v>74</v>
      </c>
      <c r="E254" t="s">
        <v>74</v>
      </c>
      <c r="F254" t="s">
        <v>5193</v>
      </c>
      <c r="G254" t="s">
        <v>74</v>
      </c>
      <c r="H254" t="s">
        <v>74</v>
      </c>
      <c r="I254" t="s">
        <v>5194</v>
      </c>
      <c r="J254" t="s">
        <v>5044</v>
      </c>
      <c r="K254" t="s">
        <v>74</v>
      </c>
      <c r="L254" t="s">
        <v>74</v>
      </c>
      <c r="M254" t="s">
        <v>78</v>
      </c>
      <c r="N254" t="s">
        <v>79</v>
      </c>
      <c r="O254" t="s">
        <v>74</v>
      </c>
      <c r="P254" t="s">
        <v>74</v>
      </c>
      <c r="Q254" t="s">
        <v>74</v>
      </c>
      <c r="R254" t="s">
        <v>74</v>
      </c>
      <c r="S254" t="s">
        <v>74</v>
      </c>
      <c r="T254" t="s">
        <v>5195</v>
      </c>
      <c r="U254" t="s">
        <v>5196</v>
      </c>
      <c r="V254" t="s">
        <v>5197</v>
      </c>
      <c r="W254" t="s">
        <v>5198</v>
      </c>
      <c r="X254" t="s">
        <v>5199</v>
      </c>
      <c r="Y254" t="s">
        <v>5200</v>
      </c>
      <c r="Z254" t="s">
        <v>5201</v>
      </c>
      <c r="AA254" t="s">
        <v>5202</v>
      </c>
      <c r="AB254" t="s">
        <v>5203</v>
      </c>
      <c r="AC254" t="s">
        <v>74</v>
      </c>
      <c r="AD254" t="s">
        <v>74</v>
      </c>
      <c r="AE254" t="s">
        <v>74</v>
      </c>
      <c r="AF254" t="s">
        <v>74</v>
      </c>
      <c r="AG254">
        <v>23</v>
      </c>
      <c r="AH254">
        <v>0</v>
      </c>
      <c r="AI254">
        <v>0</v>
      </c>
      <c r="AJ254">
        <v>1</v>
      </c>
      <c r="AK254">
        <v>1</v>
      </c>
      <c r="AL254" t="s">
        <v>4830</v>
      </c>
      <c r="AM254" t="s">
        <v>299</v>
      </c>
      <c r="AN254" t="s">
        <v>4831</v>
      </c>
      <c r="AO254" t="s">
        <v>5056</v>
      </c>
      <c r="AP254" t="s">
        <v>5057</v>
      </c>
      <c r="AQ254" t="s">
        <v>74</v>
      </c>
      <c r="AR254" t="s">
        <v>5058</v>
      </c>
      <c r="AS254" t="s">
        <v>5059</v>
      </c>
      <c r="AT254" t="s">
        <v>4689</v>
      </c>
      <c r="AU254">
        <v>2023</v>
      </c>
      <c r="AV254">
        <v>63</v>
      </c>
      <c r="AW254">
        <v>4</v>
      </c>
      <c r="AX254" t="s">
        <v>74</v>
      </c>
      <c r="AY254" t="s">
        <v>74</v>
      </c>
      <c r="AZ254" t="s">
        <v>99</v>
      </c>
      <c r="BA254" t="s">
        <v>74</v>
      </c>
      <c r="BB254">
        <v>600</v>
      </c>
      <c r="BC254">
        <v>608</v>
      </c>
      <c r="BD254" t="s">
        <v>74</v>
      </c>
      <c r="BE254" t="s">
        <v>5204</v>
      </c>
      <c r="BF254" t="str">
        <f>HYPERLINK("http://dx.doi.org/10.1134/S0001437023040069","http://dx.doi.org/10.1134/S0001437023040069")</f>
        <v>http://dx.doi.org/10.1134/S0001437023040069</v>
      </c>
      <c r="BG254" t="s">
        <v>74</v>
      </c>
      <c r="BH254" t="s">
        <v>74</v>
      </c>
      <c r="BI254">
        <v>9</v>
      </c>
      <c r="BJ254" t="s">
        <v>306</v>
      </c>
      <c r="BK254" t="s">
        <v>104</v>
      </c>
      <c r="BL254" t="s">
        <v>306</v>
      </c>
      <c r="BM254" t="s">
        <v>5061</v>
      </c>
      <c r="BN254" t="s">
        <v>74</v>
      </c>
      <c r="BO254" t="s">
        <v>74</v>
      </c>
      <c r="BP254" t="s">
        <v>74</v>
      </c>
      <c r="BQ254" t="s">
        <v>74</v>
      </c>
      <c r="BR254" t="s">
        <v>107</v>
      </c>
      <c r="BS254" t="s">
        <v>5205</v>
      </c>
      <c r="BT254" t="str">
        <f>HYPERLINK("https%3A%2F%2Fwww.webofscience.com%2Fwos%2Fwoscc%2Ffull-record%2FWOS:001059620000017","View Full Record in Web of Science")</f>
        <v>View Full Record in Web of Science</v>
      </c>
    </row>
    <row r="255" spans="1:72" x14ac:dyDescent="0.15">
      <c r="A255" t="s">
        <v>72</v>
      </c>
      <c r="B255" t="s">
        <v>5206</v>
      </c>
      <c r="C255" t="s">
        <v>74</v>
      </c>
      <c r="D255" t="s">
        <v>74</v>
      </c>
      <c r="E255" t="s">
        <v>74</v>
      </c>
      <c r="F255" t="s">
        <v>5207</v>
      </c>
      <c r="G255" t="s">
        <v>74</v>
      </c>
      <c r="H255" t="s">
        <v>74</v>
      </c>
      <c r="I255" t="s">
        <v>5208</v>
      </c>
      <c r="J255" t="s">
        <v>5209</v>
      </c>
      <c r="K255" t="s">
        <v>74</v>
      </c>
      <c r="L255" t="s">
        <v>74</v>
      </c>
      <c r="M255" t="s">
        <v>78</v>
      </c>
      <c r="N255" t="s">
        <v>79</v>
      </c>
      <c r="O255" t="s">
        <v>74</v>
      </c>
      <c r="P255" t="s">
        <v>74</v>
      </c>
      <c r="Q255" t="s">
        <v>74</v>
      </c>
      <c r="R255" t="s">
        <v>74</v>
      </c>
      <c r="S255" t="s">
        <v>74</v>
      </c>
      <c r="T255" t="s">
        <v>5210</v>
      </c>
      <c r="U255" t="s">
        <v>5211</v>
      </c>
      <c r="V255" t="s">
        <v>5212</v>
      </c>
      <c r="W255" t="s">
        <v>5213</v>
      </c>
      <c r="X255" t="s">
        <v>5214</v>
      </c>
      <c r="Y255" t="s">
        <v>5215</v>
      </c>
      <c r="Z255" t="s">
        <v>5216</v>
      </c>
      <c r="AA255" t="s">
        <v>5217</v>
      </c>
      <c r="AB255" t="s">
        <v>5218</v>
      </c>
      <c r="AC255" t="s">
        <v>5219</v>
      </c>
      <c r="AD255" t="s">
        <v>5220</v>
      </c>
      <c r="AE255" t="s">
        <v>5221</v>
      </c>
      <c r="AF255" t="s">
        <v>74</v>
      </c>
      <c r="AG255">
        <v>65</v>
      </c>
      <c r="AH255">
        <v>0</v>
      </c>
      <c r="AI255">
        <v>0</v>
      </c>
      <c r="AJ255">
        <v>4</v>
      </c>
      <c r="AK255">
        <v>8</v>
      </c>
      <c r="AL255" t="s">
        <v>369</v>
      </c>
      <c r="AM255" t="s">
        <v>370</v>
      </c>
      <c r="AN255" t="s">
        <v>371</v>
      </c>
      <c r="AO255" t="s">
        <v>74</v>
      </c>
      <c r="AP255" t="s">
        <v>5222</v>
      </c>
      <c r="AQ255" t="s">
        <v>74</v>
      </c>
      <c r="AR255" t="s">
        <v>5209</v>
      </c>
      <c r="AS255" t="s">
        <v>5223</v>
      </c>
      <c r="AT255" t="s">
        <v>4689</v>
      </c>
      <c r="AU255">
        <v>2023</v>
      </c>
      <c r="AV255">
        <v>16</v>
      </c>
      <c r="AW255">
        <v>16</v>
      </c>
      <c r="AX255" t="s">
        <v>74</v>
      </c>
      <c r="AY255" t="s">
        <v>74</v>
      </c>
      <c r="AZ255" t="s">
        <v>74</v>
      </c>
      <c r="BA255" t="s">
        <v>74</v>
      </c>
      <c r="BB255" t="s">
        <v>74</v>
      </c>
      <c r="BC255" t="s">
        <v>74</v>
      </c>
      <c r="BD255">
        <v>5713</v>
      </c>
      <c r="BE255" t="s">
        <v>5224</v>
      </c>
      <c r="BF255" t="str">
        <f>HYPERLINK("http://dx.doi.org/10.3390/ma16165713","http://dx.doi.org/10.3390/ma16165713")</f>
        <v>http://dx.doi.org/10.3390/ma16165713</v>
      </c>
      <c r="BG255" t="s">
        <v>74</v>
      </c>
      <c r="BH255" t="s">
        <v>74</v>
      </c>
      <c r="BI255">
        <v>21</v>
      </c>
      <c r="BJ255" t="s">
        <v>5225</v>
      </c>
      <c r="BK255" t="s">
        <v>104</v>
      </c>
      <c r="BL255" t="s">
        <v>5226</v>
      </c>
      <c r="BM255" t="s">
        <v>5227</v>
      </c>
      <c r="BN255">
        <v>37630004</v>
      </c>
      <c r="BO255" t="s">
        <v>821</v>
      </c>
      <c r="BP255" t="s">
        <v>74</v>
      </c>
      <c r="BQ255" t="s">
        <v>74</v>
      </c>
      <c r="BR255" t="s">
        <v>107</v>
      </c>
      <c r="BS255" t="s">
        <v>5228</v>
      </c>
      <c r="BT255" t="str">
        <f>HYPERLINK("https%3A%2F%2Fwww.webofscience.com%2Fwos%2Fwoscc%2Ffull-record%2FWOS:001056846400001","View Full Record in Web of Science")</f>
        <v>View Full Record in Web of Science</v>
      </c>
    </row>
    <row r="256" spans="1:72" x14ac:dyDescent="0.15">
      <c r="A256" t="s">
        <v>72</v>
      </c>
      <c r="B256" t="s">
        <v>5229</v>
      </c>
      <c r="C256" t="s">
        <v>74</v>
      </c>
      <c r="D256" t="s">
        <v>74</v>
      </c>
      <c r="E256" t="s">
        <v>74</v>
      </c>
      <c r="F256" t="s">
        <v>5230</v>
      </c>
      <c r="G256" t="s">
        <v>74</v>
      </c>
      <c r="H256" t="s">
        <v>74</v>
      </c>
      <c r="I256" t="s">
        <v>5231</v>
      </c>
      <c r="J256" t="s">
        <v>5232</v>
      </c>
      <c r="K256" t="s">
        <v>74</v>
      </c>
      <c r="L256" t="s">
        <v>74</v>
      </c>
      <c r="M256" t="s">
        <v>78</v>
      </c>
      <c r="N256" t="s">
        <v>79</v>
      </c>
      <c r="O256" t="s">
        <v>74</v>
      </c>
      <c r="P256" t="s">
        <v>74</v>
      </c>
      <c r="Q256" t="s">
        <v>74</v>
      </c>
      <c r="R256" t="s">
        <v>74</v>
      </c>
      <c r="S256" t="s">
        <v>74</v>
      </c>
      <c r="T256" t="s">
        <v>5233</v>
      </c>
      <c r="U256" t="s">
        <v>5234</v>
      </c>
      <c r="V256" t="s">
        <v>5235</v>
      </c>
      <c r="W256" t="s">
        <v>5236</v>
      </c>
      <c r="X256" t="s">
        <v>5237</v>
      </c>
      <c r="Y256" t="s">
        <v>5238</v>
      </c>
      <c r="Z256" t="s">
        <v>5239</v>
      </c>
      <c r="AA256" t="s">
        <v>74</v>
      </c>
      <c r="AB256" t="s">
        <v>5240</v>
      </c>
      <c r="AC256" t="s">
        <v>5241</v>
      </c>
      <c r="AD256" t="s">
        <v>5241</v>
      </c>
      <c r="AE256" t="s">
        <v>5241</v>
      </c>
      <c r="AF256" t="s">
        <v>74</v>
      </c>
      <c r="AG256">
        <v>22</v>
      </c>
      <c r="AH256">
        <v>1</v>
      </c>
      <c r="AI256">
        <v>1</v>
      </c>
      <c r="AJ256">
        <v>2</v>
      </c>
      <c r="AK256">
        <v>3</v>
      </c>
      <c r="AL256" t="s">
        <v>369</v>
      </c>
      <c r="AM256" t="s">
        <v>370</v>
      </c>
      <c r="AN256" t="s">
        <v>371</v>
      </c>
      <c r="AO256" t="s">
        <v>74</v>
      </c>
      <c r="AP256" t="s">
        <v>5242</v>
      </c>
      <c r="AQ256" t="s">
        <v>74</v>
      </c>
      <c r="AR256" t="s">
        <v>5243</v>
      </c>
      <c r="AS256" t="s">
        <v>5244</v>
      </c>
      <c r="AT256" t="s">
        <v>4689</v>
      </c>
      <c r="AU256">
        <v>2023</v>
      </c>
      <c r="AV256">
        <v>7</v>
      </c>
      <c r="AW256">
        <v>8</v>
      </c>
      <c r="AX256" t="s">
        <v>74</v>
      </c>
      <c r="AY256" t="s">
        <v>74</v>
      </c>
      <c r="AZ256" t="s">
        <v>74</v>
      </c>
      <c r="BA256" t="s">
        <v>74</v>
      </c>
      <c r="BB256" t="s">
        <v>74</v>
      </c>
      <c r="BC256" t="s">
        <v>74</v>
      </c>
      <c r="BD256">
        <v>538</v>
      </c>
      <c r="BE256" t="s">
        <v>5245</v>
      </c>
      <c r="BF256" t="str">
        <f>HYPERLINK("http://dx.doi.org/10.3390/drones7080538","http://dx.doi.org/10.3390/drones7080538")</f>
        <v>http://dx.doi.org/10.3390/drones7080538</v>
      </c>
      <c r="BG256" t="s">
        <v>74</v>
      </c>
      <c r="BH256" t="s">
        <v>74</v>
      </c>
      <c r="BI256">
        <v>11</v>
      </c>
      <c r="BJ256" t="s">
        <v>5246</v>
      </c>
      <c r="BK256" t="s">
        <v>104</v>
      </c>
      <c r="BL256" t="s">
        <v>5246</v>
      </c>
      <c r="BM256" t="s">
        <v>5247</v>
      </c>
      <c r="BN256" t="s">
        <v>74</v>
      </c>
      <c r="BO256" t="s">
        <v>206</v>
      </c>
      <c r="BP256" t="s">
        <v>74</v>
      </c>
      <c r="BQ256" t="s">
        <v>74</v>
      </c>
      <c r="BR256" t="s">
        <v>107</v>
      </c>
      <c r="BS256" t="s">
        <v>5248</v>
      </c>
      <c r="BT256" t="str">
        <f>HYPERLINK("https%3A%2F%2Fwww.webofscience.com%2Fwos%2Fwoscc%2Ffull-record%2FWOS:001055338700001","View Full Record in Web of Science")</f>
        <v>View Full Record in Web of Science</v>
      </c>
    </row>
    <row r="257" spans="1:72" x14ac:dyDescent="0.15">
      <c r="A257" t="s">
        <v>72</v>
      </c>
      <c r="B257" t="s">
        <v>5249</v>
      </c>
      <c r="C257" t="s">
        <v>74</v>
      </c>
      <c r="D257" t="s">
        <v>74</v>
      </c>
      <c r="E257" t="s">
        <v>74</v>
      </c>
      <c r="F257" t="s">
        <v>5250</v>
      </c>
      <c r="G257" t="s">
        <v>74</v>
      </c>
      <c r="H257" t="s">
        <v>74</v>
      </c>
      <c r="I257" t="s">
        <v>5251</v>
      </c>
      <c r="J257" t="s">
        <v>641</v>
      </c>
      <c r="K257" t="s">
        <v>74</v>
      </c>
      <c r="L257" t="s">
        <v>74</v>
      </c>
      <c r="M257" t="s">
        <v>78</v>
      </c>
      <c r="N257" t="s">
        <v>424</v>
      </c>
      <c r="O257" t="s">
        <v>74</v>
      </c>
      <c r="P257" t="s">
        <v>74</v>
      </c>
      <c r="Q257" t="s">
        <v>74</v>
      </c>
      <c r="R257" t="s">
        <v>74</v>
      </c>
      <c r="S257" t="s">
        <v>74</v>
      </c>
      <c r="T257" t="s">
        <v>5252</v>
      </c>
      <c r="U257" t="s">
        <v>5253</v>
      </c>
      <c r="V257" t="s">
        <v>5254</v>
      </c>
      <c r="W257" t="s">
        <v>5255</v>
      </c>
      <c r="X257" t="s">
        <v>5256</v>
      </c>
      <c r="Y257" t="s">
        <v>5257</v>
      </c>
      <c r="Z257" t="s">
        <v>5258</v>
      </c>
      <c r="AA257" t="s">
        <v>5259</v>
      </c>
      <c r="AB257" t="s">
        <v>5260</v>
      </c>
      <c r="AC257" t="s">
        <v>5261</v>
      </c>
      <c r="AD257" t="s">
        <v>5262</v>
      </c>
      <c r="AE257" t="s">
        <v>5263</v>
      </c>
      <c r="AF257" t="s">
        <v>74</v>
      </c>
      <c r="AG257">
        <v>157</v>
      </c>
      <c r="AH257">
        <v>2</v>
      </c>
      <c r="AI257">
        <v>2</v>
      </c>
      <c r="AJ257">
        <v>16</v>
      </c>
      <c r="AK257">
        <v>25</v>
      </c>
      <c r="AL257" t="s">
        <v>460</v>
      </c>
      <c r="AM257" t="s">
        <v>461</v>
      </c>
      <c r="AN257" t="s">
        <v>462</v>
      </c>
      <c r="AO257" t="s">
        <v>652</v>
      </c>
      <c r="AP257" t="s">
        <v>74</v>
      </c>
      <c r="AQ257" t="s">
        <v>74</v>
      </c>
      <c r="AR257" t="s">
        <v>653</v>
      </c>
      <c r="AS257" t="s">
        <v>654</v>
      </c>
      <c r="AT257" t="s">
        <v>4689</v>
      </c>
      <c r="AU257">
        <v>2023</v>
      </c>
      <c r="AV257">
        <v>13</v>
      </c>
      <c r="AW257">
        <v>8</v>
      </c>
      <c r="AX257" t="s">
        <v>74</v>
      </c>
      <c r="AY257" t="s">
        <v>74</v>
      </c>
      <c r="AZ257" t="s">
        <v>74</v>
      </c>
      <c r="BA257" t="s">
        <v>74</v>
      </c>
      <c r="BB257" t="s">
        <v>74</v>
      </c>
      <c r="BC257" t="s">
        <v>74</v>
      </c>
      <c r="BD257" t="s">
        <v>5264</v>
      </c>
      <c r="BE257" t="s">
        <v>5265</v>
      </c>
      <c r="BF257" t="str">
        <f>HYPERLINK("http://dx.doi.org/10.1002/ece3.10307","http://dx.doi.org/10.1002/ece3.10307")</f>
        <v>http://dx.doi.org/10.1002/ece3.10307</v>
      </c>
      <c r="BG257" t="s">
        <v>74</v>
      </c>
      <c r="BH257" t="s">
        <v>74</v>
      </c>
      <c r="BI257">
        <v>22</v>
      </c>
      <c r="BJ257" t="s">
        <v>657</v>
      </c>
      <c r="BK257" t="s">
        <v>104</v>
      </c>
      <c r="BL257" t="s">
        <v>658</v>
      </c>
      <c r="BM257" t="s">
        <v>5266</v>
      </c>
      <c r="BN257">
        <v>37565029</v>
      </c>
      <c r="BO257" t="s">
        <v>5267</v>
      </c>
      <c r="BP257" t="s">
        <v>74</v>
      </c>
      <c r="BQ257" t="s">
        <v>74</v>
      </c>
      <c r="BR257" t="s">
        <v>107</v>
      </c>
      <c r="BS257" t="s">
        <v>5268</v>
      </c>
      <c r="BT257" t="str">
        <f>HYPERLINK("https%3A%2F%2Fwww.webofscience.com%2Fwos%2Fwoscc%2Ffull-record%2FWOS:001057248000001","View Full Record in Web of Science")</f>
        <v>View Full Record in Web of Science</v>
      </c>
    </row>
    <row r="258" spans="1:72" x14ac:dyDescent="0.15">
      <c r="A258" t="s">
        <v>72</v>
      </c>
      <c r="B258" t="s">
        <v>5269</v>
      </c>
      <c r="C258" t="s">
        <v>74</v>
      </c>
      <c r="D258" t="s">
        <v>74</v>
      </c>
      <c r="E258" t="s">
        <v>74</v>
      </c>
      <c r="F258" t="s">
        <v>5270</v>
      </c>
      <c r="G258" t="s">
        <v>74</v>
      </c>
      <c r="H258" t="s">
        <v>74</v>
      </c>
      <c r="I258" t="s">
        <v>5271</v>
      </c>
      <c r="J258" t="s">
        <v>1031</v>
      </c>
      <c r="K258" t="s">
        <v>74</v>
      </c>
      <c r="L258" t="s">
        <v>74</v>
      </c>
      <c r="M258" t="s">
        <v>78</v>
      </c>
      <c r="N258" t="s">
        <v>79</v>
      </c>
      <c r="O258" t="s">
        <v>74</v>
      </c>
      <c r="P258" t="s">
        <v>74</v>
      </c>
      <c r="Q258" t="s">
        <v>74</v>
      </c>
      <c r="R258" t="s">
        <v>74</v>
      </c>
      <c r="S258" t="s">
        <v>74</v>
      </c>
      <c r="T258" t="s">
        <v>5272</v>
      </c>
      <c r="U258" t="s">
        <v>5273</v>
      </c>
      <c r="V258" t="s">
        <v>5274</v>
      </c>
      <c r="W258" t="s">
        <v>5275</v>
      </c>
      <c r="X258" t="s">
        <v>5276</v>
      </c>
      <c r="Y258" t="s">
        <v>5277</v>
      </c>
      <c r="Z258" t="s">
        <v>5278</v>
      </c>
      <c r="AA258" t="s">
        <v>5279</v>
      </c>
      <c r="AB258" t="s">
        <v>5280</v>
      </c>
      <c r="AC258" t="s">
        <v>5281</v>
      </c>
      <c r="AD258" t="s">
        <v>5282</v>
      </c>
      <c r="AE258" t="s">
        <v>5283</v>
      </c>
      <c r="AF258" t="s">
        <v>74</v>
      </c>
      <c r="AG258">
        <v>60</v>
      </c>
      <c r="AH258">
        <v>0</v>
      </c>
      <c r="AI258">
        <v>0</v>
      </c>
      <c r="AJ258">
        <v>2</v>
      </c>
      <c r="AK258">
        <v>2</v>
      </c>
      <c r="AL258" t="s">
        <v>369</v>
      </c>
      <c r="AM258" t="s">
        <v>370</v>
      </c>
      <c r="AN258" t="s">
        <v>371</v>
      </c>
      <c r="AO258" t="s">
        <v>74</v>
      </c>
      <c r="AP258" t="s">
        <v>1042</v>
      </c>
      <c r="AQ258" t="s">
        <v>74</v>
      </c>
      <c r="AR258" t="s">
        <v>1031</v>
      </c>
      <c r="AS258" t="s">
        <v>1043</v>
      </c>
      <c r="AT258" t="s">
        <v>4689</v>
      </c>
      <c r="AU258">
        <v>2023</v>
      </c>
      <c r="AV258">
        <v>12</v>
      </c>
      <c r="AW258">
        <v>8</v>
      </c>
      <c r="AX258" t="s">
        <v>74</v>
      </c>
      <c r="AY258" t="s">
        <v>74</v>
      </c>
      <c r="AZ258" t="s">
        <v>74</v>
      </c>
      <c r="BA258" t="s">
        <v>74</v>
      </c>
      <c r="BB258" t="s">
        <v>74</v>
      </c>
      <c r="BC258" t="s">
        <v>74</v>
      </c>
      <c r="BD258">
        <v>1142</v>
      </c>
      <c r="BE258" t="s">
        <v>5284</v>
      </c>
      <c r="BF258" t="str">
        <f>HYPERLINK("http://dx.doi.org/10.3390/biology12081142","http://dx.doi.org/10.3390/biology12081142")</f>
        <v>http://dx.doi.org/10.3390/biology12081142</v>
      </c>
      <c r="BG258" t="s">
        <v>74</v>
      </c>
      <c r="BH258" t="s">
        <v>74</v>
      </c>
      <c r="BI258">
        <v>18</v>
      </c>
      <c r="BJ258" t="s">
        <v>1045</v>
      </c>
      <c r="BK258" t="s">
        <v>104</v>
      </c>
      <c r="BL258" t="s">
        <v>1046</v>
      </c>
      <c r="BM258" t="s">
        <v>5285</v>
      </c>
      <c r="BN258">
        <v>37627026</v>
      </c>
      <c r="BO258" t="s">
        <v>1048</v>
      </c>
      <c r="BP258" t="s">
        <v>74</v>
      </c>
      <c r="BQ258" t="s">
        <v>74</v>
      </c>
      <c r="BR258" t="s">
        <v>107</v>
      </c>
      <c r="BS258" t="s">
        <v>5286</v>
      </c>
      <c r="BT258" t="str">
        <f>HYPERLINK("https%3A%2F%2Fwww.webofscience.com%2Fwos%2Fwoscc%2Ffull-record%2FWOS:001055878000001","View Full Record in Web of Science")</f>
        <v>View Full Record in Web of Science</v>
      </c>
    </row>
    <row r="259" spans="1:72" x14ac:dyDescent="0.15">
      <c r="A259" t="s">
        <v>72</v>
      </c>
      <c r="B259" t="s">
        <v>5287</v>
      </c>
      <c r="C259" t="s">
        <v>74</v>
      </c>
      <c r="D259" t="s">
        <v>74</v>
      </c>
      <c r="E259" t="s">
        <v>74</v>
      </c>
      <c r="F259" t="s">
        <v>5288</v>
      </c>
      <c r="G259" t="s">
        <v>74</v>
      </c>
      <c r="H259" t="s">
        <v>74</v>
      </c>
      <c r="I259" t="s">
        <v>5289</v>
      </c>
      <c r="J259" t="s">
        <v>5290</v>
      </c>
      <c r="K259" t="s">
        <v>74</v>
      </c>
      <c r="L259" t="s">
        <v>74</v>
      </c>
      <c r="M259" t="s">
        <v>78</v>
      </c>
      <c r="N259" t="s">
        <v>424</v>
      </c>
      <c r="O259" t="s">
        <v>74</v>
      </c>
      <c r="P259" t="s">
        <v>74</v>
      </c>
      <c r="Q259" t="s">
        <v>74</v>
      </c>
      <c r="R259" t="s">
        <v>74</v>
      </c>
      <c r="S259" t="s">
        <v>74</v>
      </c>
      <c r="T259" t="s">
        <v>5291</v>
      </c>
      <c r="U259" t="s">
        <v>5292</v>
      </c>
      <c r="V259" t="s">
        <v>5293</v>
      </c>
      <c r="W259" t="s">
        <v>5294</v>
      </c>
      <c r="X259" t="s">
        <v>5295</v>
      </c>
      <c r="Y259" t="s">
        <v>5296</v>
      </c>
      <c r="Z259" t="s">
        <v>5297</v>
      </c>
      <c r="AA259" t="s">
        <v>5298</v>
      </c>
      <c r="AB259" t="s">
        <v>74</v>
      </c>
      <c r="AC259" t="s">
        <v>5299</v>
      </c>
      <c r="AD259" t="s">
        <v>5299</v>
      </c>
      <c r="AE259" t="s">
        <v>5299</v>
      </c>
      <c r="AF259" t="s">
        <v>74</v>
      </c>
      <c r="AG259">
        <v>100</v>
      </c>
      <c r="AH259">
        <v>0</v>
      </c>
      <c r="AI259">
        <v>0</v>
      </c>
      <c r="AJ259">
        <v>14</v>
      </c>
      <c r="AK259">
        <v>24</v>
      </c>
      <c r="AL259" t="s">
        <v>369</v>
      </c>
      <c r="AM259" t="s">
        <v>370</v>
      </c>
      <c r="AN259" t="s">
        <v>371</v>
      </c>
      <c r="AO259" t="s">
        <v>74</v>
      </c>
      <c r="AP259" t="s">
        <v>5300</v>
      </c>
      <c r="AQ259" t="s">
        <v>74</v>
      </c>
      <c r="AR259" t="s">
        <v>5301</v>
      </c>
      <c r="AS259" t="s">
        <v>5302</v>
      </c>
      <c r="AT259" t="s">
        <v>4689</v>
      </c>
      <c r="AU259">
        <v>2023</v>
      </c>
      <c r="AV259">
        <v>14</v>
      </c>
      <c r="AW259">
        <v>8</v>
      </c>
      <c r="AX259" t="s">
        <v>74</v>
      </c>
      <c r="AY259" t="s">
        <v>74</v>
      </c>
      <c r="AZ259" t="s">
        <v>74</v>
      </c>
      <c r="BA259" t="s">
        <v>74</v>
      </c>
      <c r="BB259" t="s">
        <v>74</v>
      </c>
      <c r="BC259" t="s">
        <v>74</v>
      </c>
      <c r="BD259">
        <v>1232</v>
      </c>
      <c r="BE259" t="s">
        <v>5303</v>
      </c>
      <c r="BF259" t="str">
        <f>HYPERLINK("http://dx.doi.org/10.3390/atmos14081232","http://dx.doi.org/10.3390/atmos14081232")</f>
        <v>http://dx.doi.org/10.3390/atmos14081232</v>
      </c>
      <c r="BG259" t="s">
        <v>74</v>
      </c>
      <c r="BH259" t="s">
        <v>74</v>
      </c>
      <c r="BI259">
        <v>33</v>
      </c>
      <c r="BJ259" t="s">
        <v>3303</v>
      </c>
      <c r="BK259" t="s">
        <v>104</v>
      </c>
      <c r="BL259" t="s">
        <v>2372</v>
      </c>
      <c r="BM259" t="s">
        <v>5304</v>
      </c>
      <c r="BN259" t="s">
        <v>74</v>
      </c>
      <c r="BO259" t="s">
        <v>206</v>
      </c>
      <c r="BP259" t="s">
        <v>74</v>
      </c>
      <c r="BQ259" t="s">
        <v>74</v>
      </c>
      <c r="BR259" t="s">
        <v>107</v>
      </c>
      <c r="BS259" t="s">
        <v>5305</v>
      </c>
      <c r="BT259" t="str">
        <f>HYPERLINK("https%3A%2F%2Fwww.webofscience.com%2Fwos%2Fwoscc%2Ffull-record%2FWOS:001056407100001","View Full Record in Web of Science")</f>
        <v>View Full Record in Web of Science</v>
      </c>
    </row>
    <row r="260" spans="1:72" x14ac:dyDescent="0.15">
      <c r="A260" t="s">
        <v>72</v>
      </c>
      <c r="B260" t="s">
        <v>5306</v>
      </c>
      <c r="C260" t="s">
        <v>74</v>
      </c>
      <c r="D260" t="s">
        <v>74</v>
      </c>
      <c r="E260" t="s">
        <v>74</v>
      </c>
      <c r="F260" t="s">
        <v>5307</v>
      </c>
      <c r="G260" t="s">
        <v>74</v>
      </c>
      <c r="H260" t="s">
        <v>74</v>
      </c>
      <c r="I260" t="s">
        <v>5308</v>
      </c>
      <c r="J260" t="s">
        <v>5309</v>
      </c>
      <c r="K260" t="s">
        <v>74</v>
      </c>
      <c r="L260" t="s">
        <v>74</v>
      </c>
      <c r="M260" t="s">
        <v>78</v>
      </c>
      <c r="N260" t="s">
        <v>4565</v>
      </c>
      <c r="O260" t="s">
        <v>74</v>
      </c>
      <c r="P260" t="s">
        <v>74</v>
      </c>
      <c r="Q260" t="s">
        <v>74</v>
      </c>
      <c r="R260" t="s">
        <v>74</v>
      </c>
      <c r="S260" t="s">
        <v>74</v>
      </c>
      <c r="T260" t="s">
        <v>74</v>
      </c>
      <c r="U260" t="s">
        <v>74</v>
      </c>
      <c r="V260" t="s">
        <v>74</v>
      </c>
      <c r="W260" t="s">
        <v>5310</v>
      </c>
      <c r="X260" t="s">
        <v>5311</v>
      </c>
      <c r="Y260" t="s">
        <v>5312</v>
      </c>
      <c r="Z260" t="s">
        <v>5313</v>
      </c>
      <c r="AA260" t="s">
        <v>5314</v>
      </c>
      <c r="AB260" t="s">
        <v>5315</v>
      </c>
      <c r="AC260" t="s">
        <v>74</v>
      </c>
      <c r="AD260" t="s">
        <v>74</v>
      </c>
      <c r="AE260" t="s">
        <v>74</v>
      </c>
      <c r="AF260" t="s">
        <v>74</v>
      </c>
      <c r="AG260">
        <v>1</v>
      </c>
      <c r="AH260">
        <v>0</v>
      </c>
      <c r="AI260">
        <v>0</v>
      </c>
      <c r="AJ260">
        <v>0</v>
      </c>
      <c r="AK260">
        <v>0</v>
      </c>
      <c r="AL260" t="s">
        <v>369</v>
      </c>
      <c r="AM260" t="s">
        <v>370</v>
      </c>
      <c r="AN260" t="s">
        <v>371</v>
      </c>
      <c r="AO260" t="s">
        <v>74</v>
      </c>
      <c r="AP260" t="s">
        <v>5316</v>
      </c>
      <c r="AQ260" t="s">
        <v>74</v>
      </c>
      <c r="AR260" t="s">
        <v>5309</v>
      </c>
      <c r="AS260" t="s">
        <v>5317</v>
      </c>
      <c r="AT260" t="s">
        <v>4689</v>
      </c>
      <c r="AU260">
        <v>2023</v>
      </c>
      <c r="AV260">
        <v>13</v>
      </c>
      <c r="AW260">
        <v>8</v>
      </c>
      <c r="AX260" t="s">
        <v>74</v>
      </c>
      <c r="AY260" t="s">
        <v>74</v>
      </c>
      <c r="AZ260" t="s">
        <v>74</v>
      </c>
      <c r="BA260" t="s">
        <v>74</v>
      </c>
      <c r="BB260" t="s">
        <v>74</v>
      </c>
      <c r="BC260" t="s">
        <v>74</v>
      </c>
      <c r="BD260">
        <v>237</v>
      </c>
      <c r="BE260" t="s">
        <v>5318</v>
      </c>
      <c r="BF260" t="str">
        <f>HYPERLINK("http://dx.doi.org/10.3390/geosciences13080237","http://dx.doi.org/10.3390/geosciences13080237")</f>
        <v>http://dx.doi.org/10.3390/geosciences13080237</v>
      </c>
      <c r="BG260" t="s">
        <v>74</v>
      </c>
      <c r="BH260" t="s">
        <v>74</v>
      </c>
      <c r="BI260">
        <v>3</v>
      </c>
      <c r="BJ260" t="s">
        <v>155</v>
      </c>
      <c r="BK260" t="s">
        <v>518</v>
      </c>
      <c r="BL260" t="s">
        <v>156</v>
      </c>
      <c r="BM260" t="s">
        <v>5319</v>
      </c>
      <c r="BN260" t="s">
        <v>74</v>
      </c>
      <c r="BO260" t="s">
        <v>821</v>
      </c>
      <c r="BP260" t="s">
        <v>74</v>
      </c>
      <c r="BQ260" t="s">
        <v>74</v>
      </c>
      <c r="BR260" t="s">
        <v>107</v>
      </c>
      <c r="BS260" t="s">
        <v>5320</v>
      </c>
      <c r="BT260" t="str">
        <f>HYPERLINK("https%3A%2F%2Fwww.webofscience.com%2Fwos%2Fwoscc%2Ffull-record%2FWOS:001055784700001","View Full Record in Web of Science")</f>
        <v>View Full Record in Web of Science</v>
      </c>
    </row>
    <row r="261" spans="1:72" x14ac:dyDescent="0.15">
      <c r="A261" t="s">
        <v>72</v>
      </c>
      <c r="B261" t="s">
        <v>5321</v>
      </c>
      <c r="C261" t="s">
        <v>74</v>
      </c>
      <c r="D261" t="s">
        <v>74</v>
      </c>
      <c r="E261" t="s">
        <v>74</v>
      </c>
      <c r="F261" t="s">
        <v>5322</v>
      </c>
      <c r="G261" t="s">
        <v>74</v>
      </c>
      <c r="H261" t="s">
        <v>74</v>
      </c>
      <c r="I261" t="s">
        <v>5323</v>
      </c>
      <c r="J261" t="s">
        <v>4979</v>
      </c>
      <c r="K261" t="s">
        <v>74</v>
      </c>
      <c r="L261" t="s">
        <v>74</v>
      </c>
      <c r="M261" t="s">
        <v>78</v>
      </c>
      <c r="N261" t="s">
        <v>79</v>
      </c>
      <c r="O261" t="s">
        <v>74</v>
      </c>
      <c r="P261" t="s">
        <v>74</v>
      </c>
      <c r="Q261" t="s">
        <v>74</v>
      </c>
      <c r="R261" t="s">
        <v>74</v>
      </c>
      <c r="S261" t="s">
        <v>74</v>
      </c>
      <c r="T261" t="s">
        <v>5324</v>
      </c>
      <c r="U261" t="s">
        <v>5325</v>
      </c>
      <c r="V261" t="s">
        <v>5326</v>
      </c>
      <c r="W261" t="s">
        <v>5327</v>
      </c>
      <c r="X261" t="s">
        <v>5328</v>
      </c>
      <c r="Y261" t="s">
        <v>5329</v>
      </c>
      <c r="Z261" t="s">
        <v>5330</v>
      </c>
      <c r="AA261" t="s">
        <v>5331</v>
      </c>
      <c r="AB261" t="s">
        <v>74</v>
      </c>
      <c r="AC261" t="s">
        <v>5332</v>
      </c>
      <c r="AD261" t="s">
        <v>5333</v>
      </c>
      <c r="AE261" t="s">
        <v>5334</v>
      </c>
      <c r="AF261" t="s">
        <v>74</v>
      </c>
      <c r="AG261">
        <v>39</v>
      </c>
      <c r="AH261">
        <v>2</v>
      </c>
      <c r="AI261">
        <v>2</v>
      </c>
      <c r="AJ261">
        <v>4</v>
      </c>
      <c r="AK261">
        <v>5</v>
      </c>
      <c r="AL261" t="s">
        <v>90</v>
      </c>
      <c r="AM261" t="s">
        <v>91</v>
      </c>
      <c r="AN261" t="s">
        <v>92</v>
      </c>
      <c r="AO261" t="s">
        <v>4991</v>
      </c>
      <c r="AP261" t="s">
        <v>4992</v>
      </c>
      <c r="AQ261" t="s">
        <v>74</v>
      </c>
      <c r="AR261" t="s">
        <v>4993</v>
      </c>
      <c r="AS261" t="s">
        <v>4994</v>
      </c>
      <c r="AT261" t="s">
        <v>4689</v>
      </c>
      <c r="AU261">
        <v>2023</v>
      </c>
      <c r="AV261">
        <v>62</v>
      </c>
      <c r="AW261">
        <v>8</v>
      </c>
      <c r="AX261" t="s">
        <v>74</v>
      </c>
      <c r="AY261" t="s">
        <v>74</v>
      </c>
      <c r="AZ261" t="s">
        <v>74</v>
      </c>
      <c r="BA261" t="s">
        <v>74</v>
      </c>
      <c r="BB261">
        <v>1055</v>
      </c>
      <c r="BC261">
        <v>1068</v>
      </c>
      <c r="BD261" t="s">
        <v>74</v>
      </c>
      <c r="BE261" t="s">
        <v>5335</v>
      </c>
      <c r="BF261" t="str">
        <f>HYPERLINK("http://dx.doi.org/10.1175/JAMC-D-23-0004.1","http://dx.doi.org/10.1175/JAMC-D-23-0004.1")</f>
        <v>http://dx.doi.org/10.1175/JAMC-D-23-0004.1</v>
      </c>
      <c r="BG261" t="s">
        <v>74</v>
      </c>
      <c r="BH261" t="s">
        <v>74</v>
      </c>
      <c r="BI261">
        <v>14</v>
      </c>
      <c r="BJ261" t="s">
        <v>103</v>
      </c>
      <c r="BK261" t="s">
        <v>104</v>
      </c>
      <c r="BL261" t="s">
        <v>103</v>
      </c>
      <c r="BM261" t="s">
        <v>5336</v>
      </c>
      <c r="BN261" t="s">
        <v>74</v>
      </c>
      <c r="BO261" t="s">
        <v>74</v>
      </c>
      <c r="BP261" t="s">
        <v>74</v>
      </c>
      <c r="BQ261" t="s">
        <v>74</v>
      </c>
      <c r="BR261" t="s">
        <v>107</v>
      </c>
      <c r="BS261" t="s">
        <v>5337</v>
      </c>
      <c r="BT261" t="str">
        <f>HYPERLINK("https%3A%2F%2Fwww.webofscience.com%2Fwos%2Fwoscc%2Ffull-record%2FWOS:001056864000001","View Full Record in Web of Science")</f>
        <v>View Full Record in Web of Science</v>
      </c>
    </row>
    <row r="262" spans="1:72" x14ac:dyDescent="0.15">
      <c r="A262" t="s">
        <v>72</v>
      </c>
      <c r="B262" t="s">
        <v>5338</v>
      </c>
      <c r="C262" t="s">
        <v>74</v>
      </c>
      <c r="D262" t="s">
        <v>74</v>
      </c>
      <c r="E262" t="s">
        <v>74</v>
      </c>
      <c r="F262" t="s">
        <v>5339</v>
      </c>
      <c r="G262" t="s">
        <v>74</v>
      </c>
      <c r="H262" t="s">
        <v>74</v>
      </c>
      <c r="I262" t="s">
        <v>5340</v>
      </c>
      <c r="J262" t="s">
        <v>708</v>
      </c>
      <c r="K262" t="s">
        <v>74</v>
      </c>
      <c r="L262" t="s">
        <v>74</v>
      </c>
      <c r="M262" t="s">
        <v>78</v>
      </c>
      <c r="N262" t="s">
        <v>79</v>
      </c>
      <c r="O262" t="s">
        <v>74</v>
      </c>
      <c r="P262" t="s">
        <v>74</v>
      </c>
      <c r="Q262" t="s">
        <v>74</v>
      </c>
      <c r="R262" t="s">
        <v>74</v>
      </c>
      <c r="S262" t="s">
        <v>74</v>
      </c>
      <c r="T262" t="s">
        <v>5341</v>
      </c>
      <c r="U262" t="s">
        <v>5342</v>
      </c>
      <c r="V262" t="s">
        <v>5343</v>
      </c>
      <c r="W262" t="s">
        <v>5344</v>
      </c>
      <c r="X262" t="s">
        <v>5345</v>
      </c>
      <c r="Y262" t="s">
        <v>5346</v>
      </c>
      <c r="Z262" t="s">
        <v>5347</v>
      </c>
      <c r="AA262" t="s">
        <v>5348</v>
      </c>
      <c r="AB262" t="s">
        <v>5349</v>
      </c>
      <c r="AC262" t="s">
        <v>5350</v>
      </c>
      <c r="AD262" t="s">
        <v>5351</v>
      </c>
      <c r="AE262" t="s">
        <v>5352</v>
      </c>
      <c r="AF262" t="s">
        <v>74</v>
      </c>
      <c r="AG262">
        <v>231</v>
      </c>
      <c r="AH262">
        <v>0</v>
      </c>
      <c r="AI262">
        <v>0</v>
      </c>
      <c r="AJ262">
        <v>8</v>
      </c>
      <c r="AK262">
        <v>13</v>
      </c>
      <c r="AL262" t="s">
        <v>369</v>
      </c>
      <c r="AM262" t="s">
        <v>370</v>
      </c>
      <c r="AN262" t="s">
        <v>371</v>
      </c>
      <c r="AO262" t="s">
        <v>74</v>
      </c>
      <c r="AP262" t="s">
        <v>720</v>
      </c>
      <c r="AQ262" t="s">
        <v>74</v>
      </c>
      <c r="AR262" t="s">
        <v>721</v>
      </c>
      <c r="AS262" t="s">
        <v>722</v>
      </c>
      <c r="AT262" t="s">
        <v>4689</v>
      </c>
      <c r="AU262">
        <v>2023</v>
      </c>
      <c r="AV262">
        <v>15</v>
      </c>
      <c r="AW262">
        <v>16</v>
      </c>
      <c r="AX262" t="s">
        <v>74</v>
      </c>
      <c r="AY262" t="s">
        <v>74</v>
      </c>
      <c r="AZ262" t="s">
        <v>74</v>
      </c>
      <c r="BA262" t="s">
        <v>74</v>
      </c>
      <c r="BB262" t="s">
        <v>74</v>
      </c>
      <c r="BC262" t="s">
        <v>74</v>
      </c>
      <c r="BD262">
        <v>3928</v>
      </c>
      <c r="BE262" t="s">
        <v>5353</v>
      </c>
      <c r="BF262" t="str">
        <f>HYPERLINK("http://dx.doi.org/10.3390/rs15163928","http://dx.doi.org/10.3390/rs15163928")</f>
        <v>http://dx.doi.org/10.3390/rs15163928</v>
      </c>
      <c r="BG262" t="s">
        <v>74</v>
      </c>
      <c r="BH262" t="s">
        <v>74</v>
      </c>
      <c r="BI262">
        <v>26</v>
      </c>
      <c r="BJ262" t="s">
        <v>724</v>
      </c>
      <c r="BK262" t="s">
        <v>104</v>
      </c>
      <c r="BL262" t="s">
        <v>725</v>
      </c>
      <c r="BM262" t="s">
        <v>5354</v>
      </c>
      <c r="BN262" t="s">
        <v>74</v>
      </c>
      <c r="BO262" t="s">
        <v>206</v>
      </c>
      <c r="BP262" t="s">
        <v>74</v>
      </c>
      <c r="BQ262" t="s">
        <v>74</v>
      </c>
      <c r="BR262" t="s">
        <v>107</v>
      </c>
      <c r="BS262" t="s">
        <v>5355</v>
      </c>
      <c r="BT262" t="str">
        <f>HYPERLINK("https%3A%2F%2Fwww.webofscience.com%2Fwos%2Fwoscc%2Ffull-record%2FWOS:001056967700001","View Full Record in Web of Science")</f>
        <v>View Full Record in Web of Science</v>
      </c>
    </row>
    <row r="263" spans="1:72" x14ac:dyDescent="0.15">
      <c r="A263" t="s">
        <v>72</v>
      </c>
      <c r="B263" t="s">
        <v>5356</v>
      </c>
      <c r="C263" t="s">
        <v>74</v>
      </c>
      <c r="D263" t="s">
        <v>74</v>
      </c>
      <c r="E263" t="s">
        <v>74</v>
      </c>
      <c r="F263" t="s">
        <v>5357</v>
      </c>
      <c r="G263" t="s">
        <v>74</v>
      </c>
      <c r="H263" t="s">
        <v>74</v>
      </c>
      <c r="I263" t="s">
        <v>5358</v>
      </c>
      <c r="J263" t="s">
        <v>5359</v>
      </c>
      <c r="K263" t="s">
        <v>74</v>
      </c>
      <c r="L263" t="s">
        <v>74</v>
      </c>
      <c r="M263" t="s">
        <v>665</v>
      </c>
      <c r="N263" t="s">
        <v>424</v>
      </c>
      <c r="O263" t="s">
        <v>74</v>
      </c>
      <c r="P263" t="s">
        <v>74</v>
      </c>
      <c r="Q263" t="s">
        <v>74</v>
      </c>
      <c r="R263" t="s">
        <v>74</v>
      </c>
      <c r="S263" t="s">
        <v>74</v>
      </c>
      <c r="T263" t="s">
        <v>5360</v>
      </c>
      <c r="U263" t="s">
        <v>5361</v>
      </c>
      <c r="V263" t="s">
        <v>5362</v>
      </c>
      <c r="W263" t="s">
        <v>5363</v>
      </c>
      <c r="X263" t="s">
        <v>5364</v>
      </c>
      <c r="Y263" t="s">
        <v>5365</v>
      </c>
      <c r="Z263" t="s">
        <v>5366</v>
      </c>
      <c r="AA263" t="s">
        <v>5367</v>
      </c>
      <c r="AB263" t="s">
        <v>74</v>
      </c>
      <c r="AC263" t="s">
        <v>74</v>
      </c>
      <c r="AD263" t="s">
        <v>74</v>
      </c>
      <c r="AE263" t="s">
        <v>74</v>
      </c>
      <c r="AF263" t="s">
        <v>74</v>
      </c>
      <c r="AG263">
        <v>206</v>
      </c>
      <c r="AH263">
        <v>0</v>
      </c>
      <c r="AI263">
        <v>0</v>
      </c>
      <c r="AJ263">
        <v>17</v>
      </c>
      <c r="AK263">
        <v>20</v>
      </c>
      <c r="AL263" t="s">
        <v>5368</v>
      </c>
      <c r="AM263" t="s">
        <v>511</v>
      </c>
      <c r="AN263" t="s">
        <v>5369</v>
      </c>
      <c r="AO263" t="s">
        <v>5370</v>
      </c>
      <c r="AP263" t="s">
        <v>74</v>
      </c>
      <c r="AQ263" t="s">
        <v>74</v>
      </c>
      <c r="AR263" t="s">
        <v>5371</v>
      </c>
      <c r="AS263" t="s">
        <v>5372</v>
      </c>
      <c r="AT263" t="s">
        <v>4689</v>
      </c>
      <c r="AU263">
        <v>2023</v>
      </c>
      <c r="AV263">
        <v>66</v>
      </c>
      <c r="AW263">
        <v>8</v>
      </c>
      <c r="AX263" t="s">
        <v>74</v>
      </c>
      <c r="AY263" t="s">
        <v>74</v>
      </c>
      <c r="AZ263" t="s">
        <v>74</v>
      </c>
      <c r="BA263" t="s">
        <v>74</v>
      </c>
      <c r="BB263">
        <v>3115</v>
      </c>
      <c r="BC263">
        <v>3143</v>
      </c>
      <c r="BD263" t="s">
        <v>74</v>
      </c>
      <c r="BE263" t="s">
        <v>5373</v>
      </c>
      <c r="BF263" t="str">
        <f>HYPERLINK("http://dx.doi.org/10.6038/cjg2022Q0213","http://dx.doi.org/10.6038/cjg2022Q0213")</f>
        <v>http://dx.doi.org/10.6038/cjg2022Q0213</v>
      </c>
      <c r="BG263" t="s">
        <v>74</v>
      </c>
      <c r="BH263" t="s">
        <v>74</v>
      </c>
      <c r="BI263">
        <v>29</v>
      </c>
      <c r="BJ263" t="s">
        <v>597</v>
      </c>
      <c r="BK263" t="s">
        <v>104</v>
      </c>
      <c r="BL263" t="s">
        <v>597</v>
      </c>
      <c r="BM263" t="s">
        <v>5374</v>
      </c>
      <c r="BN263" t="s">
        <v>74</v>
      </c>
      <c r="BO263" t="s">
        <v>74</v>
      </c>
      <c r="BP263" t="s">
        <v>74</v>
      </c>
      <c r="BQ263" t="s">
        <v>74</v>
      </c>
      <c r="BR263" t="s">
        <v>107</v>
      </c>
      <c r="BS263" t="s">
        <v>5375</v>
      </c>
      <c r="BT263" t="str">
        <f>HYPERLINK("https%3A%2F%2Fwww.webofscience.com%2Fwos%2Fwoscc%2Ffull-record%2FWOS:001045501300001","View Full Record in Web of Science")</f>
        <v>View Full Record in Web of Science</v>
      </c>
    </row>
    <row r="264" spans="1:72" x14ac:dyDescent="0.15">
      <c r="A264" t="s">
        <v>72</v>
      </c>
      <c r="B264" t="s">
        <v>5376</v>
      </c>
      <c r="C264" t="s">
        <v>74</v>
      </c>
      <c r="D264" t="s">
        <v>74</v>
      </c>
      <c r="E264" t="s">
        <v>74</v>
      </c>
      <c r="F264" t="s">
        <v>5377</v>
      </c>
      <c r="G264" t="s">
        <v>74</v>
      </c>
      <c r="H264" t="s">
        <v>74</v>
      </c>
      <c r="I264" t="s">
        <v>5378</v>
      </c>
      <c r="J264" t="s">
        <v>5379</v>
      </c>
      <c r="K264" t="s">
        <v>74</v>
      </c>
      <c r="L264" t="s">
        <v>74</v>
      </c>
      <c r="M264" t="s">
        <v>78</v>
      </c>
      <c r="N264" t="s">
        <v>79</v>
      </c>
      <c r="O264" t="s">
        <v>74</v>
      </c>
      <c r="P264" t="s">
        <v>74</v>
      </c>
      <c r="Q264" t="s">
        <v>74</v>
      </c>
      <c r="R264" t="s">
        <v>74</v>
      </c>
      <c r="S264" t="s">
        <v>74</v>
      </c>
      <c r="T264" t="s">
        <v>5380</v>
      </c>
      <c r="U264" t="s">
        <v>5381</v>
      </c>
      <c r="V264" t="s">
        <v>5382</v>
      </c>
      <c r="W264" t="s">
        <v>5383</v>
      </c>
      <c r="X264" t="s">
        <v>5384</v>
      </c>
      <c r="Y264" t="s">
        <v>5385</v>
      </c>
      <c r="Z264" t="s">
        <v>5386</v>
      </c>
      <c r="AA264" t="s">
        <v>74</v>
      </c>
      <c r="AB264" t="s">
        <v>5387</v>
      </c>
      <c r="AC264" t="s">
        <v>5388</v>
      </c>
      <c r="AD264" t="s">
        <v>5388</v>
      </c>
      <c r="AE264" t="s">
        <v>5388</v>
      </c>
      <c r="AF264" t="s">
        <v>74</v>
      </c>
      <c r="AG264">
        <v>77</v>
      </c>
      <c r="AH264">
        <v>0</v>
      </c>
      <c r="AI264">
        <v>0</v>
      </c>
      <c r="AJ264">
        <v>2</v>
      </c>
      <c r="AK264">
        <v>6</v>
      </c>
      <c r="AL264" t="s">
        <v>369</v>
      </c>
      <c r="AM264" t="s">
        <v>370</v>
      </c>
      <c r="AN264" t="s">
        <v>371</v>
      </c>
      <c r="AO264" t="s">
        <v>74</v>
      </c>
      <c r="AP264" t="s">
        <v>5389</v>
      </c>
      <c r="AQ264" t="s">
        <v>74</v>
      </c>
      <c r="AR264" t="s">
        <v>5390</v>
      </c>
      <c r="AS264" t="s">
        <v>5391</v>
      </c>
      <c r="AT264" t="s">
        <v>4689</v>
      </c>
      <c r="AU264">
        <v>2023</v>
      </c>
      <c r="AV264">
        <v>11</v>
      </c>
      <c r="AW264">
        <v>8</v>
      </c>
      <c r="AX264" t="s">
        <v>74</v>
      </c>
      <c r="AY264" t="s">
        <v>74</v>
      </c>
      <c r="AZ264" t="s">
        <v>74</v>
      </c>
      <c r="BA264" t="s">
        <v>74</v>
      </c>
      <c r="BB264" t="s">
        <v>74</v>
      </c>
      <c r="BC264" t="s">
        <v>74</v>
      </c>
      <c r="BD264">
        <v>1515</v>
      </c>
      <c r="BE264" t="s">
        <v>5392</v>
      </c>
      <c r="BF264" t="str">
        <f>HYPERLINK("http://dx.doi.org/10.3390/jmse11081515","http://dx.doi.org/10.3390/jmse11081515")</f>
        <v>http://dx.doi.org/10.3390/jmse11081515</v>
      </c>
      <c r="BG264" t="s">
        <v>74</v>
      </c>
      <c r="BH264" t="s">
        <v>74</v>
      </c>
      <c r="BI264">
        <v>16</v>
      </c>
      <c r="BJ264" t="s">
        <v>5393</v>
      </c>
      <c r="BK264" t="s">
        <v>104</v>
      </c>
      <c r="BL264" t="s">
        <v>5394</v>
      </c>
      <c r="BM264" t="s">
        <v>5395</v>
      </c>
      <c r="BN264" t="s">
        <v>74</v>
      </c>
      <c r="BO264" t="s">
        <v>206</v>
      </c>
      <c r="BP264" t="s">
        <v>74</v>
      </c>
      <c r="BQ264" t="s">
        <v>74</v>
      </c>
      <c r="BR264" t="s">
        <v>107</v>
      </c>
      <c r="BS264" t="s">
        <v>5396</v>
      </c>
      <c r="BT264" t="str">
        <f>HYPERLINK("https%3A%2F%2Fwww.webofscience.com%2Fwos%2Fwoscc%2Ffull-record%2FWOS:001057027800001","View Full Record in Web of Science")</f>
        <v>View Full Record in Web of Science</v>
      </c>
    </row>
    <row r="265" spans="1:72" x14ac:dyDescent="0.15">
      <c r="A265" t="s">
        <v>72</v>
      </c>
      <c r="B265" t="s">
        <v>5397</v>
      </c>
      <c r="C265" t="s">
        <v>74</v>
      </c>
      <c r="D265" t="s">
        <v>74</v>
      </c>
      <c r="E265" t="s">
        <v>74</v>
      </c>
      <c r="F265" t="s">
        <v>5398</v>
      </c>
      <c r="G265" t="s">
        <v>74</v>
      </c>
      <c r="H265" t="s">
        <v>74</v>
      </c>
      <c r="I265" t="s">
        <v>5399</v>
      </c>
      <c r="J265" t="s">
        <v>5400</v>
      </c>
      <c r="K265" t="s">
        <v>74</v>
      </c>
      <c r="L265" t="s">
        <v>74</v>
      </c>
      <c r="M265" t="s">
        <v>78</v>
      </c>
      <c r="N265" t="s">
        <v>79</v>
      </c>
      <c r="O265" t="s">
        <v>74</v>
      </c>
      <c r="P265" t="s">
        <v>74</v>
      </c>
      <c r="Q265" t="s">
        <v>74</v>
      </c>
      <c r="R265" t="s">
        <v>74</v>
      </c>
      <c r="S265" t="s">
        <v>74</v>
      </c>
      <c r="T265" t="s">
        <v>5401</v>
      </c>
      <c r="U265" t="s">
        <v>5402</v>
      </c>
      <c r="V265" t="s">
        <v>5403</v>
      </c>
      <c r="W265" t="s">
        <v>5404</v>
      </c>
      <c r="X265" t="s">
        <v>5405</v>
      </c>
      <c r="Y265" t="s">
        <v>5406</v>
      </c>
      <c r="Z265" t="s">
        <v>5407</v>
      </c>
      <c r="AA265" t="s">
        <v>5408</v>
      </c>
      <c r="AB265" t="s">
        <v>5409</v>
      </c>
      <c r="AC265" t="s">
        <v>5410</v>
      </c>
      <c r="AD265" t="s">
        <v>5411</v>
      </c>
      <c r="AE265" t="s">
        <v>5412</v>
      </c>
      <c r="AF265" t="s">
        <v>74</v>
      </c>
      <c r="AG265">
        <v>85</v>
      </c>
      <c r="AH265">
        <v>0</v>
      </c>
      <c r="AI265">
        <v>0</v>
      </c>
      <c r="AJ265">
        <v>1</v>
      </c>
      <c r="AK265">
        <v>2</v>
      </c>
      <c r="AL265" t="s">
        <v>369</v>
      </c>
      <c r="AM265" t="s">
        <v>370</v>
      </c>
      <c r="AN265" t="s">
        <v>371</v>
      </c>
      <c r="AO265" t="s">
        <v>74</v>
      </c>
      <c r="AP265" t="s">
        <v>5413</v>
      </c>
      <c r="AQ265" t="s">
        <v>74</v>
      </c>
      <c r="AR265" t="s">
        <v>5400</v>
      </c>
      <c r="AS265" t="s">
        <v>5414</v>
      </c>
      <c r="AT265" t="s">
        <v>4689</v>
      </c>
      <c r="AU265">
        <v>2023</v>
      </c>
      <c r="AV265">
        <v>11</v>
      </c>
      <c r="AW265">
        <v>8</v>
      </c>
      <c r="AX265" t="s">
        <v>74</v>
      </c>
      <c r="AY265" t="s">
        <v>74</v>
      </c>
      <c r="AZ265" t="s">
        <v>74</v>
      </c>
      <c r="BA265" t="s">
        <v>74</v>
      </c>
      <c r="BB265" t="s">
        <v>74</v>
      </c>
      <c r="BC265" t="s">
        <v>74</v>
      </c>
      <c r="BD265">
        <v>2402</v>
      </c>
      <c r="BE265" t="s">
        <v>5415</v>
      </c>
      <c r="BF265" t="str">
        <f>HYPERLINK("http://dx.doi.org/10.3390/pr11082402","http://dx.doi.org/10.3390/pr11082402")</f>
        <v>http://dx.doi.org/10.3390/pr11082402</v>
      </c>
      <c r="BG265" t="s">
        <v>74</v>
      </c>
      <c r="BH265" t="s">
        <v>74</v>
      </c>
      <c r="BI265">
        <v>16</v>
      </c>
      <c r="BJ265" t="s">
        <v>5416</v>
      </c>
      <c r="BK265" t="s">
        <v>104</v>
      </c>
      <c r="BL265" t="s">
        <v>325</v>
      </c>
      <c r="BM265" t="s">
        <v>5417</v>
      </c>
      <c r="BN265" t="s">
        <v>74</v>
      </c>
      <c r="BO265" t="s">
        <v>206</v>
      </c>
      <c r="BP265" t="s">
        <v>74</v>
      </c>
      <c r="BQ265" t="s">
        <v>74</v>
      </c>
      <c r="BR265" t="s">
        <v>107</v>
      </c>
      <c r="BS265" t="s">
        <v>5418</v>
      </c>
      <c r="BT265" t="str">
        <f>HYPERLINK("https%3A%2F%2Fwww.webofscience.com%2Fwos%2Fwoscc%2Ffull-record%2FWOS:001056229800001","View Full Record in Web of Science")</f>
        <v>View Full Record in Web of Science</v>
      </c>
    </row>
    <row r="266" spans="1:72" x14ac:dyDescent="0.15">
      <c r="A266" t="s">
        <v>72</v>
      </c>
      <c r="B266" t="s">
        <v>5419</v>
      </c>
      <c r="C266" t="s">
        <v>74</v>
      </c>
      <c r="D266" t="s">
        <v>74</v>
      </c>
      <c r="E266" t="s">
        <v>74</v>
      </c>
      <c r="F266" t="s">
        <v>5420</v>
      </c>
      <c r="G266" t="s">
        <v>74</v>
      </c>
      <c r="H266" t="s">
        <v>74</v>
      </c>
      <c r="I266" t="s">
        <v>5421</v>
      </c>
      <c r="J266" t="s">
        <v>1031</v>
      </c>
      <c r="K266" t="s">
        <v>74</v>
      </c>
      <c r="L266" t="s">
        <v>74</v>
      </c>
      <c r="M266" t="s">
        <v>78</v>
      </c>
      <c r="N266" t="s">
        <v>79</v>
      </c>
      <c r="O266" t="s">
        <v>74</v>
      </c>
      <c r="P266" t="s">
        <v>74</v>
      </c>
      <c r="Q266" t="s">
        <v>74</v>
      </c>
      <c r="R266" t="s">
        <v>74</v>
      </c>
      <c r="S266" t="s">
        <v>74</v>
      </c>
      <c r="T266" t="s">
        <v>5422</v>
      </c>
      <c r="U266" t="s">
        <v>5423</v>
      </c>
      <c r="V266" t="s">
        <v>5424</v>
      </c>
      <c r="W266" t="s">
        <v>5425</v>
      </c>
      <c r="X266" t="s">
        <v>5426</v>
      </c>
      <c r="Y266" t="s">
        <v>5427</v>
      </c>
      <c r="Z266" t="s">
        <v>5428</v>
      </c>
      <c r="AA266" t="s">
        <v>5429</v>
      </c>
      <c r="AB266" t="s">
        <v>5430</v>
      </c>
      <c r="AC266" t="s">
        <v>5431</v>
      </c>
      <c r="AD266" t="s">
        <v>5431</v>
      </c>
      <c r="AE266" t="s">
        <v>5432</v>
      </c>
      <c r="AF266" t="s">
        <v>74</v>
      </c>
      <c r="AG266">
        <v>87</v>
      </c>
      <c r="AH266">
        <v>0</v>
      </c>
      <c r="AI266">
        <v>0</v>
      </c>
      <c r="AJ266">
        <v>5</v>
      </c>
      <c r="AK266">
        <v>5</v>
      </c>
      <c r="AL266" t="s">
        <v>369</v>
      </c>
      <c r="AM266" t="s">
        <v>370</v>
      </c>
      <c r="AN266" t="s">
        <v>371</v>
      </c>
      <c r="AO266" t="s">
        <v>74</v>
      </c>
      <c r="AP266" t="s">
        <v>1042</v>
      </c>
      <c r="AQ266" t="s">
        <v>74</v>
      </c>
      <c r="AR266" t="s">
        <v>1031</v>
      </c>
      <c r="AS266" t="s">
        <v>1043</v>
      </c>
      <c r="AT266" t="s">
        <v>4689</v>
      </c>
      <c r="AU266">
        <v>2023</v>
      </c>
      <c r="AV266">
        <v>12</v>
      </c>
      <c r="AW266">
        <v>8</v>
      </c>
      <c r="AX266" t="s">
        <v>74</v>
      </c>
      <c r="AY266" t="s">
        <v>74</v>
      </c>
      <c r="AZ266" t="s">
        <v>74</v>
      </c>
      <c r="BA266" t="s">
        <v>74</v>
      </c>
      <c r="BB266" t="s">
        <v>74</v>
      </c>
      <c r="BC266" t="s">
        <v>74</v>
      </c>
      <c r="BD266">
        <v>1135</v>
      </c>
      <c r="BE266" t="s">
        <v>5433</v>
      </c>
      <c r="BF266" t="str">
        <f>HYPERLINK("http://dx.doi.org/10.3390/biology12081135","http://dx.doi.org/10.3390/biology12081135")</f>
        <v>http://dx.doi.org/10.3390/biology12081135</v>
      </c>
      <c r="BG266" t="s">
        <v>74</v>
      </c>
      <c r="BH266" t="s">
        <v>74</v>
      </c>
      <c r="BI266">
        <v>22</v>
      </c>
      <c r="BJ266" t="s">
        <v>1045</v>
      </c>
      <c r="BK266" t="s">
        <v>104</v>
      </c>
      <c r="BL266" t="s">
        <v>1046</v>
      </c>
      <c r="BM266" t="s">
        <v>5434</v>
      </c>
      <c r="BN266">
        <v>37627019</v>
      </c>
      <c r="BO266" t="s">
        <v>821</v>
      </c>
      <c r="BP266" t="s">
        <v>74</v>
      </c>
      <c r="BQ266" t="s">
        <v>74</v>
      </c>
      <c r="BR266" t="s">
        <v>107</v>
      </c>
      <c r="BS266" t="s">
        <v>5435</v>
      </c>
      <c r="BT266" t="str">
        <f>HYPERLINK("https%3A%2F%2Fwww.webofscience.com%2Fwos%2Fwoscc%2Ffull-record%2FWOS:001055732800001","View Full Record in Web of Science")</f>
        <v>View Full Record in Web of Science</v>
      </c>
    </row>
    <row r="267" spans="1:72" x14ac:dyDescent="0.15">
      <c r="A267" t="s">
        <v>72</v>
      </c>
      <c r="B267" t="s">
        <v>5436</v>
      </c>
      <c r="C267" t="s">
        <v>74</v>
      </c>
      <c r="D267" t="s">
        <v>74</v>
      </c>
      <c r="E267" t="s">
        <v>74</v>
      </c>
      <c r="F267" t="s">
        <v>5437</v>
      </c>
      <c r="G267" t="s">
        <v>74</v>
      </c>
      <c r="H267" t="s">
        <v>74</v>
      </c>
      <c r="I267" t="s">
        <v>5438</v>
      </c>
      <c r="J267" t="s">
        <v>5439</v>
      </c>
      <c r="K267" t="s">
        <v>74</v>
      </c>
      <c r="L267" t="s">
        <v>74</v>
      </c>
      <c r="M267" t="s">
        <v>78</v>
      </c>
      <c r="N267" t="s">
        <v>79</v>
      </c>
      <c r="O267" t="s">
        <v>74</v>
      </c>
      <c r="P267" t="s">
        <v>74</v>
      </c>
      <c r="Q267" t="s">
        <v>74</v>
      </c>
      <c r="R267" t="s">
        <v>74</v>
      </c>
      <c r="S267" t="s">
        <v>74</v>
      </c>
      <c r="T267" t="s">
        <v>5440</v>
      </c>
      <c r="U267" t="s">
        <v>5441</v>
      </c>
      <c r="V267" t="s">
        <v>5442</v>
      </c>
      <c r="W267" t="s">
        <v>5443</v>
      </c>
      <c r="X267" t="s">
        <v>74</v>
      </c>
      <c r="Y267" t="s">
        <v>5444</v>
      </c>
      <c r="Z267" t="s">
        <v>5445</v>
      </c>
      <c r="AA267" t="s">
        <v>74</v>
      </c>
      <c r="AB267" t="s">
        <v>74</v>
      </c>
      <c r="AC267" t="s">
        <v>74</v>
      </c>
      <c r="AD267" t="s">
        <v>74</v>
      </c>
      <c r="AE267" t="s">
        <v>74</v>
      </c>
      <c r="AF267" t="s">
        <v>74</v>
      </c>
      <c r="AG267">
        <v>60</v>
      </c>
      <c r="AH267">
        <v>1</v>
      </c>
      <c r="AI267">
        <v>1</v>
      </c>
      <c r="AJ267">
        <v>1</v>
      </c>
      <c r="AK267">
        <v>1</v>
      </c>
      <c r="AL267" t="s">
        <v>369</v>
      </c>
      <c r="AM267" t="s">
        <v>370</v>
      </c>
      <c r="AN267" t="s">
        <v>371</v>
      </c>
      <c r="AO267" t="s">
        <v>74</v>
      </c>
      <c r="AP267" t="s">
        <v>5446</v>
      </c>
      <c r="AQ267" t="s">
        <v>74</v>
      </c>
      <c r="AR267" t="s">
        <v>5439</v>
      </c>
      <c r="AS267" t="s">
        <v>5447</v>
      </c>
      <c r="AT267" t="s">
        <v>4689</v>
      </c>
      <c r="AU267">
        <v>2023</v>
      </c>
      <c r="AV267">
        <v>15</v>
      </c>
      <c r="AW267">
        <v>8</v>
      </c>
      <c r="AX267" t="s">
        <v>74</v>
      </c>
      <c r="AY267" t="s">
        <v>74</v>
      </c>
      <c r="AZ267" t="s">
        <v>74</v>
      </c>
      <c r="BA267" t="s">
        <v>74</v>
      </c>
      <c r="BB267" t="s">
        <v>74</v>
      </c>
      <c r="BC267" t="s">
        <v>74</v>
      </c>
      <c r="BD267">
        <v>899</v>
      </c>
      <c r="BE267" t="s">
        <v>5448</v>
      </c>
      <c r="BF267" t="str">
        <f>HYPERLINK("http://dx.doi.org/10.3390/d15080899","http://dx.doi.org/10.3390/d15080899")</f>
        <v>http://dx.doi.org/10.3390/d15080899</v>
      </c>
      <c r="BG267" t="s">
        <v>74</v>
      </c>
      <c r="BH267" t="s">
        <v>74</v>
      </c>
      <c r="BI267">
        <v>22</v>
      </c>
      <c r="BJ267" t="s">
        <v>3772</v>
      </c>
      <c r="BK267" t="s">
        <v>104</v>
      </c>
      <c r="BL267" t="s">
        <v>1905</v>
      </c>
      <c r="BM267" t="s">
        <v>5449</v>
      </c>
      <c r="BN267" t="s">
        <v>74</v>
      </c>
      <c r="BO267" t="s">
        <v>206</v>
      </c>
      <c r="BP267" t="s">
        <v>74</v>
      </c>
      <c r="BQ267" t="s">
        <v>74</v>
      </c>
      <c r="BR267" t="s">
        <v>107</v>
      </c>
      <c r="BS267" t="s">
        <v>5450</v>
      </c>
      <c r="BT267" t="str">
        <f>HYPERLINK("https%3A%2F%2Fwww.webofscience.com%2Fwos%2Fwoscc%2Ffull-record%2FWOS:001055879700001","View Full Record in Web of Science")</f>
        <v>View Full Record in Web of Science</v>
      </c>
    </row>
    <row r="268" spans="1:72" x14ac:dyDescent="0.15">
      <c r="A268" t="s">
        <v>72</v>
      </c>
      <c r="B268" t="s">
        <v>5451</v>
      </c>
      <c r="C268" t="s">
        <v>74</v>
      </c>
      <c r="D268" t="s">
        <v>74</v>
      </c>
      <c r="E268" t="s">
        <v>74</v>
      </c>
      <c r="F268" t="s">
        <v>5452</v>
      </c>
      <c r="G268" t="s">
        <v>74</v>
      </c>
      <c r="H268" t="s">
        <v>74</v>
      </c>
      <c r="I268" t="s">
        <v>5453</v>
      </c>
      <c r="J268" t="s">
        <v>5232</v>
      </c>
      <c r="K268" t="s">
        <v>74</v>
      </c>
      <c r="L268" t="s">
        <v>74</v>
      </c>
      <c r="M268" t="s">
        <v>78</v>
      </c>
      <c r="N268" t="s">
        <v>79</v>
      </c>
      <c r="O268" t="s">
        <v>74</v>
      </c>
      <c r="P268" t="s">
        <v>74</v>
      </c>
      <c r="Q268" t="s">
        <v>74</v>
      </c>
      <c r="R268" t="s">
        <v>74</v>
      </c>
      <c r="S268" t="s">
        <v>74</v>
      </c>
      <c r="T268" t="s">
        <v>5454</v>
      </c>
      <c r="U268" t="s">
        <v>5455</v>
      </c>
      <c r="V268" t="s">
        <v>5456</v>
      </c>
      <c r="W268" t="s">
        <v>5457</v>
      </c>
      <c r="X268" t="s">
        <v>5458</v>
      </c>
      <c r="Y268" t="s">
        <v>5459</v>
      </c>
      <c r="Z268" t="s">
        <v>5460</v>
      </c>
      <c r="AA268" t="s">
        <v>74</v>
      </c>
      <c r="AB268" t="s">
        <v>5461</v>
      </c>
      <c r="AC268" t="s">
        <v>5462</v>
      </c>
      <c r="AD268" t="s">
        <v>5463</v>
      </c>
      <c r="AE268" t="s">
        <v>5464</v>
      </c>
      <c r="AF268" t="s">
        <v>74</v>
      </c>
      <c r="AG268">
        <v>42</v>
      </c>
      <c r="AH268">
        <v>0</v>
      </c>
      <c r="AI268">
        <v>0</v>
      </c>
      <c r="AJ268">
        <v>1</v>
      </c>
      <c r="AK268">
        <v>4</v>
      </c>
      <c r="AL268" t="s">
        <v>369</v>
      </c>
      <c r="AM268" t="s">
        <v>370</v>
      </c>
      <c r="AN268" t="s">
        <v>371</v>
      </c>
      <c r="AO268" t="s">
        <v>74</v>
      </c>
      <c r="AP268" t="s">
        <v>5242</v>
      </c>
      <c r="AQ268" t="s">
        <v>74</v>
      </c>
      <c r="AR268" t="s">
        <v>5243</v>
      </c>
      <c r="AS268" t="s">
        <v>5244</v>
      </c>
      <c r="AT268" t="s">
        <v>4689</v>
      </c>
      <c r="AU268">
        <v>2023</v>
      </c>
      <c r="AV268">
        <v>7</v>
      </c>
      <c r="AW268">
        <v>8</v>
      </c>
      <c r="AX268" t="s">
        <v>74</v>
      </c>
      <c r="AY268" t="s">
        <v>74</v>
      </c>
      <c r="AZ268" t="s">
        <v>74</v>
      </c>
      <c r="BA268" t="s">
        <v>74</v>
      </c>
      <c r="BB268" t="s">
        <v>74</v>
      </c>
      <c r="BC268" t="s">
        <v>74</v>
      </c>
      <c r="BD268">
        <v>532</v>
      </c>
      <c r="BE268" t="s">
        <v>5465</v>
      </c>
      <c r="BF268" t="str">
        <f>HYPERLINK("http://dx.doi.org/10.3390/drones7080532","http://dx.doi.org/10.3390/drones7080532")</f>
        <v>http://dx.doi.org/10.3390/drones7080532</v>
      </c>
      <c r="BG268" t="s">
        <v>74</v>
      </c>
      <c r="BH268" t="s">
        <v>74</v>
      </c>
      <c r="BI268">
        <v>23</v>
      </c>
      <c r="BJ268" t="s">
        <v>5246</v>
      </c>
      <c r="BK268" t="s">
        <v>104</v>
      </c>
      <c r="BL268" t="s">
        <v>5246</v>
      </c>
      <c r="BM268" t="s">
        <v>5466</v>
      </c>
      <c r="BN268" t="s">
        <v>74</v>
      </c>
      <c r="BO268" t="s">
        <v>181</v>
      </c>
      <c r="BP268" t="s">
        <v>74</v>
      </c>
      <c r="BQ268" t="s">
        <v>74</v>
      </c>
      <c r="BR268" t="s">
        <v>107</v>
      </c>
      <c r="BS268" t="s">
        <v>5467</v>
      </c>
      <c r="BT268" t="str">
        <f>HYPERLINK("https%3A%2F%2Fwww.webofscience.com%2Fwos%2Fwoscc%2Ffull-record%2FWOS:001055647100001","View Full Record in Web of Science")</f>
        <v>View Full Record in Web of Science</v>
      </c>
    </row>
    <row r="269" spans="1:72" x14ac:dyDescent="0.15">
      <c r="A269" t="s">
        <v>72</v>
      </c>
      <c r="B269" t="s">
        <v>5468</v>
      </c>
      <c r="C269" t="s">
        <v>74</v>
      </c>
      <c r="D269" t="s">
        <v>74</v>
      </c>
      <c r="E269" t="s">
        <v>74</v>
      </c>
      <c r="F269" t="s">
        <v>5469</v>
      </c>
      <c r="G269" t="s">
        <v>74</v>
      </c>
      <c r="H269" t="s">
        <v>74</v>
      </c>
      <c r="I269" t="s">
        <v>5470</v>
      </c>
      <c r="J269" t="s">
        <v>687</v>
      </c>
      <c r="K269" t="s">
        <v>74</v>
      </c>
      <c r="L269" t="s">
        <v>74</v>
      </c>
      <c r="M269" t="s">
        <v>78</v>
      </c>
      <c r="N269" t="s">
        <v>79</v>
      </c>
      <c r="O269" t="s">
        <v>74</v>
      </c>
      <c r="P269" t="s">
        <v>74</v>
      </c>
      <c r="Q269" t="s">
        <v>74</v>
      </c>
      <c r="R269" t="s">
        <v>74</v>
      </c>
      <c r="S269" t="s">
        <v>74</v>
      </c>
      <c r="T269" t="s">
        <v>5471</v>
      </c>
      <c r="U269" t="s">
        <v>5472</v>
      </c>
      <c r="V269" t="s">
        <v>5473</v>
      </c>
      <c r="W269" t="s">
        <v>5474</v>
      </c>
      <c r="X269" t="s">
        <v>5475</v>
      </c>
      <c r="Y269" t="s">
        <v>5476</v>
      </c>
      <c r="Z269" t="s">
        <v>5477</v>
      </c>
      <c r="AA269" t="s">
        <v>5478</v>
      </c>
      <c r="AB269" t="s">
        <v>5479</v>
      </c>
      <c r="AC269" t="s">
        <v>5480</v>
      </c>
      <c r="AD269" t="s">
        <v>5480</v>
      </c>
      <c r="AE269" t="s">
        <v>5480</v>
      </c>
      <c r="AF269" t="s">
        <v>74</v>
      </c>
      <c r="AG269">
        <v>23</v>
      </c>
      <c r="AH269">
        <v>0</v>
      </c>
      <c r="AI269">
        <v>0</v>
      </c>
      <c r="AJ269">
        <v>9</v>
      </c>
      <c r="AK269">
        <v>11</v>
      </c>
      <c r="AL269" t="s">
        <v>369</v>
      </c>
      <c r="AM269" t="s">
        <v>370</v>
      </c>
      <c r="AN269" t="s">
        <v>371</v>
      </c>
      <c r="AO269" t="s">
        <v>74</v>
      </c>
      <c r="AP269" t="s">
        <v>699</v>
      </c>
      <c r="AQ269" t="s">
        <v>74</v>
      </c>
      <c r="AR269" t="s">
        <v>687</v>
      </c>
      <c r="AS269" t="s">
        <v>700</v>
      </c>
      <c r="AT269" t="s">
        <v>4689</v>
      </c>
      <c r="AU269">
        <v>2023</v>
      </c>
      <c r="AV269">
        <v>11</v>
      </c>
      <c r="AW269">
        <v>8</v>
      </c>
      <c r="AX269" t="s">
        <v>74</v>
      </c>
      <c r="AY269" t="s">
        <v>74</v>
      </c>
      <c r="AZ269" t="s">
        <v>74</v>
      </c>
      <c r="BA269" t="s">
        <v>74</v>
      </c>
      <c r="BB269" t="s">
        <v>74</v>
      </c>
      <c r="BC269" t="s">
        <v>74</v>
      </c>
      <c r="BD269">
        <v>1932</v>
      </c>
      <c r="BE269" t="s">
        <v>5481</v>
      </c>
      <c r="BF269" t="str">
        <f>HYPERLINK("http://dx.doi.org/10.3390/microorganisms11081932","http://dx.doi.org/10.3390/microorganisms11081932")</f>
        <v>http://dx.doi.org/10.3390/microorganisms11081932</v>
      </c>
      <c r="BG269" t="s">
        <v>74</v>
      </c>
      <c r="BH269" t="s">
        <v>74</v>
      </c>
      <c r="BI269">
        <v>5</v>
      </c>
      <c r="BJ269" t="s">
        <v>702</v>
      </c>
      <c r="BK269" t="s">
        <v>104</v>
      </c>
      <c r="BL269" t="s">
        <v>702</v>
      </c>
      <c r="BM269" t="s">
        <v>5482</v>
      </c>
      <c r="BN269">
        <v>37630492</v>
      </c>
      <c r="BO269" t="s">
        <v>821</v>
      </c>
      <c r="BP269" t="s">
        <v>74</v>
      </c>
      <c r="BQ269" t="s">
        <v>74</v>
      </c>
      <c r="BR269" t="s">
        <v>107</v>
      </c>
      <c r="BS269" t="s">
        <v>5483</v>
      </c>
      <c r="BT269" t="str">
        <f>HYPERLINK("https%3A%2F%2Fwww.webofscience.com%2Fwos%2Fwoscc%2Ffull-record%2FWOS:001056020500001","View Full Record in Web of Science")</f>
        <v>View Full Record in Web of Science</v>
      </c>
    </row>
    <row r="270" spans="1:72" x14ac:dyDescent="0.15">
      <c r="A270" t="s">
        <v>72</v>
      </c>
      <c r="B270" t="s">
        <v>5484</v>
      </c>
      <c r="C270" t="s">
        <v>74</v>
      </c>
      <c r="D270" t="s">
        <v>74</v>
      </c>
      <c r="E270" t="s">
        <v>74</v>
      </c>
      <c r="F270" t="s">
        <v>5485</v>
      </c>
      <c r="G270" t="s">
        <v>74</v>
      </c>
      <c r="H270" t="s">
        <v>74</v>
      </c>
      <c r="I270" t="s">
        <v>5486</v>
      </c>
      <c r="J270" t="s">
        <v>708</v>
      </c>
      <c r="K270" t="s">
        <v>74</v>
      </c>
      <c r="L270" t="s">
        <v>74</v>
      </c>
      <c r="M270" t="s">
        <v>78</v>
      </c>
      <c r="N270" t="s">
        <v>79</v>
      </c>
      <c r="O270" t="s">
        <v>74</v>
      </c>
      <c r="P270" t="s">
        <v>74</v>
      </c>
      <c r="Q270" t="s">
        <v>74</v>
      </c>
      <c r="R270" t="s">
        <v>74</v>
      </c>
      <c r="S270" t="s">
        <v>74</v>
      </c>
      <c r="T270" t="s">
        <v>5487</v>
      </c>
      <c r="U270" t="s">
        <v>5488</v>
      </c>
      <c r="V270" t="s">
        <v>5489</v>
      </c>
      <c r="W270" t="s">
        <v>5490</v>
      </c>
      <c r="X270" t="s">
        <v>5491</v>
      </c>
      <c r="Y270" t="s">
        <v>5492</v>
      </c>
      <c r="Z270" t="s">
        <v>5493</v>
      </c>
      <c r="AA270" t="s">
        <v>74</v>
      </c>
      <c r="AB270" t="s">
        <v>5494</v>
      </c>
      <c r="AC270" t="s">
        <v>5495</v>
      </c>
      <c r="AD270" t="s">
        <v>5495</v>
      </c>
      <c r="AE270" t="s">
        <v>5496</v>
      </c>
      <c r="AF270" t="s">
        <v>74</v>
      </c>
      <c r="AG270">
        <v>51</v>
      </c>
      <c r="AH270">
        <v>0</v>
      </c>
      <c r="AI270">
        <v>0</v>
      </c>
      <c r="AJ270">
        <v>2</v>
      </c>
      <c r="AK270">
        <v>4</v>
      </c>
      <c r="AL270" t="s">
        <v>369</v>
      </c>
      <c r="AM270" t="s">
        <v>370</v>
      </c>
      <c r="AN270" t="s">
        <v>371</v>
      </c>
      <c r="AO270" t="s">
        <v>74</v>
      </c>
      <c r="AP270" t="s">
        <v>720</v>
      </c>
      <c r="AQ270" t="s">
        <v>74</v>
      </c>
      <c r="AR270" t="s">
        <v>721</v>
      </c>
      <c r="AS270" t="s">
        <v>722</v>
      </c>
      <c r="AT270" t="s">
        <v>4689</v>
      </c>
      <c r="AU270">
        <v>2023</v>
      </c>
      <c r="AV270">
        <v>15</v>
      </c>
      <c r="AW270">
        <v>16</v>
      </c>
      <c r="AX270" t="s">
        <v>74</v>
      </c>
      <c r="AY270" t="s">
        <v>74</v>
      </c>
      <c r="AZ270" t="s">
        <v>74</v>
      </c>
      <c r="BA270" t="s">
        <v>74</v>
      </c>
      <c r="BB270" t="s">
        <v>74</v>
      </c>
      <c r="BC270" t="s">
        <v>74</v>
      </c>
      <c r="BD270">
        <v>4054</v>
      </c>
      <c r="BE270" t="s">
        <v>5497</v>
      </c>
      <c r="BF270" t="str">
        <f>HYPERLINK("http://dx.doi.org/10.3390/rs15164054","http://dx.doi.org/10.3390/rs15164054")</f>
        <v>http://dx.doi.org/10.3390/rs15164054</v>
      </c>
      <c r="BG270" t="s">
        <v>74</v>
      </c>
      <c r="BH270" t="s">
        <v>74</v>
      </c>
      <c r="BI270">
        <v>20</v>
      </c>
      <c r="BJ270" t="s">
        <v>724</v>
      </c>
      <c r="BK270" t="s">
        <v>104</v>
      </c>
      <c r="BL270" t="s">
        <v>725</v>
      </c>
      <c r="BM270" t="s">
        <v>5498</v>
      </c>
      <c r="BN270" t="s">
        <v>74</v>
      </c>
      <c r="BO270" t="s">
        <v>206</v>
      </c>
      <c r="BP270" t="s">
        <v>74</v>
      </c>
      <c r="BQ270" t="s">
        <v>74</v>
      </c>
      <c r="BR270" t="s">
        <v>107</v>
      </c>
      <c r="BS270" t="s">
        <v>5499</v>
      </c>
      <c r="BT270" t="str">
        <f>HYPERLINK("https%3A%2F%2Fwww.webofscience.com%2Fwos%2Fwoscc%2Ffull-record%2FWOS:001057040300001","View Full Record in Web of Science")</f>
        <v>View Full Record in Web of Science</v>
      </c>
    </row>
    <row r="271" spans="1:72" x14ac:dyDescent="0.15">
      <c r="A271" t="s">
        <v>72</v>
      </c>
      <c r="B271" t="s">
        <v>5500</v>
      </c>
      <c r="C271" t="s">
        <v>74</v>
      </c>
      <c r="D271" t="s">
        <v>74</v>
      </c>
      <c r="E271" t="s">
        <v>74</v>
      </c>
      <c r="F271" t="s">
        <v>5501</v>
      </c>
      <c r="G271" t="s">
        <v>74</v>
      </c>
      <c r="H271" t="s">
        <v>74</v>
      </c>
      <c r="I271" t="s">
        <v>5502</v>
      </c>
      <c r="J271" t="s">
        <v>5290</v>
      </c>
      <c r="K271" t="s">
        <v>74</v>
      </c>
      <c r="L271" t="s">
        <v>74</v>
      </c>
      <c r="M271" t="s">
        <v>78</v>
      </c>
      <c r="N271" t="s">
        <v>79</v>
      </c>
      <c r="O271" t="s">
        <v>74</v>
      </c>
      <c r="P271" t="s">
        <v>74</v>
      </c>
      <c r="Q271" t="s">
        <v>74</v>
      </c>
      <c r="R271" t="s">
        <v>74</v>
      </c>
      <c r="S271" t="s">
        <v>74</v>
      </c>
      <c r="T271" t="s">
        <v>5503</v>
      </c>
      <c r="U271" t="s">
        <v>5504</v>
      </c>
      <c r="V271" t="s">
        <v>5505</v>
      </c>
      <c r="W271" t="s">
        <v>5506</v>
      </c>
      <c r="X271" t="s">
        <v>5507</v>
      </c>
      <c r="Y271" t="s">
        <v>5508</v>
      </c>
      <c r="Z271" t="s">
        <v>5509</v>
      </c>
      <c r="AA271" t="s">
        <v>74</v>
      </c>
      <c r="AB271" t="s">
        <v>5510</v>
      </c>
      <c r="AC271" t="s">
        <v>5511</v>
      </c>
      <c r="AD271" t="s">
        <v>5511</v>
      </c>
      <c r="AE271" t="s">
        <v>5512</v>
      </c>
      <c r="AF271" t="s">
        <v>74</v>
      </c>
      <c r="AG271">
        <v>74</v>
      </c>
      <c r="AH271">
        <v>0</v>
      </c>
      <c r="AI271">
        <v>0</v>
      </c>
      <c r="AJ271">
        <v>5</v>
      </c>
      <c r="AK271">
        <v>12</v>
      </c>
      <c r="AL271" t="s">
        <v>369</v>
      </c>
      <c r="AM271" t="s">
        <v>370</v>
      </c>
      <c r="AN271" t="s">
        <v>371</v>
      </c>
      <c r="AO271" t="s">
        <v>74</v>
      </c>
      <c r="AP271" t="s">
        <v>5300</v>
      </c>
      <c r="AQ271" t="s">
        <v>74</v>
      </c>
      <c r="AR271" t="s">
        <v>5301</v>
      </c>
      <c r="AS271" t="s">
        <v>5302</v>
      </c>
      <c r="AT271" t="s">
        <v>4689</v>
      </c>
      <c r="AU271">
        <v>2023</v>
      </c>
      <c r="AV271">
        <v>14</v>
      </c>
      <c r="AW271">
        <v>8</v>
      </c>
      <c r="AX271" t="s">
        <v>74</v>
      </c>
      <c r="AY271" t="s">
        <v>74</v>
      </c>
      <c r="AZ271" t="s">
        <v>74</v>
      </c>
      <c r="BA271" t="s">
        <v>74</v>
      </c>
      <c r="BB271" t="s">
        <v>74</v>
      </c>
      <c r="BC271" t="s">
        <v>74</v>
      </c>
      <c r="BD271">
        <v>1268</v>
      </c>
      <c r="BE271" t="s">
        <v>5513</v>
      </c>
      <c r="BF271" t="str">
        <f>HYPERLINK("http://dx.doi.org/10.3390/atmos14081268","http://dx.doi.org/10.3390/atmos14081268")</f>
        <v>http://dx.doi.org/10.3390/atmos14081268</v>
      </c>
      <c r="BG271" t="s">
        <v>74</v>
      </c>
      <c r="BH271" t="s">
        <v>74</v>
      </c>
      <c r="BI271">
        <v>17</v>
      </c>
      <c r="BJ271" t="s">
        <v>3303</v>
      </c>
      <c r="BK271" t="s">
        <v>104</v>
      </c>
      <c r="BL271" t="s">
        <v>2372</v>
      </c>
      <c r="BM271" t="s">
        <v>5514</v>
      </c>
      <c r="BN271" t="s">
        <v>74</v>
      </c>
      <c r="BO271" t="s">
        <v>771</v>
      </c>
      <c r="BP271" t="s">
        <v>74</v>
      </c>
      <c r="BQ271" t="s">
        <v>74</v>
      </c>
      <c r="BR271" t="s">
        <v>107</v>
      </c>
      <c r="BS271" t="s">
        <v>5515</v>
      </c>
      <c r="BT271" t="str">
        <f>HYPERLINK("https%3A%2F%2Fwww.webofscience.com%2Fwos%2Fwoscc%2Ffull-record%2FWOS:001056565400001","View Full Record in Web of Science")</f>
        <v>View Full Record in Web of Science</v>
      </c>
    </row>
    <row r="272" spans="1:72" x14ac:dyDescent="0.15">
      <c r="A272" t="s">
        <v>72</v>
      </c>
      <c r="B272" t="s">
        <v>5516</v>
      </c>
      <c r="C272" t="s">
        <v>74</v>
      </c>
      <c r="D272" t="s">
        <v>74</v>
      </c>
      <c r="E272" t="s">
        <v>74</v>
      </c>
      <c r="F272" t="s">
        <v>5517</v>
      </c>
      <c r="G272" t="s">
        <v>74</v>
      </c>
      <c r="H272" t="s">
        <v>74</v>
      </c>
      <c r="I272" t="s">
        <v>5518</v>
      </c>
      <c r="J272" t="s">
        <v>5519</v>
      </c>
      <c r="K272" t="s">
        <v>74</v>
      </c>
      <c r="L272" t="s">
        <v>74</v>
      </c>
      <c r="M272" t="s">
        <v>78</v>
      </c>
      <c r="N272" t="s">
        <v>79</v>
      </c>
      <c r="O272" t="s">
        <v>74</v>
      </c>
      <c r="P272" t="s">
        <v>74</v>
      </c>
      <c r="Q272" t="s">
        <v>74</v>
      </c>
      <c r="R272" t="s">
        <v>74</v>
      </c>
      <c r="S272" t="s">
        <v>74</v>
      </c>
      <c r="T272" t="s">
        <v>74</v>
      </c>
      <c r="U272" t="s">
        <v>5520</v>
      </c>
      <c r="V272" t="s">
        <v>5521</v>
      </c>
      <c r="W272" t="s">
        <v>5522</v>
      </c>
      <c r="X272" t="s">
        <v>5523</v>
      </c>
      <c r="Y272" t="s">
        <v>5524</v>
      </c>
      <c r="Z272" t="s">
        <v>5525</v>
      </c>
      <c r="AA272" t="s">
        <v>74</v>
      </c>
      <c r="AB272" t="s">
        <v>5526</v>
      </c>
      <c r="AC272" t="s">
        <v>5527</v>
      </c>
      <c r="AD272" t="s">
        <v>5528</v>
      </c>
      <c r="AE272" t="s">
        <v>5529</v>
      </c>
      <c r="AF272" t="s">
        <v>74</v>
      </c>
      <c r="AG272">
        <v>85</v>
      </c>
      <c r="AH272">
        <v>0</v>
      </c>
      <c r="AI272">
        <v>0</v>
      </c>
      <c r="AJ272">
        <v>1</v>
      </c>
      <c r="AK272">
        <v>2</v>
      </c>
      <c r="AL272" t="s">
        <v>5530</v>
      </c>
      <c r="AM272" t="s">
        <v>589</v>
      </c>
      <c r="AN272" t="s">
        <v>5531</v>
      </c>
      <c r="AO272" t="s">
        <v>5532</v>
      </c>
      <c r="AP272" t="s">
        <v>74</v>
      </c>
      <c r="AQ272" t="s">
        <v>74</v>
      </c>
      <c r="AR272" t="s">
        <v>5533</v>
      </c>
      <c r="AS272" t="s">
        <v>5534</v>
      </c>
      <c r="AT272" t="s">
        <v>4689</v>
      </c>
      <c r="AU272">
        <v>2023</v>
      </c>
      <c r="AV272">
        <v>9</v>
      </c>
      <c r="AW272">
        <v>33</v>
      </c>
      <c r="AX272" t="s">
        <v>74</v>
      </c>
      <c r="AY272" t="s">
        <v>74</v>
      </c>
      <c r="AZ272" t="s">
        <v>74</v>
      </c>
      <c r="BA272" t="s">
        <v>74</v>
      </c>
      <c r="BB272" t="s">
        <v>74</v>
      </c>
      <c r="BC272" t="s">
        <v>74</v>
      </c>
      <c r="BD272" t="s">
        <v>5535</v>
      </c>
      <c r="BE272" t="s">
        <v>5536</v>
      </c>
      <c r="BF272" t="str">
        <f>HYPERLINK("http://dx.doi.org/10.1126/sciadv.adh3693","http://dx.doi.org/10.1126/sciadv.adh3693")</f>
        <v>http://dx.doi.org/10.1126/sciadv.adh3693</v>
      </c>
      <c r="BG272" t="s">
        <v>74</v>
      </c>
      <c r="BH272" t="s">
        <v>74</v>
      </c>
      <c r="BI272">
        <v>11</v>
      </c>
      <c r="BJ272" t="s">
        <v>1881</v>
      </c>
      <c r="BK272" t="s">
        <v>104</v>
      </c>
      <c r="BL272" t="s">
        <v>1882</v>
      </c>
      <c r="BM272" t="s">
        <v>5537</v>
      </c>
      <c r="BN272">
        <v>37595049</v>
      </c>
      <c r="BO272" t="s">
        <v>821</v>
      </c>
      <c r="BP272" t="s">
        <v>74</v>
      </c>
      <c r="BQ272" t="s">
        <v>74</v>
      </c>
      <c r="BR272" t="s">
        <v>107</v>
      </c>
      <c r="BS272" t="s">
        <v>5538</v>
      </c>
      <c r="BT272" t="str">
        <f>HYPERLINK("https%3A%2F%2Fwww.webofscience.com%2Fwos%2Fwoscc%2Ffull-record%2FWOS:001050899400016","View Full Record in Web of Science")</f>
        <v>View Full Record in Web of Science</v>
      </c>
    </row>
    <row r="273" spans="1:72" x14ac:dyDescent="0.15">
      <c r="A273" t="s">
        <v>72</v>
      </c>
      <c r="B273" t="s">
        <v>5539</v>
      </c>
      <c r="C273" t="s">
        <v>74</v>
      </c>
      <c r="D273" t="s">
        <v>74</v>
      </c>
      <c r="E273" t="s">
        <v>74</v>
      </c>
      <c r="F273" t="s">
        <v>5540</v>
      </c>
      <c r="G273" t="s">
        <v>74</v>
      </c>
      <c r="H273" t="s">
        <v>74</v>
      </c>
      <c r="I273" t="s">
        <v>5541</v>
      </c>
      <c r="J273" t="s">
        <v>5542</v>
      </c>
      <c r="K273" t="s">
        <v>74</v>
      </c>
      <c r="L273" t="s">
        <v>74</v>
      </c>
      <c r="M273" t="s">
        <v>78</v>
      </c>
      <c r="N273" t="s">
        <v>79</v>
      </c>
      <c r="O273" t="s">
        <v>74</v>
      </c>
      <c r="P273" t="s">
        <v>74</v>
      </c>
      <c r="Q273" t="s">
        <v>74</v>
      </c>
      <c r="R273" t="s">
        <v>74</v>
      </c>
      <c r="S273" t="s">
        <v>74</v>
      </c>
      <c r="T273" t="s">
        <v>5543</v>
      </c>
      <c r="U273" t="s">
        <v>5544</v>
      </c>
      <c r="V273" t="s">
        <v>5545</v>
      </c>
      <c r="W273" t="s">
        <v>5546</v>
      </c>
      <c r="X273" t="s">
        <v>5547</v>
      </c>
      <c r="Y273" t="s">
        <v>5548</v>
      </c>
      <c r="Z273" t="s">
        <v>5549</v>
      </c>
      <c r="AA273" t="s">
        <v>5550</v>
      </c>
      <c r="AB273" t="s">
        <v>5551</v>
      </c>
      <c r="AC273" t="s">
        <v>5552</v>
      </c>
      <c r="AD273" t="s">
        <v>2603</v>
      </c>
      <c r="AE273" t="s">
        <v>5553</v>
      </c>
      <c r="AF273" t="s">
        <v>74</v>
      </c>
      <c r="AG273">
        <v>61</v>
      </c>
      <c r="AH273">
        <v>2</v>
      </c>
      <c r="AI273">
        <v>2</v>
      </c>
      <c r="AJ273">
        <v>2</v>
      </c>
      <c r="AK273">
        <v>5</v>
      </c>
      <c r="AL273" t="s">
        <v>4830</v>
      </c>
      <c r="AM273" t="s">
        <v>299</v>
      </c>
      <c r="AN273" t="s">
        <v>4831</v>
      </c>
      <c r="AO273" t="s">
        <v>5554</v>
      </c>
      <c r="AP273" t="s">
        <v>5555</v>
      </c>
      <c r="AQ273" t="s">
        <v>74</v>
      </c>
      <c r="AR273" t="s">
        <v>5556</v>
      </c>
      <c r="AS273" t="s">
        <v>5557</v>
      </c>
      <c r="AT273" t="s">
        <v>4689</v>
      </c>
      <c r="AU273">
        <v>2023</v>
      </c>
      <c r="AV273">
        <v>56</v>
      </c>
      <c r="AW273">
        <v>8</v>
      </c>
      <c r="AX273" t="s">
        <v>74</v>
      </c>
      <c r="AY273" t="s">
        <v>74</v>
      </c>
      <c r="AZ273" t="s">
        <v>74</v>
      </c>
      <c r="BA273" t="s">
        <v>74</v>
      </c>
      <c r="BB273">
        <v>1067</v>
      </c>
      <c r="BC273">
        <v>1082</v>
      </c>
      <c r="BD273" t="s">
        <v>74</v>
      </c>
      <c r="BE273" t="s">
        <v>5558</v>
      </c>
      <c r="BF273" t="str">
        <f>HYPERLINK("http://dx.doi.org/10.1134/S1064229323600859","http://dx.doi.org/10.1134/S1064229323600859")</f>
        <v>http://dx.doi.org/10.1134/S1064229323600859</v>
      </c>
      <c r="BG273" t="s">
        <v>74</v>
      </c>
      <c r="BH273" t="s">
        <v>74</v>
      </c>
      <c r="BI273">
        <v>16</v>
      </c>
      <c r="BJ273" t="s">
        <v>1861</v>
      </c>
      <c r="BK273" t="s">
        <v>104</v>
      </c>
      <c r="BL273" t="s">
        <v>1862</v>
      </c>
      <c r="BM273" t="s">
        <v>5559</v>
      </c>
      <c r="BN273" t="s">
        <v>74</v>
      </c>
      <c r="BO273" t="s">
        <v>549</v>
      </c>
      <c r="BP273" t="s">
        <v>74</v>
      </c>
      <c r="BQ273" t="s">
        <v>74</v>
      </c>
      <c r="BR273" t="s">
        <v>107</v>
      </c>
      <c r="BS273" t="s">
        <v>5560</v>
      </c>
      <c r="BT273" t="str">
        <f>HYPERLINK("https%3A%2F%2Fwww.webofscience.com%2Fwos%2Fwoscc%2Ffull-record%2FWOS:001052822900007","View Full Record in Web of Science")</f>
        <v>View Full Record in Web of Science</v>
      </c>
    </row>
    <row r="274" spans="1:72" x14ac:dyDescent="0.15">
      <c r="A274" t="s">
        <v>72</v>
      </c>
      <c r="B274" t="s">
        <v>5561</v>
      </c>
      <c r="C274" t="s">
        <v>74</v>
      </c>
      <c r="D274" t="s">
        <v>74</v>
      </c>
      <c r="E274" t="s">
        <v>74</v>
      </c>
      <c r="F274" t="s">
        <v>5562</v>
      </c>
      <c r="G274" t="s">
        <v>74</v>
      </c>
      <c r="H274" t="s">
        <v>74</v>
      </c>
      <c r="I274" t="s">
        <v>5563</v>
      </c>
      <c r="J274" t="s">
        <v>1008</v>
      </c>
      <c r="K274" t="s">
        <v>74</v>
      </c>
      <c r="L274" t="s">
        <v>74</v>
      </c>
      <c r="M274" t="s">
        <v>78</v>
      </c>
      <c r="N274" t="s">
        <v>79</v>
      </c>
      <c r="O274" t="s">
        <v>74</v>
      </c>
      <c r="P274" t="s">
        <v>74</v>
      </c>
      <c r="Q274" t="s">
        <v>74</v>
      </c>
      <c r="R274" t="s">
        <v>74</v>
      </c>
      <c r="S274" t="s">
        <v>74</v>
      </c>
      <c r="T274" t="s">
        <v>5564</v>
      </c>
      <c r="U274" t="s">
        <v>5565</v>
      </c>
      <c r="V274" t="s">
        <v>5566</v>
      </c>
      <c r="W274" t="s">
        <v>5567</v>
      </c>
      <c r="X274" t="s">
        <v>5568</v>
      </c>
      <c r="Y274" t="s">
        <v>5569</v>
      </c>
      <c r="Z274" t="s">
        <v>5570</v>
      </c>
      <c r="AA274" t="s">
        <v>5571</v>
      </c>
      <c r="AB274" t="s">
        <v>5572</v>
      </c>
      <c r="AC274" t="s">
        <v>5573</v>
      </c>
      <c r="AD274" t="s">
        <v>5574</v>
      </c>
      <c r="AE274" t="s">
        <v>5575</v>
      </c>
      <c r="AF274" t="s">
        <v>74</v>
      </c>
      <c r="AG274">
        <v>93</v>
      </c>
      <c r="AH274">
        <v>0</v>
      </c>
      <c r="AI274">
        <v>0</v>
      </c>
      <c r="AJ274">
        <v>5</v>
      </c>
      <c r="AK274">
        <v>9</v>
      </c>
      <c r="AL274" t="s">
        <v>588</v>
      </c>
      <c r="AM274" t="s">
        <v>589</v>
      </c>
      <c r="AN274" t="s">
        <v>590</v>
      </c>
      <c r="AO274" t="s">
        <v>1020</v>
      </c>
      <c r="AP274" t="s">
        <v>1021</v>
      </c>
      <c r="AQ274" t="s">
        <v>74</v>
      </c>
      <c r="AR274" t="s">
        <v>1022</v>
      </c>
      <c r="AS274" t="s">
        <v>1023</v>
      </c>
      <c r="AT274" t="s">
        <v>4689</v>
      </c>
      <c r="AU274">
        <v>2023</v>
      </c>
      <c r="AV274">
        <v>128</v>
      </c>
      <c r="AW274">
        <v>8</v>
      </c>
      <c r="AX274" t="s">
        <v>74</v>
      </c>
      <c r="AY274" t="s">
        <v>74</v>
      </c>
      <c r="AZ274" t="s">
        <v>74</v>
      </c>
      <c r="BA274" t="s">
        <v>74</v>
      </c>
      <c r="BB274" t="s">
        <v>74</v>
      </c>
      <c r="BC274" t="s">
        <v>74</v>
      </c>
      <c r="BD274" t="s">
        <v>5576</v>
      </c>
      <c r="BE274" t="s">
        <v>5577</v>
      </c>
      <c r="BF274" t="str">
        <f>HYPERLINK("http://dx.doi.org/10.1029/2022JC019623","http://dx.doi.org/10.1029/2022JC019623")</f>
        <v>http://dx.doi.org/10.1029/2022JC019623</v>
      </c>
      <c r="BG274" t="s">
        <v>74</v>
      </c>
      <c r="BH274" t="s">
        <v>74</v>
      </c>
      <c r="BI274">
        <v>26</v>
      </c>
      <c r="BJ274" t="s">
        <v>306</v>
      </c>
      <c r="BK274" t="s">
        <v>104</v>
      </c>
      <c r="BL274" t="s">
        <v>306</v>
      </c>
      <c r="BM274" t="s">
        <v>5578</v>
      </c>
      <c r="BN274" t="s">
        <v>74</v>
      </c>
      <c r="BO274" t="s">
        <v>549</v>
      </c>
      <c r="BP274" t="s">
        <v>74</v>
      </c>
      <c r="BQ274" t="s">
        <v>74</v>
      </c>
      <c r="BR274" t="s">
        <v>107</v>
      </c>
      <c r="BS274" t="s">
        <v>5579</v>
      </c>
      <c r="BT274" t="str">
        <f>HYPERLINK("https%3A%2F%2Fwww.webofscience.com%2Fwos%2Fwoscc%2Ffull-record%2FWOS:001053100200001","View Full Record in Web of Science")</f>
        <v>View Full Record in Web of Science</v>
      </c>
    </row>
    <row r="275" spans="1:72" x14ac:dyDescent="0.15">
      <c r="A275" t="s">
        <v>72</v>
      </c>
      <c r="B275" t="s">
        <v>5580</v>
      </c>
      <c r="C275" t="s">
        <v>74</v>
      </c>
      <c r="D275" t="s">
        <v>74</v>
      </c>
      <c r="E275" t="s">
        <v>74</v>
      </c>
      <c r="F275" t="s">
        <v>5581</v>
      </c>
      <c r="G275" t="s">
        <v>74</v>
      </c>
      <c r="H275" t="s">
        <v>74</v>
      </c>
      <c r="I275" t="s">
        <v>5582</v>
      </c>
      <c r="J275" t="s">
        <v>1222</v>
      </c>
      <c r="K275" t="s">
        <v>74</v>
      </c>
      <c r="L275" t="s">
        <v>74</v>
      </c>
      <c r="M275" t="s">
        <v>78</v>
      </c>
      <c r="N275" t="s">
        <v>79</v>
      </c>
      <c r="O275" t="s">
        <v>74</v>
      </c>
      <c r="P275" t="s">
        <v>74</v>
      </c>
      <c r="Q275" t="s">
        <v>74</v>
      </c>
      <c r="R275" t="s">
        <v>74</v>
      </c>
      <c r="S275" t="s">
        <v>74</v>
      </c>
      <c r="T275" t="s">
        <v>5583</v>
      </c>
      <c r="U275" t="s">
        <v>5584</v>
      </c>
      <c r="V275" t="s">
        <v>5585</v>
      </c>
      <c r="W275" t="s">
        <v>5586</v>
      </c>
      <c r="X275" t="s">
        <v>5587</v>
      </c>
      <c r="Y275" t="s">
        <v>5588</v>
      </c>
      <c r="Z275" t="s">
        <v>5589</v>
      </c>
      <c r="AA275" t="s">
        <v>74</v>
      </c>
      <c r="AB275" t="s">
        <v>5590</v>
      </c>
      <c r="AC275" t="s">
        <v>5591</v>
      </c>
      <c r="AD275" t="s">
        <v>5592</v>
      </c>
      <c r="AE275" t="s">
        <v>5593</v>
      </c>
      <c r="AF275" t="s">
        <v>74</v>
      </c>
      <c r="AG275">
        <v>41</v>
      </c>
      <c r="AH275">
        <v>1</v>
      </c>
      <c r="AI275">
        <v>1</v>
      </c>
      <c r="AJ275">
        <v>3</v>
      </c>
      <c r="AK275">
        <v>3</v>
      </c>
      <c r="AL275" t="s">
        <v>90</v>
      </c>
      <c r="AM275" t="s">
        <v>91</v>
      </c>
      <c r="AN275" t="s">
        <v>92</v>
      </c>
      <c r="AO275" t="s">
        <v>1234</v>
      </c>
      <c r="AP275" t="s">
        <v>1235</v>
      </c>
      <c r="AQ275" t="s">
        <v>74</v>
      </c>
      <c r="AR275" t="s">
        <v>1236</v>
      </c>
      <c r="AS275" t="s">
        <v>1237</v>
      </c>
      <c r="AT275" t="s">
        <v>4689</v>
      </c>
      <c r="AU275">
        <v>2023</v>
      </c>
      <c r="AV275">
        <v>53</v>
      </c>
      <c r="AW275">
        <v>8</v>
      </c>
      <c r="AX275" t="s">
        <v>74</v>
      </c>
      <c r="AY275" t="s">
        <v>74</v>
      </c>
      <c r="AZ275" t="s">
        <v>74</v>
      </c>
      <c r="BA275" t="s">
        <v>74</v>
      </c>
      <c r="BB275">
        <v>1901</v>
      </c>
      <c r="BC275">
        <v>1915</v>
      </c>
      <c r="BD275" t="s">
        <v>74</v>
      </c>
      <c r="BE275" t="s">
        <v>5594</v>
      </c>
      <c r="BF275" t="str">
        <f>HYPERLINK("http://dx.doi.org/10.1175/JPO-D-22-0217.1","http://dx.doi.org/10.1175/JPO-D-22-0217.1")</f>
        <v>http://dx.doi.org/10.1175/JPO-D-22-0217.1</v>
      </c>
      <c r="BG275" t="s">
        <v>74</v>
      </c>
      <c r="BH275" t="s">
        <v>74</v>
      </c>
      <c r="BI275">
        <v>15</v>
      </c>
      <c r="BJ275" t="s">
        <v>306</v>
      </c>
      <c r="BK275" t="s">
        <v>104</v>
      </c>
      <c r="BL275" t="s">
        <v>306</v>
      </c>
      <c r="BM275" t="s">
        <v>5595</v>
      </c>
      <c r="BN275" t="s">
        <v>74</v>
      </c>
      <c r="BO275" t="s">
        <v>74</v>
      </c>
      <c r="BP275" t="s">
        <v>74</v>
      </c>
      <c r="BQ275" t="s">
        <v>74</v>
      </c>
      <c r="BR275" t="s">
        <v>107</v>
      </c>
      <c r="BS275" t="s">
        <v>5596</v>
      </c>
      <c r="BT275" t="str">
        <f>HYPERLINK("https%3A%2F%2Fwww.webofscience.com%2Fwos%2Fwoscc%2Ffull-record%2FWOS:001049099300001","View Full Record in Web of Science")</f>
        <v>View Full Record in Web of Science</v>
      </c>
    </row>
    <row r="276" spans="1:72" x14ac:dyDescent="0.15">
      <c r="A276" t="s">
        <v>72</v>
      </c>
      <c r="B276" t="s">
        <v>5597</v>
      </c>
      <c r="C276" t="s">
        <v>74</v>
      </c>
      <c r="D276" t="s">
        <v>74</v>
      </c>
      <c r="E276" t="s">
        <v>74</v>
      </c>
      <c r="F276" t="s">
        <v>5598</v>
      </c>
      <c r="G276" t="s">
        <v>74</v>
      </c>
      <c r="H276" t="s">
        <v>74</v>
      </c>
      <c r="I276" t="s">
        <v>5599</v>
      </c>
      <c r="J276" t="s">
        <v>1222</v>
      </c>
      <c r="K276" t="s">
        <v>74</v>
      </c>
      <c r="L276" t="s">
        <v>74</v>
      </c>
      <c r="M276" t="s">
        <v>78</v>
      </c>
      <c r="N276" t="s">
        <v>79</v>
      </c>
      <c r="O276" t="s">
        <v>74</v>
      </c>
      <c r="P276" t="s">
        <v>74</v>
      </c>
      <c r="Q276" t="s">
        <v>74</v>
      </c>
      <c r="R276" t="s">
        <v>74</v>
      </c>
      <c r="S276" t="s">
        <v>74</v>
      </c>
      <c r="T276" t="s">
        <v>5600</v>
      </c>
      <c r="U276" t="s">
        <v>5601</v>
      </c>
      <c r="V276" t="s">
        <v>5602</v>
      </c>
      <c r="W276" t="s">
        <v>5603</v>
      </c>
      <c r="X276" t="s">
        <v>5604</v>
      </c>
      <c r="Y276" t="s">
        <v>5605</v>
      </c>
      <c r="Z276" t="s">
        <v>5606</v>
      </c>
      <c r="AA276" t="s">
        <v>5607</v>
      </c>
      <c r="AB276" t="s">
        <v>5608</v>
      </c>
      <c r="AC276" t="s">
        <v>5609</v>
      </c>
      <c r="AD276" t="s">
        <v>5610</v>
      </c>
      <c r="AE276" t="s">
        <v>5611</v>
      </c>
      <c r="AF276" t="s">
        <v>74</v>
      </c>
      <c r="AG276">
        <v>101</v>
      </c>
      <c r="AH276">
        <v>0</v>
      </c>
      <c r="AI276">
        <v>0</v>
      </c>
      <c r="AJ276">
        <v>4</v>
      </c>
      <c r="AK276">
        <v>5</v>
      </c>
      <c r="AL276" t="s">
        <v>90</v>
      </c>
      <c r="AM276" t="s">
        <v>91</v>
      </c>
      <c r="AN276" t="s">
        <v>92</v>
      </c>
      <c r="AO276" t="s">
        <v>1234</v>
      </c>
      <c r="AP276" t="s">
        <v>1235</v>
      </c>
      <c r="AQ276" t="s">
        <v>74</v>
      </c>
      <c r="AR276" t="s">
        <v>1236</v>
      </c>
      <c r="AS276" t="s">
        <v>1237</v>
      </c>
      <c r="AT276" t="s">
        <v>4689</v>
      </c>
      <c r="AU276">
        <v>2023</v>
      </c>
      <c r="AV276">
        <v>53</v>
      </c>
      <c r="AW276">
        <v>8</v>
      </c>
      <c r="AX276" t="s">
        <v>74</v>
      </c>
      <c r="AY276" t="s">
        <v>74</v>
      </c>
      <c r="AZ276" t="s">
        <v>74</v>
      </c>
      <c r="BA276" t="s">
        <v>74</v>
      </c>
      <c r="BB276">
        <v>1917</v>
      </c>
      <c r="BC276">
        <v>1940</v>
      </c>
      <c r="BD276" t="s">
        <v>74</v>
      </c>
      <c r="BE276" t="s">
        <v>5612</v>
      </c>
      <c r="BF276" t="str">
        <f>HYPERLINK("http://dx.doi.org/10.1175/JPO-D-22-0113.1","http://dx.doi.org/10.1175/JPO-D-22-0113.1")</f>
        <v>http://dx.doi.org/10.1175/JPO-D-22-0113.1</v>
      </c>
      <c r="BG276" t="s">
        <v>74</v>
      </c>
      <c r="BH276" t="s">
        <v>74</v>
      </c>
      <c r="BI276">
        <v>24</v>
      </c>
      <c r="BJ276" t="s">
        <v>306</v>
      </c>
      <c r="BK276" t="s">
        <v>104</v>
      </c>
      <c r="BL276" t="s">
        <v>306</v>
      </c>
      <c r="BM276" t="s">
        <v>5595</v>
      </c>
      <c r="BN276" t="s">
        <v>74</v>
      </c>
      <c r="BO276" t="s">
        <v>74</v>
      </c>
      <c r="BP276" t="s">
        <v>74</v>
      </c>
      <c r="BQ276" t="s">
        <v>74</v>
      </c>
      <c r="BR276" t="s">
        <v>107</v>
      </c>
      <c r="BS276" t="s">
        <v>5613</v>
      </c>
      <c r="BT276" t="str">
        <f>HYPERLINK("https%3A%2F%2Fwww.webofscience.com%2Fwos%2Fwoscc%2Ffull-record%2FWOS:001049099300002","View Full Record in Web of Science")</f>
        <v>View Full Record in Web of Science</v>
      </c>
    </row>
    <row r="277" spans="1:72" x14ac:dyDescent="0.15">
      <c r="A277" t="s">
        <v>72</v>
      </c>
      <c r="B277" t="s">
        <v>5614</v>
      </c>
      <c r="C277" t="s">
        <v>74</v>
      </c>
      <c r="D277" t="s">
        <v>74</v>
      </c>
      <c r="E277" t="s">
        <v>74</v>
      </c>
      <c r="F277" t="s">
        <v>5615</v>
      </c>
      <c r="G277" t="s">
        <v>74</v>
      </c>
      <c r="H277" t="s">
        <v>74</v>
      </c>
      <c r="I277" t="s">
        <v>5616</v>
      </c>
      <c r="J277" t="s">
        <v>1222</v>
      </c>
      <c r="K277" t="s">
        <v>74</v>
      </c>
      <c r="L277" t="s">
        <v>74</v>
      </c>
      <c r="M277" t="s">
        <v>78</v>
      </c>
      <c r="N277" t="s">
        <v>79</v>
      </c>
      <c r="O277" t="s">
        <v>74</v>
      </c>
      <c r="P277" t="s">
        <v>74</v>
      </c>
      <c r="Q277" t="s">
        <v>74</v>
      </c>
      <c r="R277" t="s">
        <v>74</v>
      </c>
      <c r="S277" t="s">
        <v>74</v>
      </c>
      <c r="T277" t="s">
        <v>5617</v>
      </c>
      <c r="U277" t="s">
        <v>5618</v>
      </c>
      <c r="V277" t="s">
        <v>5619</v>
      </c>
      <c r="W277" t="s">
        <v>5620</v>
      </c>
      <c r="X277" t="s">
        <v>5621</v>
      </c>
      <c r="Y277" t="s">
        <v>5622</v>
      </c>
      <c r="Z277" t="s">
        <v>2324</v>
      </c>
      <c r="AA277" t="s">
        <v>5623</v>
      </c>
      <c r="AB277" t="s">
        <v>5624</v>
      </c>
      <c r="AC277" t="s">
        <v>5625</v>
      </c>
      <c r="AD277" t="s">
        <v>5626</v>
      </c>
      <c r="AE277" t="s">
        <v>5627</v>
      </c>
      <c r="AF277" t="s">
        <v>74</v>
      </c>
      <c r="AG277">
        <v>71</v>
      </c>
      <c r="AH277">
        <v>1</v>
      </c>
      <c r="AI277">
        <v>1</v>
      </c>
      <c r="AJ277">
        <v>3</v>
      </c>
      <c r="AK277">
        <v>5</v>
      </c>
      <c r="AL277" t="s">
        <v>90</v>
      </c>
      <c r="AM277" t="s">
        <v>91</v>
      </c>
      <c r="AN277" t="s">
        <v>92</v>
      </c>
      <c r="AO277" t="s">
        <v>1234</v>
      </c>
      <c r="AP277" t="s">
        <v>1235</v>
      </c>
      <c r="AQ277" t="s">
        <v>74</v>
      </c>
      <c r="AR277" t="s">
        <v>1236</v>
      </c>
      <c r="AS277" t="s">
        <v>1237</v>
      </c>
      <c r="AT277" t="s">
        <v>4689</v>
      </c>
      <c r="AU277">
        <v>2023</v>
      </c>
      <c r="AV277">
        <v>53</v>
      </c>
      <c r="AW277">
        <v>8</v>
      </c>
      <c r="AX277" t="s">
        <v>74</v>
      </c>
      <c r="AY277" t="s">
        <v>74</v>
      </c>
      <c r="AZ277" t="s">
        <v>74</v>
      </c>
      <c r="BA277" t="s">
        <v>74</v>
      </c>
      <c r="BB277">
        <v>1941</v>
      </c>
      <c r="BC277">
        <v>1958</v>
      </c>
      <c r="BD277" t="s">
        <v>74</v>
      </c>
      <c r="BE277" t="s">
        <v>5628</v>
      </c>
      <c r="BF277" t="str">
        <f>HYPERLINK("http://dx.doi.org/10.1175/JPO-D-22-0259.1","http://dx.doi.org/10.1175/JPO-D-22-0259.1")</f>
        <v>http://dx.doi.org/10.1175/JPO-D-22-0259.1</v>
      </c>
      <c r="BG277" t="s">
        <v>74</v>
      </c>
      <c r="BH277" t="s">
        <v>74</v>
      </c>
      <c r="BI277">
        <v>18</v>
      </c>
      <c r="BJ277" t="s">
        <v>306</v>
      </c>
      <c r="BK277" t="s">
        <v>104</v>
      </c>
      <c r="BL277" t="s">
        <v>306</v>
      </c>
      <c r="BM277" t="s">
        <v>5595</v>
      </c>
      <c r="BN277" t="s">
        <v>74</v>
      </c>
      <c r="BO277" t="s">
        <v>5629</v>
      </c>
      <c r="BP277" t="s">
        <v>74</v>
      </c>
      <c r="BQ277" t="s">
        <v>74</v>
      </c>
      <c r="BR277" t="s">
        <v>107</v>
      </c>
      <c r="BS277" t="s">
        <v>5630</v>
      </c>
      <c r="BT277" t="str">
        <f>HYPERLINK("https%3A%2F%2Fwww.webofscience.com%2Fwos%2Fwoscc%2Ffull-record%2FWOS:001049099300003","View Full Record in Web of Science")</f>
        <v>View Full Record in Web of Science</v>
      </c>
    </row>
    <row r="278" spans="1:72" x14ac:dyDescent="0.15">
      <c r="A278" t="s">
        <v>72</v>
      </c>
      <c r="B278" t="s">
        <v>5631</v>
      </c>
      <c r="C278" t="s">
        <v>74</v>
      </c>
      <c r="D278" t="s">
        <v>74</v>
      </c>
      <c r="E278" t="s">
        <v>74</v>
      </c>
      <c r="F278" t="s">
        <v>5632</v>
      </c>
      <c r="G278" t="s">
        <v>74</v>
      </c>
      <c r="H278" t="s">
        <v>74</v>
      </c>
      <c r="I278" t="s">
        <v>5633</v>
      </c>
      <c r="J278" t="s">
        <v>1222</v>
      </c>
      <c r="K278" t="s">
        <v>74</v>
      </c>
      <c r="L278" t="s">
        <v>74</v>
      </c>
      <c r="M278" t="s">
        <v>78</v>
      </c>
      <c r="N278" t="s">
        <v>79</v>
      </c>
      <c r="O278" t="s">
        <v>74</v>
      </c>
      <c r="P278" t="s">
        <v>74</v>
      </c>
      <c r="Q278" t="s">
        <v>74</v>
      </c>
      <c r="R278" t="s">
        <v>74</v>
      </c>
      <c r="S278" t="s">
        <v>74</v>
      </c>
      <c r="T278" t="s">
        <v>5634</v>
      </c>
      <c r="U278" t="s">
        <v>5635</v>
      </c>
      <c r="V278" t="s">
        <v>5636</v>
      </c>
      <c r="W278" t="s">
        <v>5637</v>
      </c>
      <c r="X278" t="s">
        <v>5638</v>
      </c>
      <c r="Y278" t="s">
        <v>5639</v>
      </c>
      <c r="Z278" t="s">
        <v>5640</v>
      </c>
      <c r="AA278" t="s">
        <v>74</v>
      </c>
      <c r="AB278" t="s">
        <v>5641</v>
      </c>
      <c r="AC278" t="s">
        <v>5642</v>
      </c>
      <c r="AD278" t="s">
        <v>5643</v>
      </c>
      <c r="AE278" t="s">
        <v>5644</v>
      </c>
      <c r="AF278" t="s">
        <v>74</v>
      </c>
      <c r="AG278">
        <v>59</v>
      </c>
      <c r="AH278">
        <v>1</v>
      </c>
      <c r="AI278">
        <v>1</v>
      </c>
      <c r="AJ278">
        <v>5</v>
      </c>
      <c r="AK278">
        <v>6</v>
      </c>
      <c r="AL278" t="s">
        <v>90</v>
      </c>
      <c r="AM278" t="s">
        <v>91</v>
      </c>
      <c r="AN278" t="s">
        <v>92</v>
      </c>
      <c r="AO278" t="s">
        <v>1234</v>
      </c>
      <c r="AP278" t="s">
        <v>1235</v>
      </c>
      <c r="AQ278" t="s">
        <v>74</v>
      </c>
      <c r="AR278" t="s">
        <v>1236</v>
      </c>
      <c r="AS278" t="s">
        <v>1237</v>
      </c>
      <c r="AT278" t="s">
        <v>4689</v>
      </c>
      <c r="AU278">
        <v>2023</v>
      </c>
      <c r="AV278">
        <v>53</v>
      </c>
      <c r="AW278">
        <v>8</v>
      </c>
      <c r="AX278" t="s">
        <v>74</v>
      </c>
      <c r="AY278" t="s">
        <v>74</v>
      </c>
      <c r="AZ278" t="s">
        <v>74</v>
      </c>
      <c r="BA278" t="s">
        <v>74</v>
      </c>
      <c r="BB278">
        <v>1997</v>
      </c>
      <c r="BC278">
        <v>2011</v>
      </c>
      <c r="BD278" t="s">
        <v>74</v>
      </c>
      <c r="BE278" t="s">
        <v>5645</v>
      </c>
      <c r="BF278" t="str">
        <f>HYPERLINK("http://dx.doi.org/10.1175/JPO-D-22-0157.1","http://dx.doi.org/10.1175/JPO-D-22-0157.1")</f>
        <v>http://dx.doi.org/10.1175/JPO-D-22-0157.1</v>
      </c>
      <c r="BG278" t="s">
        <v>74</v>
      </c>
      <c r="BH278" t="s">
        <v>74</v>
      </c>
      <c r="BI278">
        <v>15</v>
      </c>
      <c r="BJ278" t="s">
        <v>306</v>
      </c>
      <c r="BK278" t="s">
        <v>104</v>
      </c>
      <c r="BL278" t="s">
        <v>306</v>
      </c>
      <c r="BM278" t="s">
        <v>5646</v>
      </c>
      <c r="BN278" t="s">
        <v>74</v>
      </c>
      <c r="BO278" t="s">
        <v>133</v>
      </c>
      <c r="BP278" t="s">
        <v>74</v>
      </c>
      <c r="BQ278" t="s">
        <v>74</v>
      </c>
      <c r="BR278" t="s">
        <v>107</v>
      </c>
      <c r="BS278" t="s">
        <v>5647</v>
      </c>
      <c r="BT278" t="str">
        <f>HYPERLINK("https%3A%2F%2Fwww.webofscience.com%2Fwos%2Fwoscc%2Ffull-record%2FWOS:001051755600001","View Full Record in Web of Science")</f>
        <v>View Full Record in Web of Science</v>
      </c>
    </row>
    <row r="279" spans="1:72" x14ac:dyDescent="0.15">
      <c r="A279" t="s">
        <v>72</v>
      </c>
      <c r="B279" t="s">
        <v>5648</v>
      </c>
      <c r="C279" t="s">
        <v>74</v>
      </c>
      <c r="D279" t="s">
        <v>74</v>
      </c>
      <c r="E279" t="s">
        <v>74</v>
      </c>
      <c r="F279" t="s">
        <v>5649</v>
      </c>
      <c r="G279" t="s">
        <v>74</v>
      </c>
      <c r="H279" t="s">
        <v>74</v>
      </c>
      <c r="I279" t="s">
        <v>5650</v>
      </c>
      <c r="J279" t="s">
        <v>5651</v>
      </c>
      <c r="K279" t="s">
        <v>74</v>
      </c>
      <c r="L279" t="s">
        <v>74</v>
      </c>
      <c r="M279" t="s">
        <v>78</v>
      </c>
      <c r="N279" t="s">
        <v>79</v>
      </c>
      <c r="O279" t="s">
        <v>74</v>
      </c>
      <c r="P279" t="s">
        <v>74</v>
      </c>
      <c r="Q279" t="s">
        <v>74</v>
      </c>
      <c r="R279" t="s">
        <v>74</v>
      </c>
      <c r="S279" t="s">
        <v>74</v>
      </c>
      <c r="T279" t="s">
        <v>5652</v>
      </c>
      <c r="U279" t="s">
        <v>5653</v>
      </c>
      <c r="V279" t="s">
        <v>5654</v>
      </c>
      <c r="W279" t="s">
        <v>5655</v>
      </c>
      <c r="X279" t="s">
        <v>5656</v>
      </c>
      <c r="Y279" t="s">
        <v>5657</v>
      </c>
      <c r="Z279" t="s">
        <v>5658</v>
      </c>
      <c r="AA279" t="s">
        <v>5659</v>
      </c>
      <c r="AB279" t="s">
        <v>74</v>
      </c>
      <c r="AC279" t="s">
        <v>5660</v>
      </c>
      <c r="AD279" t="s">
        <v>5661</v>
      </c>
      <c r="AE279" t="s">
        <v>5662</v>
      </c>
      <c r="AF279" t="s">
        <v>74</v>
      </c>
      <c r="AG279">
        <v>41</v>
      </c>
      <c r="AH279">
        <v>0</v>
      </c>
      <c r="AI279">
        <v>0</v>
      </c>
      <c r="AJ279">
        <v>3</v>
      </c>
      <c r="AK279">
        <v>5</v>
      </c>
      <c r="AL279" t="s">
        <v>460</v>
      </c>
      <c r="AM279" t="s">
        <v>461</v>
      </c>
      <c r="AN279" t="s">
        <v>462</v>
      </c>
      <c r="AO279" t="s">
        <v>5663</v>
      </c>
      <c r="AP279" t="s">
        <v>74</v>
      </c>
      <c r="AQ279" t="s">
        <v>74</v>
      </c>
      <c r="AR279" t="s">
        <v>5651</v>
      </c>
      <c r="AS279" t="s">
        <v>5664</v>
      </c>
      <c r="AT279" t="s">
        <v>4689</v>
      </c>
      <c r="AU279">
        <v>2023</v>
      </c>
      <c r="AV279">
        <v>14</v>
      </c>
      <c r="AW279">
        <v>8</v>
      </c>
      <c r="AX279" t="s">
        <v>74</v>
      </c>
      <c r="AY279" t="s">
        <v>74</v>
      </c>
      <c r="AZ279" t="s">
        <v>74</v>
      </c>
      <c r="BA279" t="s">
        <v>74</v>
      </c>
      <c r="BB279" t="s">
        <v>74</v>
      </c>
      <c r="BC279" t="s">
        <v>74</v>
      </c>
      <c r="BD279" t="s">
        <v>5665</v>
      </c>
      <c r="BE279" t="s">
        <v>5666</v>
      </c>
      <c r="BF279" t="str">
        <f>HYPERLINK("http://dx.doi.org/10.1002/ecs2.4576","http://dx.doi.org/10.1002/ecs2.4576")</f>
        <v>http://dx.doi.org/10.1002/ecs2.4576</v>
      </c>
      <c r="BG279" t="s">
        <v>74</v>
      </c>
      <c r="BH279" t="s">
        <v>74</v>
      </c>
      <c r="BI279">
        <v>14</v>
      </c>
      <c r="BJ279" t="s">
        <v>1534</v>
      </c>
      <c r="BK279" t="s">
        <v>104</v>
      </c>
      <c r="BL279" t="s">
        <v>1535</v>
      </c>
      <c r="BM279" t="s">
        <v>5667</v>
      </c>
      <c r="BN279" t="s">
        <v>74</v>
      </c>
      <c r="BO279" t="s">
        <v>2624</v>
      </c>
      <c r="BP279" t="s">
        <v>74</v>
      </c>
      <c r="BQ279" t="s">
        <v>74</v>
      </c>
      <c r="BR279" t="s">
        <v>107</v>
      </c>
      <c r="BS279" t="s">
        <v>5668</v>
      </c>
      <c r="BT279" t="str">
        <f>HYPERLINK("https%3A%2F%2Fwww.webofscience.com%2Fwos%2Fwoscc%2Ffull-record%2FWOS:001046092600001","View Full Record in Web of Science")</f>
        <v>View Full Record in Web of Science</v>
      </c>
    </row>
    <row r="280" spans="1:72" x14ac:dyDescent="0.15">
      <c r="A280" t="s">
        <v>72</v>
      </c>
      <c r="B280" t="s">
        <v>5669</v>
      </c>
      <c r="C280" t="s">
        <v>74</v>
      </c>
      <c r="D280" t="s">
        <v>74</v>
      </c>
      <c r="E280" t="s">
        <v>74</v>
      </c>
      <c r="F280" t="s">
        <v>5670</v>
      </c>
      <c r="G280" t="s">
        <v>74</v>
      </c>
      <c r="H280" t="s">
        <v>74</v>
      </c>
      <c r="I280" t="s">
        <v>5671</v>
      </c>
      <c r="J280" t="s">
        <v>1195</v>
      </c>
      <c r="K280" t="s">
        <v>74</v>
      </c>
      <c r="L280" t="s">
        <v>74</v>
      </c>
      <c r="M280" t="s">
        <v>78</v>
      </c>
      <c r="N280" t="s">
        <v>79</v>
      </c>
      <c r="O280" t="s">
        <v>74</v>
      </c>
      <c r="P280" t="s">
        <v>74</v>
      </c>
      <c r="Q280" t="s">
        <v>74</v>
      </c>
      <c r="R280" t="s">
        <v>74</v>
      </c>
      <c r="S280" t="s">
        <v>74</v>
      </c>
      <c r="T280" t="s">
        <v>5672</v>
      </c>
      <c r="U280" t="s">
        <v>5673</v>
      </c>
      <c r="V280" t="s">
        <v>5674</v>
      </c>
      <c r="W280" t="s">
        <v>5675</v>
      </c>
      <c r="X280" t="s">
        <v>5676</v>
      </c>
      <c r="Y280" t="s">
        <v>5677</v>
      </c>
      <c r="Z280" t="s">
        <v>5678</v>
      </c>
      <c r="AA280" t="s">
        <v>5679</v>
      </c>
      <c r="AB280" t="s">
        <v>5680</v>
      </c>
      <c r="AC280" t="s">
        <v>5681</v>
      </c>
      <c r="AD280" t="s">
        <v>5682</v>
      </c>
      <c r="AE280" t="s">
        <v>5683</v>
      </c>
      <c r="AF280" t="s">
        <v>74</v>
      </c>
      <c r="AG280">
        <v>82</v>
      </c>
      <c r="AH280">
        <v>1</v>
      </c>
      <c r="AI280">
        <v>1</v>
      </c>
      <c r="AJ280">
        <v>2</v>
      </c>
      <c r="AK280">
        <v>4</v>
      </c>
      <c r="AL280" t="s">
        <v>588</v>
      </c>
      <c r="AM280" t="s">
        <v>589</v>
      </c>
      <c r="AN280" t="s">
        <v>590</v>
      </c>
      <c r="AO280" t="s">
        <v>1208</v>
      </c>
      <c r="AP280" t="s">
        <v>1209</v>
      </c>
      <c r="AQ280" t="s">
        <v>74</v>
      </c>
      <c r="AR280" t="s">
        <v>1210</v>
      </c>
      <c r="AS280" t="s">
        <v>1211</v>
      </c>
      <c r="AT280" t="s">
        <v>4689</v>
      </c>
      <c r="AU280">
        <v>2023</v>
      </c>
      <c r="AV280">
        <v>37</v>
      </c>
      <c r="AW280">
        <v>8</v>
      </c>
      <c r="AX280" t="s">
        <v>74</v>
      </c>
      <c r="AY280" t="s">
        <v>74</v>
      </c>
      <c r="AZ280" t="s">
        <v>74</v>
      </c>
      <c r="BA280" t="s">
        <v>74</v>
      </c>
      <c r="BB280" t="s">
        <v>74</v>
      </c>
      <c r="BC280" t="s">
        <v>74</v>
      </c>
      <c r="BD280" t="s">
        <v>5684</v>
      </c>
      <c r="BE280" t="s">
        <v>5685</v>
      </c>
      <c r="BF280" t="str">
        <f>HYPERLINK("http://dx.doi.org/10.1029/2022GB007613","http://dx.doi.org/10.1029/2022GB007613")</f>
        <v>http://dx.doi.org/10.1029/2022GB007613</v>
      </c>
      <c r="BG280" t="s">
        <v>74</v>
      </c>
      <c r="BH280" t="s">
        <v>74</v>
      </c>
      <c r="BI280">
        <v>16</v>
      </c>
      <c r="BJ280" t="s">
        <v>1214</v>
      </c>
      <c r="BK280" t="s">
        <v>104</v>
      </c>
      <c r="BL280" t="s">
        <v>1215</v>
      </c>
      <c r="BM280" t="s">
        <v>5686</v>
      </c>
      <c r="BN280" t="s">
        <v>74</v>
      </c>
      <c r="BO280" t="s">
        <v>549</v>
      </c>
      <c r="BP280" t="s">
        <v>74</v>
      </c>
      <c r="BQ280" t="s">
        <v>74</v>
      </c>
      <c r="BR280" t="s">
        <v>107</v>
      </c>
      <c r="BS280" t="s">
        <v>5687</v>
      </c>
      <c r="BT280" t="str">
        <f>HYPERLINK("https%3A%2F%2Fwww.webofscience.com%2Fwos%2Fwoscc%2Ffull-record%2FWOS:001049738600001","View Full Record in Web of Science")</f>
        <v>View Full Record in Web of Science</v>
      </c>
    </row>
    <row r="281" spans="1:72" x14ac:dyDescent="0.15">
      <c r="A281" t="s">
        <v>72</v>
      </c>
      <c r="B281" t="s">
        <v>5688</v>
      </c>
      <c r="C281" t="s">
        <v>74</v>
      </c>
      <c r="D281" t="s">
        <v>74</v>
      </c>
      <c r="E281" t="s">
        <v>74</v>
      </c>
      <c r="F281" t="s">
        <v>5689</v>
      </c>
      <c r="G281" t="s">
        <v>74</v>
      </c>
      <c r="H281" t="s">
        <v>74</v>
      </c>
      <c r="I281" t="s">
        <v>5690</v>
      </c>
      <c r="J281" t="s">
        <v>1008</v>
      </c>
      <c r="K281" t="s">
        <v>74</v>
      </c>
      <c r="L281" t="s">
        <v>74</v>
      </c>
      <c r="M281" t="s">
        <v>78</v>
      </c>
      <c r="N281" t="s">
        <v>79</v>
      </c>
      <c r="O281" t="s">
        <v>74</v>
      </c>
      <c r="P281" t="s">
        <v>74</v>
      </c>
      <c r="Q281" t="s">
        <v>74</v>
      </c>
      <c r="R281" t="s">
        <v>74</v>
      </c>
      <c r="S281" t="s">
        <v>74</v>
      </c>
      <c r="T281" t="s">
        <v>5691</v>
      </c>
      <c r="U281" t="s">
        <v>5692</v>
      </c>
      <c r="V281" t="s">
        <v>5693</v>
      </c>
      <c r="W281" t="s">
        <v>5694</v>
      </c>
      <c r="X281" t="s">
        <v>5695</v>
      </c>
      <c r="Y281" t="s">
        <v>5696</v>
      </c>
      <c r="Z281" t="s">
        <v>5085</v>
      </c>
      <c r="AA281" t="s">
        <v>74</v>
      </c>
      <c r="AB281" t="s">
        <v>5697</v>
      </c>
      <c r="AC281" t="s">
        <v>5698</v>
      </c>
      <c r="AD281" t="s">
        <v>2603</v>
      </c>
      <c r="AE281" t="s">
        <v>5699</v>
      </c>
      <c r="AF281" t="s">
        <v>74</v>
      </c>
      <c r="AG281">
        <v>37</v>
      </c>
      <c r="AH281">
        <v>1</v>
      </c>
      <c r="AI281">
        <v>1</v>
      </c>
      <c r="AJ281">
        <v>0</v>
      </c>
      <c r="AK281">
        <v>1</v>
      </c>
      <c r="AL281" t="s">
        <v>588</v>
      </c>
      <c r="AM281" t="s">
        <v>589</v>
      </c>
      <c r="AN281" t="s">
        <v>590</v>
      </c>
      <c r="AO281" t="s">
        <v>1020</v>
      </c>
      <c r="AP281" t="s">
        <v>1021</v>
      </c>
      <c r="AQ281" t="s">
        <v>74</v>
      </c>
      <c r="AR281" t="s">
        <v>1022</v>
      </c>
      <c r="AS281" t="s">
        <v>1023</v>
      </c>
      <c r="AT281" t="s">
        <v>4689</v>
      </c>
      <c r="AU281">
        <v>2023</v>
      </c>
      <c r="AV281">
        <v>128</v>
      </c>
      <c r="AW281">
        <v>8</v>
      </c>
      <c r="AX281" t="s">
        <v>74</v>
      </c>
      <c r="AY281" t="s">
        <v>74</v>
      </c>
      <c r="AZ281" t="s">
        <v>74</v>
      </c>
      <c r="BA281" t="s">
        <v>74</v>
      </c>
      <c r="BB281" t="s">
        <v>74</v>
      </c>
      <c r="BC281" t="s">
        <v>74</v>
      </c>
      <c r="BD281" t="s">
        <v>5700</v>
      </c>
      <c r="BE281" t="s">
        <v>5701</v>
      </c>
      <c r="BF281" t="str">
        <f>HYPERLINK("http://dx.doi.org/10.1029/2023JC019967","http://dx.doi.org/10.1029/2023JC019967")</f>
        <v>http://dx.doi.org/10.1029/2023JC019967</v>
      </c>
      <c r="BG281" t="s">
        <v>74</v>
      </c>
      <c r="BH281" t="s">
        <v>74</v>
      </c>
      <c r="BI281">
        <v>15</v>
      </c>
      <c r="BJ281" t="s">
        <v>306</v>
      </c>
      <c r="BK281" t="s">
        <v>104</v>
      </c>
      <c r="BL281" t="s">
        <v>306</v>
      </c>
      <c r="BM281" t="s">
        <v>5702</v>
      </c>
      <c r="BN281" t="s">
        <v>74</v>
      </c>
      <c r="BO281" t="s">
        <v>133</v>
      </c>
      <c r="BP281" t="s">
        <v>74</v>
      </c>
      <c r="BQ281" t="s">
        <v>74</v>
      </c>
      <c r="BR281" t="s">
        <v>107</v>
      </c>
      <c r="BS281" t="s">
        <v>5703</v>
      </c>
      <c r="BT281" t="str">
        <f>HYPERLINK("https%3A%2F%2Fwww.webofscience.com%2Fwos%2Fwoscc%2Ffull-record%2FWOS:001047634600001","View Full Record in Web of Science")</f>
        <v>View Full Record in Web of Science</v>
      </c>
    </row>
    <row r="282" spans="1:72" x14ac:dyDescent="0.15">
      <c r="A282" t="s">
        <v>72</v>
      </c>
      <c r="B282" t="s">
        <v>5704</v>
      </c>
      <c r="C282" t="s">
        <v>74</v>
      </c>
      <c r="D282" t="s">
        <v>74</v>
      </c>
      <c r="E282" t="s">
        <v>74</v>
      </c>
      <c r="F282" t="s">
        <v>5705</v>
      </c>
      <c r="G282" t="s">
        <v>74</v>
      </c>
      <c r="H282" t="s">
        <v>74</v>
      </c>
      <c r="I282" t="s">
        <v>5706</v>
      </c>
      <c r="J282" t="s">
        <v>5707</v>
      </c>
      <c r="K282" t="s">
        <v>74</v>
      </c>
      <c r="L282" t="s">
        <v>74</v>
      </c>
      <c r="M282" t="s">
        <v>78</v>
      </c>
      <c r="N282" t="s">
        <v>79</v>
      </c>
      <c r="O282" t="s">
        <v>74</v>
      </c>
      <c r="P282" t="s">
        <v>74</v>
      </c>
      <c r="Q282" t="s">
        <v>74</v>
      </c>
      <c r="R282" t="s">
        <v>74</v>
      </c>
      <c r="S282" t="s">
        <v>74</v>
      </c>
      <c r="T282" t="s">
        <v>5708</v>
      </c>
      <c r="U282" t="s">
        <v>5709</v>
      </c>
      <c r="V282" t="s">
        <v>5710</v>
      </c>
      <c r="W282" t="s">
        <v>5711</v>
      </c>
      <c r="X282" t="s">
        <v>3135</v>
      </c>
      <c r="Y282" t="s">
        <v>5712</v>
      </c>
      <c r="Z282" t="s">
        <v>5713</v>
      </c>
      <c r="AA282" t="s">
        <v>5714</v>
      </c>
      <c r="AB282" t="s">
        <v>5715</v>
      </c>
      <c r="AC282" t="s">
        <v>5716</v>
      </c>
      <c r="AD282" t="s">
        <v>5717</v>
      </c>
      <c r="AE282" t="s">
        <v>5718</v>
      </c>
      <c r="AF282" t="s">
        <v>74</v>
      </c>
      <c r="AG282">
        <v>92</v>
      </c>
      <c r="AH282">
        <v>0</v>
      </c>
      <c r="AI282">
        <v>0</v>
      </c>
      <c r="AJ282">
        <v>0</v>
      </c>
      <c r="AK282">
        <v>3</v>
      </c>
      <c r="AL282" t="s">
        <v>5719</v>
      </c>
      <c r="AM282" t="s">
        <v>839</v>
      </c>
      <c r="AN282" t="s">
        <v>5720</v>
      </c>
      <c r="AO282" t="s">
        <v>5721</v>
      </c>
      <c r="AP282" t="s">
        <v>5722</v>
      </c>
      <c r="AQ282" t="s">
        <v>74</v>
      </c>
      <c r="AR282" t="s">
        <v>5723</v>
      </c>
      <c r="AS282" t="s">
        <v>5724</v>
      </c>
      <c r="AT282" t="s">
        <v>5725</v>
      </c>
      <c r="AU282">
        <v>2023</v>
      </c>
      <c r="AV282">
        <v>71</v>
      </c>
      <c r="AW282">
        <v>2</v>
      </c>
      <c r="AX282" t="s">
        <v>74</v>
      </c>
      <c r="AY282" t="s">
        <v>74</v>
      </c>
      <c r="AZ282" t="s">
        <v>74</v>
      </c>
      <c r="BA282" t="s">
        <v>74</v>
      </c>
      <c r="BB282" t="s">
        <v>74</v>
      </c>
      <c r="BC282" t="s">
        <v>74</v>
      </c>
      <c r="BD282" t="s">
        <v>5726</v>
      </c>
      <c r="BE282" t="s">
        <v>5727</v>
      </c>
      <c r="BF282" t="str">
        <f>HYPERLINK("http://dx.doi.org/10.1530/JME-23-0021","http://dx.doi.org/10.1530/JME-23-0021")</f>
        <v>http://dx.doi.org/10.1530/JME-23-0021</v>
      </c>
      <c r="BG282" t="s">
        <v>74</v>
      </c>
      <c r="BH282" t="s">
        <v>74</v>
      </c>
      <c r="BI282">
        <v>14</v>
      </c>
      <c r="BJ282" t="s">
        <v>5728</v>
      </c>
      <c r="BK282" t="s">
        <v>104</v>
      </c>
      <c r="BL282" t="s">
        <v>5728</v>
      </c>
      <c r="BM282" t="s">
        <v>5729</v>
      </c>
      <c r="BN282">
        <v>37159386</v>
      </c>
      <c r="BO282" t="s">
        <v>74</v>
      </c>
      <c r="BP282" t="s">
        <v>74</v>
      </c>
      <c r="BQ282" t="s">
        <v>74</v>
      </c>
      <c r="BR282" t="s">
        <v>107</v>
      </c>
      <c r="BS282" t="s">
        <v>5730</v>
      </c>
      <c r="BT282" t="str">
        <f>HYPERLINK("https%3A%2F%2Fwww.webofscience.com%2Fwos%2Fwoscc%2Ffull-record%2FWOS:001042008200005","View Full Record in Web of Science")</f>
        <v>View Full Record in Web of Science</v>
      </c>
    </row>
    <row r="283" spans="1:72" x14ac:dyDescent="0.15">
      <c r="A283" t="s">
        <v>72</v>
      </c>
      <c r="B283" t="s">
        <v>5731</v>
      </c>
      <c r="C283" t="s">
        <v>74</v>
      </c>
      <c r="D283" t="s">
        <v>74</v>
      </c>
      <c r="E283" t="s">
        <v>74</v>
      </c>
      <c r="F283" t="s">
        <v>5732</v>
      </c>
      <c r="G283" t="s">
        <v>74</v>
      </c>
      <c r="H283" t="s">
        <v>74</v>
      </c>
      <c r="I283" t="s">
        <v>5733</v>
      </c>
      <c r="J283" t="s">
        <v>708</v>
      </c>
      <c r="K283" t="s">
        <v>74</v>
      </c>
      <c r="L283" t="s">
        <v>74</v>
      </c>
      <c r="M283" t="s">
        <v>78</v>
      </c>
      <c r="N283" t="s">
        <v>79</v>
      </c>
      <c r="O283" t="s">
        <v>74</v>
      </c>
      <c r="P283" t="s">
        <v>74</v>
      </c>
      <c r="Q283" t="s">
        <v>74</v>
      </c>
      <c r="R283" t="s">
        <v>74</v>
      </c>
      <c r="S283" t="s">
        <v>74</v>
      </c>
      <c r="T283" t="s">
        <v>5734</v>
      </c>
      <c r="U283" t="s">
        <v>5735</v>
      </c>
      <c r="V283" t="s">
        <v>5736</v>
      </c>
      <c r="W283" t="s">
        <v>5737</v>
      </c>
      <c r="X283" t="s">
        <v>5738</v>
      </c>
      <c r="Y283" t="s">
        <v>2922</v>
      </c>
      <c r="Z283" t="s">
        <v>2923</v>
      </c>
      <c r="AA283" t="s">
        <v>74</v>
      </c>
      <c r="AB283" t="s">
        <v>74</v>
      </c>
      <c r="AC283" t="s">
        <v>74</v>
      </c>
      <c r="AD283" t="s">
        <v>74</v>
      </c>
      <c r="AE283" t="s">
        <v>74</v>
      </c>
      <c r="AF283" t="s">
        <v>74</v>
      </c>
      <c r="AG283">
        <v>54</v>
      </c>
      <c r="AH283">
        <v>1</v>
      </c>
      <c r="AI283">
        <v>1</v>
      </c>
      <c r="AJ283">
        <v>4</v>
      </c>
      <c r="AK283">
        <v>4</v>
      </c>
      <c r="AL283" t="s">
        <v>369</v>
      </c>
      <c r="AM283" t="s">
        <v>370</v>
      </c>
      <c r="AN283" t="s">
        <v>371</v>
      </c>
      <c r="AO283" t="s">
        <v>74</v>
      </c>
      <c r="AP283" t="s">
        <v>720</v>
      </c>
      <c r="AQ283" t="s">
        <v>74</v>
      </c>
      <c r="AR283" t="s">
        <v>721</v>
      </c>
      <c r="AS283" t="s">
        <v>722</v>
      </c>
      <c r="AT283" t="s">
        <v>4689</v>
      </c>
      <c r="AU283">
        <v>2023</v>
      </c>
      <c r="AV283">
        <v>15</v>
      </c>
      <c r="AW283">
        <v>15</v>
      </c>
      <c r="AX283" t="s">
        <v>74</v>
      </c>
      <c r="AY283" t="s">
        <v>74</v>
      </c>
      <c r="AZ283" t="s">
        <v>74</v>
      </c>
      <c r="BA283" t="s">
        <v>74</v>
      </c>
      <c r="BB283" t="s">
        <v>74</v>
      </c>
      <c r="BC283" t="s">
        <v>74</v>
      </c>
      <c r="BD283">
        <v>3894</v>
      </c>
      <c r="BE283" t="s">
        <v>5739</v>
      </c>
      <c r="BF283" t="str">
        <f>HYPERLINK("http://dx.doi.org/10.3390/rs15153894","http://dx.doi.org/10.3390/rs15153894")</f>
        <v>http://dx.doi.org/10.3390/rs15153894</v>
      </c>
      <c r="BG283" t="s">
        <v>74</v>
      </c>
      <c r="BH283" t="s">
        <v>74</v>
      </c>
      <c r="BI283">
        <v>15</v>
      </c>
      <c r="BJ283" t="s">
        <v>724</v>
      </c>
      <c r="BK283" t="s">
        <v>104</v>
      </c>
      <c r="BL283" t="s">
        <v>725</v>
      </c>
      <c r="BM283" t="s">
        <v>5740</v>
      </c>
      <c r="BN283" t="s">
        <v>74</v>
      </c>
      <c r="BO283" t="s">
        <v>821</v>
      </c>
      <c r="BP283" t="s">
        <v>74</v>
      </c>
      <c r="BQ283" t="s">
        <v>74</v>
      </c>
      <c r="BR283" t="s">
        <v>107</v>
      </c>
      <c r="BS283" t="s">
        <v>5741</v>
      </c>
      <c r="BT283" t="str">
        <f>HYPERLINK("https%3A%2F%2Fwww.webofscience.com%2Fwos%2Fwoscc%2Ffull-record%2FWOS:001045551500001","View Full Record in Web of Science")</f>
        <v>View Full Record in Web of Science</v>
      </c>
    </row>
    <row r="284" spans="1:72" x14ac:dyDescent="0.15">
      <c r="A284" t="s">
        <v>72</v>
      </c>
      <c r="B284" t="s">
        <v>5742</v>
      </c>
      <c r="C284" t="s">
        <v>74</v>
      </c>
      <c r="D284" t="s">
        <v>74</v>
      </c>
      <c r="E284" t="s">
        <v>74</v>
      </c>
      <c r="F284" t="s">
        <v>5743</v>
      </c>
      <c r="G284" t="s">
        <v>74</v>
      </c>
      <c r="H284" t="s">
        <v>74</v>
      </c>
      <c r="I284" t="s">
        <v>5744</v>
      </c>
      <c r="J284" t="s">
        <v>5745</v>
      </c>
      <c r="K284" t="s">
        <v>74</v>
      </c>
      <c r="L284" t="s">
        <v>74</v>
      </c>
      <c r="M284" t="s">
        <v>78</v>
      </c>
      <c r="N284" t="s">
        <v>424</v>
      </c>
      <c r="O284" t="s">
        <v>74</v>
      </c>
      <c r="P284" t="s">
        <v>74</v>
      </c>
      <c r="Q284" t="s">
        <v>74</v>
      </c>
      <c r="R284" t="s">
        <v>74</v>
      </c>
      <c r="S284" t="s">
        <v>74</v>
      </c>
      <c r="T284" t="s">
        <v>5746</v>
      </c>
      <c r="U284" t="s">
        <v>5747</v>
      </c>
      <c r="V284" t="s">
        <v>5748</v>
      </c>
      <c r="W284" t="s">
        <v>5749</v>
      </c>
      <c r="X284" t="s">
        <v>4502</v>
      </c>
      <c r="Y284" t="s">
        <v>5750</v>
      </c>
      <c r="Z284" t="s">
        <v>5751</v>
      </c>
      <c r="AA284" t="s">
        <v>74</v>
      </c>
      <c r="AB284" t="s">
        <v>5752</v>
      </c>
      <c r="AC284" t="s">
        <v>5753</v>
      </c>
      <c r="AD284" t="s">
        <v>5754</v>
      </c>
      <c r="AE284" t="s">
        <v>5755</v>
      </c>
      <c r="AF284" t="s">
        <v>74</v>
      </c>
      <c r="AG284">
        <v>170</v>
      </c>
      <c r="AH284">
        <v>0</v>
      </c>
      <c r="AI284">
        <v>0</v>
      </c>
      <c r="AJ284">
        <v>6</v>
      </c>
      <c r="AK284">
        <v>10</v>
      </c>
      <c r="AL284" t="s">
        <v>369</v>
      </c>
      <c r="AM284" t="s">
        <v>370</v>
      </c>
      <c r="AN284" t="s">
        <v>371</v>
      </c>
      <c r="AO284" t="s">
        <v>74</v>
      </c>
      <c r="AP284" t="s">
        <v>5756</v>
      </c>
      <c r="AQ284" t="s">
        <v>74</v>
      </c>
      <c r="AR284" t="s">
        <v>5757</v>
      </c>
      <c r="AS284" t="s">
        <v>5758</v>
      </c>
      <c r="AT284" t="s">
        <v>4689</v>
      </c>
      <c r="AU284">
        <v>2023</v>
      </c>
      <c r="AV284">
        <v>15</v>
      </c>
      <c r="AW284">
        <v>15</v>
      </c>
      <c r="AX284" t="s">
        <v>74</v>
      </c>
      <c r="AY284" t="s">
        <v>74</v>
      </c>
      <c r="AZ284" t="s">
        <v>74</v>
      </c>
      <c r="BA284" t="s">
        <v>74</v>
      </c>
      <c r="BB284" t="s">
        <v>74</v>
      </c>
      <c r="BC284" t="s">
        <v>74</v>
      </c>
      <c r="BD284">
        <v>12039</v>
      </c>
      <c r="BE284" t="s">
        <v>5759</v>
      </c>
      <c r="BF284" t="str">
        <f>HYPERLINK("http://dx.doi.org/10.3390/su151512039","http://dx.doi.org/10.3390/su151512039")</f>
        <v>http://dx.doi.org/10.3390/su151512039</v>
      </c>
      <c r="BG284" t="s">
        <v>74</v>
      </c>
      <c r="BH284" t="s">
        <v>74</v>
      </c>
      <c r="BI284">
        <v>19</v>
      </c>
      <c r="BJ284" t="s">
        <v>5760</v>
      </c>
      <c r="BK284" t="s">
        <v>881</v>
      </c>
      <c r="BL284" t="s">
        <v>5761</v>
      </c>
      <c r="BM284" t="s">
        <v>5762</v>
      </c>
      <c r="BN284" t="s">
        <v>74</v>
      </c>
      <c r="BO284" t="s">
        <v>206</v>
      </c>
      <c r="BP284" t="s">
        <v>74</v>
      </c>
      <c r="BQ284" t="s">
        <v>74</v>
      </c>
      <c r="BR284" t="s">
        <v>107</v>
      </c>
      <c r="BS284" t="s">
        <v>5763</v>
      </c>
      <c r="BT284" t="str">
        <f>HYPERLINK("https%3A%2F%2Fwww.webofscience.com%2Fwos%2Fwoscc%2Ffull-record%2FWOS:001046447000001","View Full Record in Web of Science")</f>
        <v>View Full Record in Web of Science</v>
      </c>
    </row>
    <row r="285" spans="1:72" x14ac:dyDescent="0.15">
      <c r="A285" t="s">
        <v>72</v>
      </c>
      <c r="B285" t="s">
        <v>5764</v>
      </c>
      <c r="C285" t="s">
        <v>74</v>
      </c>
      <c r="D285" t="s">
        <v>74</v>
      </c>
      <c r="E285" t="s">
        <v>74</v>
      </c>
      <c r="F285" t="s">
        <v>5765</v>
      </c>
      <c r="G285" t="s">
        <v>74</v>
      </c>
      <c r="H285" t="s">
        <v>74</v>
      </c>
      <c r="I285" t="s">
        <v>5766</v>
      </c>
      <c r="J285" t="s">
        <v>776</v>
      </c>
      <c r="K285" t="s">
        <v>74</v>
      </c>
      <c r="L285" t="s">
        <v>74</v>
      </c>
      <c r="M285" t="s">
        <v>78</v>
      </c>
      <c r="N285" t="s">
        <v>79</v>
      </c>
      <c r="O285" t="s">
        <v>74</v>
      </c>
      <c r="P285" t="s">
        <v>74</v>
      </c>
      <c r="Q285" t="s">
        <v>74</v>
      </c>
      <c r="R285" t="s">
        <v>74</v>
      </c>
      <c r="S285" t="s">
        <v>74</v>
      </c>
      <c r="T285" t="s">
        <v>5767</v>
      </c>
      <c r="U285" t="s">
        <v>5768</v>
      </c>
      <c r="V285" t="s">
        <v>5769</v>
      </c>
      <c r="W285" t="s">
        <v>5770</v>
      </c>
      <c r="X285" t="s">
        <v>5771</v>
      </c>
      <c r="Y285" t="s">
        <v>5772</v>
      </c>
      <c r="Z285" t="s">
        <v>5773</v>
      </c>
      <c r="AA285" t="s">
        <v>5774</v>
      </c>
      <c r="AB285" t="s">
        <v>5775</v>
      </c>
      <c r="AC285" t="s">
        <v>74</v>
      </c>
      <c r="AD285" t="s">
        <v>74</v>
      </c>
      <c r="AE285" t="s">
        <v>74</v>
      </c>
      <c r="AF285" t="s">
        <v>74</v>
      </c>
      <c r="AG285">
        <v>51</v>
      </c>
      <c r="AH285">
        <v>0</v>
      </c>
      <c r="AI285">
        <v>0</v>
      </c>
      <c r="AJ285">
        <v>5</v>
      </c>
      <c r="AK285">
        <v>5</v>
      </c>
      <c r="AL285" t="s">
        <v>369</v>
      </c>
      <c r="AM285" t="s">
        <v>370</v>
      </c>
      <c r="AN285" t="s">
        <v>371</v>
      </c>
      <c r="AO285" t="s">
        <v>789</v>
      </c>
      <c r="AP285" t="s">
        <v>790</v>
      </c>
      <c r="AQ285" t="s">
        <v>74</v>
      </c>
      <c r="AR285" t="s">
        <v>791</v>
      </c>
      <c r="AS285" t="s">
        <v>792</v>
      </c>
      <c r="AT285" t="s">
        <v>4689</v>
      </c>
      <c r="AU285">
        <v>2023</v>
      </c>
      <c r="AV285">
        <v>24</v>
      </c>
      <c r="AW285">
        <v>15</v>
      </c>
      <c r="AX285" t="s">
        <v>74</v>
      </c>
      <c r="AY285" t="s">
        <v>74</v>
      </c>
      <c r="AZ285" t="s">
        <v>74</v>
      </c>
      <c r="BA285" t="s">
        <v>74</v>
      </c>
      <c r="BB285" t="s">
        <v>74</v>
      </c>
      <c r="BC285" t="s">
        <v>74</v>
      </c>
      <c r="BD285">
        <v>12340</v>
      </c>
      <c r="BE285" t="s">
        <v>5776</v>
      </c>
      <c r="BF285" t="str">
        <f>HYPERLINK("http://dx.doi.org/10.3390/ijms241512340","http://dx.doi.org/10.3390/ijms241512340")</f>
        <v>http://dx.doi.org/10.3390/ijms241512340</v>
      </c>
      <c r="BG285" t="s">
        <v>74</v>
      </c>
      <c r="BH285" t="s">
        <v>74</v>
      </c>
      <c r="BI285">
        <v>20</v>
      </c>
      <c r="BJ285" t="s">
        <v>794</v>
      </c>
      <c r="BK285" t="s">
        <v>104</v>
      </c>
      <c r="BL285" t="s">
        <v>795</v>
      </c>
      <c r="BM285" t="s">
        <v>5777</v>
      </c>
      <c r="BN285">
        <v>37569716</v>
      </c>
      <c r="BO285" t="s">
        <v>821</v>
      </c>
      <c r="BP285" t="s">
        <v>74</v>
      </c>
      <c r="BQ285" t="s">
        <v>74</v>
      </c>
      <c r="BR285" t="s">
        <v>107</v>
      </c>
      <c r="BS285" t="s">
        <v>5778</v>
      </c>
      <c r="BT285" t="str">
        <f>HYPERLINK("https%3A%2F%2Fwww.webofscience.com%2Fwos%2Fwoscc%2Ffull-record%2FWOS:001045575700001","View Full Record in Web of Science")</f>
        <v>View Full Record in Web of Science</v>
      </c>
    </row>
    <row r="286" spans="1:72" x14ac:dyDescent="0.15">
      <c r="A286" t="s">
        <v>72</v>
      </c>
      <c r="B286" t="s">
        <v>5779</v>
      </c>
      <c r="C286" t="s">
        <v>74</v>
      </c>
      <c r="D286" t="s">
        <v>74</v>
      </c>
      <c r="E286" t="s">
        <v>74</v>
      </c>
      <c r="F286" t="s">
        <v>5780</v>
      </c>
      <c r="G286" t="s">
        <v>74</v>
      </c>
      <c r="H286" t="s">
        <v>74</v>
      </c>
      <c r="I286" t="s">
        <v>5781</v>
      </c>
      <c r="J286" t="s">
        <v>5782</v>
      </c>
      <c r="K286" t="s">
        <v>74</v>
      </c>
      <c r="L286" t="s">
        <v>74</v>
      </c>
      <c r="M286" t="s">
        <v>78</v>
      </c>
      <c r="N286" t="s">
        <v>79</v>
      </c>
      <c r="O286" t="s">
        <v>74</v>
      </c>
      <c r="P286" t="s">
        <v>74</v>
      </c>
      <c r="Q286" t="s">
        <v>74</v>
      </c>
      <c r="R286" t="s">
        <v>74</v>
      </c>
      <c r="S286" t="s">
        <v>74</v>
      </c>
      <c r="T286" t="s">
        <v>5783</v>
      </c>
      <c r="U286" t="s">
        <v>5784</v>
      </c>
      <c r="V286" t="s">
        <v>5785</v>
      </c>
      <c r="W286" t="s">
        <v>5786</v>
      </c>
      <c r="X286" t="s">
        <v>5787</v>
      </c>
      <c r="Y286" t="s">
        <v>5788</v>
      </c>
      <c r="Z286" t="s">
        <v>5789</v>
      </c>
      <c r="AA286" t="s">
        <v>5790</v>
      </c>
      <c r="AB286" t="s">
        <v>5791</v>
      </c>
      <c r="AC286" t="s">
        <v>5792</v>
      </c>
      <c r="AD286" t="s">
        <v>5793</v>
      </c>
      <c r="AE286" t="s">
        <v>5794</v>
      </c>
      <c r="AF286" t="s">
        <v>74</v>
      </c>
      <c r="AG286">
        <v>79</v>
      </c>
      <c r="AH286">
        <v>2</v>
      </c>
      <c r="AI286">
        <v>2</v>
      </c>
      <c r="AJ286">
        <v>3</v>
      </c>
      <c r="AK286">
        <v>3</v>
      </c>
      <c r="AL286" t="s">
        <v>588</v>
      </c>
      <c r="AM286" t="s">
        <v>589</v>
      </c>
      <c r="AN286" t="s">
        <v>590</v>
      </c>
      <c r="AO286" t="s">
        <v>74</v>
      </c>
      <c r="AP286" t="s">
        <v>5795</v>
      </c>
      <c r="AQ286" t="s">
        <v>74</v>
      </c>
      <c r="AR286" t="s">
        <v>5796</v>
      </c>
      <c r="AS286" t="s">
        <v>5797</v>
      </c>
      <c r="AT286" t="s">
        <v>4689</v>
      </c>
      <c r="AU286">
        <v>2023</v>
      </c>
      <c r="AV286">
        <v>15</v>
      </c>
      <c r="AW286">
        <v>8</v>
      </c>
      <c r="AX286" t="s">
        <v>74</v>
      </c>
      <c r="AY286" t="s">
        <v>74</v>
      </c>
      <c r="AZ286" t="s">
        <v>74</v>
      </c>
      <c r="BA286" t="s">
        <v>74</v>
      </c>
      <c r="BB286" t="s">
        <v>74</v>
      </c>
      <c r="BC286" t="s">
        <v>74</v>
      </c>
      <c r="BD286" t="s">
        <v>5798</v>
      </c>
      <c r="BE286" t="s">
        <v>5799</v>
      </c>
      <c r="BF286" t="str">
        <f>HYPERLINK("http://dx.doi.org/10.1029/2022MS003147","http://dx.doi.org/10.1029/2022MS003147")</f>
        <v>http://dx.doi.org/10.1029/2022MS003147</v>
      </c>
      <c r="BG286" t="s">
        <v>74</v>
      </c>
      <c r="BH286" t="s">
        <v>74</v>
      </c>
      <c r="BI286">
        <v>15</v>
      </c>
      <c r="BJ286" t="s">
        <v>103</v>
      </c>
      <c r="BK286" t="s">
        <v>104</v>
      </c>
      <c r="BL286" t="s">
        <v>103</v>
      </c>
      <c r="BM286" t="s">
        <v>5800</v>
      </c>
      <c r="BN286" t="s">
        <v>74</v>
      </c>
      <c r="BO286" t="s">
        <v>206</v>
      </c>
      <c r="BP286" t="s">
        <v>74</v>
      </c>
      <c r="BQ286" t="s">
        <v>74</v>
      </c>
      <c r="BR286" t="s">
        <v>107</v>
      </c>
      <c r="BS286" t="s">
        <v>5801</v>
      </c>
      <c r="BT286" t="str">
        <f>HYPERLINK("https%3A%2F%2Fwww.webofscience.com%2Fwos%2Fwoscc%2Ffull-record%2FWOS:001043560700001","View Full Record in Web of Science")</f>
        <v>View Full Record in Web of Science</v>
      </c>
    </row>
    <row r="287" spans="1:72" x14ac:dyDescent="0.15">
      <c r="A287" t="s">
        <v>72</v>
      </c>
      <c r="B287" t="s">
        <v>5802</v>
      </c>
      <c r="C287" t="s">
        <v>74</v>
      </c>
      <c r="D287" t="s">
        <v>74</v>
      </c>
      <c r="E287" t="s">
        <v>74</v>
      </c>
      <c r="F287" t="s">
        <v>5803</v>
      </c>
      <c r="G287" t="s">
        <v>74</v>
      </c>
      <c r="H287" t="s">
        <v>74</v>
      </c>
      <c r="I287" t="s">
        <v>5804</v>
      </c>
      <c r="J287" t="s">
        <v>211</v>
      </c>
      <c r="K287" t="s">
        <v>74</v>
      </c>
      <c r="L287" t="s">
        <v>74</v>
      </c>
      <c r="M287" t="s">
        <v>78</v>
      </c>
      <c r="N287" t="s">
        <v>79</v>
      </c>
      <c r="O287" t="s">
        <v>74</v>
      </c>
      <c r="P287" t="s">
        <v>74</v>
      </c>
      <c r="Q287" t="s">
        <v>74</v>
      </c>
      <c r="R287" t="s">
        <v>74</v>
      </c>
      <c r="S287" t="s">
        <v>74</v>
      </c>
      <c r="T287" t="s">
        <v>5805</v>
      </c>
      <c r="U287" t="s">
        <v>5806</v>
      </c>
      <c r="V287" t="s">
        <v>5807</v>
      </c>
      <c r="W287" t="s">
        <v>5808</v>
      </c>
      <c r="X287" t="s">
        <v>5809</v>
      </c>
      <c r="Y287" t="s">
        <v>5810</v>
      </c>
      <c r="Z287" t="s">
        <v>5811</v>
      </c>
      <c r="AA287" t="s">
        <v>5812</v>
      </c>
      <c r="AB287" t="s">
        <v>5813</v>
      </c>
      <c r="AC287" t="s">
        <v>5814</v>
      </c>
      <c r="AD287" t="s">
        <v>5815</v>
      </c>
      <c r="AE287" t="s">
        <v>5816</v>
      </c>
      <c r="AF287" t="s">
        <v>74</v>
      </c>
      <c r="AG287">
        <v>94</v>
      </c>
      <c r="AH287">
        <v>1</v>
      </c>
      <c r="AI287">
        <v>1</v>
      </c>
      <c r="AJ287">
        <v>18</v>
      </c>
      <c r="AK287">
        <v>21</v>
      </c>
      <c r="AL287" t="s">
        <v>90</v>
      </c>
      <c r="AM287" t="s">
        <v>91</v>
      </c>
      <c r="AN287" t="s">
        <v>92</v>
      </c>
      <c r="AO287" t="s">
        <v>222</v>
      </c>
      <c r="AP287" t="s">
        <v>223</v>
      </c>
      <c r="AQ287" t="s">
        <v>74</v>
      </c>
      <c r="AR287" t="s">
        <v>224</v>
      </c>
      <c r="AS287" t="s">
        <v>225</v>
      </c>
      <c r="AT287" t="s">
        <v>4689</v>
      </c>
      <c r="AU287">
        <v>2023</v>
      </c>
      <c r="AV287">
        <v>36</v>
      </c>
      <c r="AW287">
        <v>16</v>
      </c>
      <c r="AX287" t="s">
        <v>74</v>
      </c>
      <c r="AY287" t="s">
        <v>74</v>
      </c>
      <c r="AZ287" t="s">
        <v>74</v>
      </c>
      <c r="BA287" t="s">
        <v>74</v>
      </c>
      <c r="BB287">
        <v>5641</v>
      </c>
      <c r="BC287">
        <v>5658</v>
      </c>
      <c r="BD287" t="s">
        <v>74</v>
      </c>
      <c r="BE287" t="s">
        <v>5817</v>
      </c>
      <c r="BF287" t="str">
        <f>HYPERLINK("http://dx.doi.org/10.1175/JCLI-D-22-0826.1","http://dx.doi.org/10.1175/JCLI-D-22-0826.1")</f>
        <v>http://dx.doi.org/10.1175/JCLI-D-22-0826.1</v>
      </c>
      <c r="BG287" t="s">
        <v>74</v>
      </c>
      <c r="BH287" t="s">
        <v>74</v>
      </c>
      <c r="BI287">
        <v>18</v>
      </c>
      <c r="BJ287" t="s">
        <v>103</v>
      </c>
      <c r="BK287" t="s">
        <v>104</v>
      </c>
      <c r="BL287" t="s">
        <v>103</v>
      </c>
      <c r="BM287" t="s">
        <v>5818</v>
      </c>
      <c r="BN287" t="s">
        <v>74</v>
      </c>
      <c r="BO287" t="s">
        <v>74</v>
      </c>
      <c r="BP287" t="s">
        <v>74</v>
      </c>
      <c r="BQ287" t="s">
        <v>74</v>
      </c>
      <c r="BR287" t="s">
        <v>107</v>
      </c>
      <c r="BS287" t="s">
        <v>5819</v>
      </c>
      <c r="BT287" t="str">
        <f>HYPERLINK("https%3A%2F%2Fwww.webofscience.com%2Fwos%2Fwoscc%2Ffull-record%2FWOS:001042502500001","View Full Record in Web of Science")</f>
        <v>View Full Record in Web of Science</v>
      </c>
    </row>
    <row r="288" spans="1:72" x14ac:dyDescent="0.15">
      <c r="A288" t="s">
        <v>72</v>
      </c>
      <c r="B288" t="s">
        <v>5820</v>
      </c>
      <c r="C288" t="s">
        <v>74</v>
      </c>
      <c r="D288" t="s">
        <v>74</v>
      </c>
      <c r="E288" t="s">
        <v>74</v>
      </c>
      <c r="F288" t="s">
        <v>5821</v>
      </c>
      <c r="G288" t="s">
        <v>74</v>
      </c>
      <c r="H288" t="s">
        <v>74</v>
      </c>
      <c r="I288" t="s">
        <v>5822</v>
      </c>
      <c r="J288" t="s">
        <v>1008</v>
      </c>
      <c r="K288" t="s">
        <v>74</v>
      </c>
      <c r="L288" t="s">
        <v>74</v>
      </c>
      <c r="M288" t="s">
        <v>78</v>
      </c>
      <c r="N288" t="s">
        <v>79</v>
      </c>
      <c r="O288" t="s">
        <v>74</v>
      </c>
      <c r="P288" t="s">
        <v>74</v>
      </c>
      <c r="Q288" t="s">
        <v>74</v>
      </c>
      <c r="R288" t="s">
        <v>74</v>
      </c>
      <c r="S288" t="s">
        <v>74</v>
      </c>
      <c r="T288" t="s">
        <v>5823</v>
      </c>
      <c r="U288" t="s">
        <v>5824</v>
      </c>
      <c r="V288" t="s">
        <v>5825</v>
      </c>
      <c r="W288" t="s">
        <v>5826</v>
      </c>
      <c r="X288" t="s">
        <v>5827</v>
      </c>
      <c r="Y288" t="s">
        <v>5828</v>
      </c>
      <c r="Z288" t="s">
        <v>5829</v>
      </c>
      <c r="AA288" t="s">
        <v>5830</v>
      </c>
      <c r="AB288" t="s">
        <v>5831</v>
      </c>
      <c r="AC288" t="s">
        <v>5832</v>
      </c>
      <c r="AD288" t="s">
        <v>5833</v>
      </c>
      <c r="AE288" t="s">
        <v>5834</v>
      </c>
      <c r="AF288" t="s">
        <v>74</v>
      </c>
      <c r="AG288">
        <v>72</v>
      </c>
      <c r="AH288">
        <v>1</v>
      </c>
      <c r="AI288">
        <v>1</v>
      </c>
      <c r="AJ288">
        <v>11</v>
      </c>
      <c r="AK288">
        <v>11</v>
      </c>
      <c r="AL288" t="s">
        <v>588</v>
      </c>
      <c r="AM288" t="s">
        <v>589</v>
      </c>
      <c r="AN288" t="s">
        <v>590</v>
      </c>
      <c r="AO288" t="s">
        <v>1020</v>
      </c>
      <c r="AP288" t="s">
        <v>1021</v>
      </c>
      <c r="AQ288" t="s">
        <v>74</v>
      </c>
      <c r="AR288" t="s">
        <v>1022</v>
      </c>
      <c r="AS288" t="s">
        <v>1023</v>
      </c>
      <c r="AT288" t="s">
        <v>4689</v>
      </c>
      <c r="AU288">
        <v>2023</v>
      </c>
      <c r="AV288">
        <v>128</v>
      </c>
      <c r="AW288">
        <v>8</v>
      </c>
      <c r="AX288" t="s">
        <v>74</v>
      </c>
      <c r="AY288" t="s">
        <v>74</v>
      </c>
      <c r="AZ288" t="s">
        <v>74</v>
      </c>
      <c r="BA288" t="s">
        <v>74</v>
      </c>
      <c r="BB288" t="s">
        <v>74</v>
      </c>
      <c r="BC288" t="s">
        <v>74</v>
      </c>
      <c r="BD288" t="s">
        <v>5835</v>
      </c>
      <c r="BE288" t="s">
        <v>5836</v>
      </c>
      <c r="BF288" t="str">
        <f>HYPERLINK("http://dx.doi.org/10.1029/2023JC019775","http://dx.doi.org/10.1029/2023JC019775")</f>
        <v>http://dx.doi.org/10.1029/2023JC019775</v>
      </c>
      <c r="BG288" t="s">
        <v>74</v>
      </c>
      <c r="BH288" t="s">
        <v>74</v>
      </c>
      <c r="BI288">
        <v>17</v>
      </c>
      <c r="BJ288" t="s">
        <v>306</v>
      </c>
      <c r="BK288" t="s">
        <v>104</v>
      </c>
      <c r="BL288" t="s">
        <v>306</v>
      </c>
      <c r="BM288" t="s">
        <v>5837</v>
      </c>
      <c r="BN288" t="s">
        <v>74</v>
      </c>
      <c r="BO288" t="s">
        <v>74</v>
      </c>
      <c r="BP288" t="s">
        <v>74</v>
      </c>
      <c r="BQ288" t="s">
        <v>74</v>
      </c>
      <c r="BR288" t="s">
        <v>107</v>
      </c>
      <c r="BS288" t="s">
        <v>5838</v>
      </c>
      <c r="BT288" t="str">
        <f>HYPERLINK("https%3A%2F%2Fwww.webofscience.com%2Fwos%2Fwoscc%2Ffull-record%2FWOS:001041163500001","View Full Record in Web of Science")</f>
        <v>View Full Record in Web of Science</v>
      </c>
    </row>
    <row r="289" spans="1:72" x14ac:dyDescent="0.15">
      <c r="A289" t="s">
        <v>72</v>
      </c>
      <c r="B289" t="s">
        <v>5839</v>
      </c>
      <c r="C289" t="s">
        <v>74</v>
      </c>
      <c r="D289" t="s">
        <v>74</v>
      </c>
      <c r="E289" t="s">
        <v>74</v>
      </c>
      <c r="F289" t="s">
        <v>5840</v>
      </c>
      <c r="G289" t="s">
        <v>74</v>
      </c>
      <c r="H289" t="s">
        <v>74</v>
      </c>
      <c r="I289" t="s">
        <v>5841</v>
      </c>
      <c r="J289" t="s">
        <v>888</v>
      </c>
      <c r="K289" t="s">
        <v>74</v>
      </c>
      <c r="L289" t="s">
        <v>74</v>
      </c>
      <c r="M289" t="s">
        <v>78</v>
      </c>
      <c r="N289" t="s">
        <v>79</v>
      </c>
      <c r="O289" t="s">
        <v>74</v>
      </c>
      <c r="P289" t="s">
        <v>74</v>
      </c>
      <c r="Q289" t="s">
        <v>74</v>
      </c>
      <c r="R289" t="s">
        <v>74</v>
      </c>
      <c r="S289" t="s">
        <v>74</v>
      </c>
      <c r="T289" t="s">
        <v>5842</v>
      </c>
      <c r="U289" t="s">
        <v>5843</v>
      </c>
      <c r="V289" t="s">
        <v>5844</v>
      </c>
      <c r="W289" t="s">
        <v>5845</v>
      </c>
      <c r="X289" t="s">
        <v>5846</v>
      </c>
      <c r="Y289" t="s">
        <v>5847</v>
      </c>
      <c r="Z289" t="s">
        <v>5848</v>
      </c>
      <c r="AA289" t="s">
        <v>5849</v>
      </c>
      <c r="AB289" t="s">
        <v>5850</v>
      </c>
      <c r="AC289" t="s">
        <v>5851</v>
      </c>
      <c r="AD289" t="s">
        <v>5852</v>
      </c>
      <c r="AE289" t="s">
        <v>5853</v>
      </c>
      <c r="AF289" t="s">
        <v>74</v>
      </c>
      <c r="AG289">
        <v>86</v>
      </c>
      <c r="AH289">
        <v>2</v>
      </c>
      <c r="AI289">
        <v>2</v>
      </c>
      <c r="AJ289">
        <v>13</v>
      </c>
      <c r="AK289">
        <v>18</v>
      </c>
      <c r="AL289" t="s">
        <v>588</v>
      </c>
      <c r="AM289" t="s">
        <v>589</v>
      </c>
      <c r="AN289" t="s">
        <v>590</v>
      </c>
      <c r="AO289" t="s">
        <v>901</v>
      </c>
      <c r="AP289" t="s">
        <v>902</v>
      </c>
      <c r="AQ289" t="s">
        <v>74</v>
      </c>
      <c r="AR289" t="s">
        <v>903</v>
      </c>
      <c r="AS289" t="s">
        <v>904</v>
      </c>
      <c r="AT289" t="s">
        <v>4689</v>
      </c>
      <c r="AU289">
        <v>2023</v>
      </c>
      <c r="AV289">
        <v>128</v>
      </c>
      <c r="AW289">
        <v>8</v>
      </c>
      <c r="AX289" t="s">
        <v>74</v>
      </c>
      <c r="AY289" t="s">
        <v>74</v>
      </c>
      <c r="AZ289" t="s">
        <v>74</v>
      </c>
      <c r="BA289" t="s">
        <v>74</v>
      </c>
      <c r="BB289" t="s">
        <v>74</v>
      </c>
      <c r="BC289" t="s">
        <v>74</v>
      </c>
      <c r="BD289" t="s">
        <v>5854</v>
      </c>
      <c r="BE289" t="s">
        <v>5855</v>
      </c>
      <c r="BF289" t="str">
        <f>HYPERLINK("http://dx.doi.org/10.1029/2022JA031158","http://dx.doi.org/10.1029/2022JA031158")</f>
        <v>http://dx.doi.org/10.1029/2022JA031158</v>
      </c>
      <c r="BG289" t="s">
        <v>74</v>
      </c>
      <c r="BH289" t="s">
        <v>74</v>
      </c>
      <c r="BI289">
        <v>17</v>
      </c>
      <c r="BJ289" t="s">
        <v>845</v>
      </c>
      <c r="BK289" t="s">
        <v>104</v>
      </c>
      <c r="BL289" t="s">
        <v>845</v>
      </c>
      <c r="BM289" t="s">
        <v>5856</v>
      </c>
      <c r="BN289" t="s">
        <v>74</v>
      </c>
      <c r="BO289" t="s">
        <v>549</v>
      </c>
      <c r="BP289" t="s">
        <v>74</v>
      </c>
      <c r="BQ289" t="s">
        <v>74</v>
      </c>
      <c r="BR289" t="s">
        <v>107</v>
      </c>
      <c r="BS289" t="s">
        <v>5857</v>
      </c>
      <c r="BT289" t="str">
        <f>HYPERLINK("https%3A%2F%2Fwww.webofscience.com%2Fwos%2Fwoscc%2Ffull-record%2FWOS:001041498100001","View Full Record in Web of Science")</f>
        <v>View Full Record in Web of Science</v>
      </c>
    </row>
    <row r="290" spans="1:72" x14ac:dyDescent="0.15">
      <c r="A290" t="s">
        <v>72</v>
      </c>
      <c r="B290" t="s">
        <v>5858</v>
      </c>
      <c r="C290" t="s">
        <v>74</v>
      </c>
      <c r="D290" t="s">
        <v>74</v>
      </c>
      <c r="E290" t="s">
        <v>74</v>
      </c>
      <c r="F290" t="s">
        <v>5859</v>
      </c>
      <c r="G290" t="s">
        <v>74</v>
      </c>
      <c r="H290" t="s">
        <v>74</v>
      </c>
      <c r="I290" t="s">
        <v>5860</v>
      </c>
      <c r="J290" t="s">
        <v>2516</v>
      </c>
      <c r="K290" t="s">
        <v>74</v>
      </c>
      <c r="L290" t="s">
        <v>74</v>
      </c>
      <c r="M290" t="s">
        <v>78</v>
      </c>
      <c r="N290" t="s">
        <v>79</v>
      </c>
      <c r="O290" t="s">
        <v>74</v>
      </c>
      <c r="P290" t="s">
        <v>74</v>
      </c>
      <c r="Q290" t="s">
        <v>74</v>
      </c>
      <c r="R290" t="s">
        <v>74</v>
      </c>
      <c r="S290" t="s">
        <v>74</v>
      </c>
      <c r="T290" t="s">
        <v>74</v>
      </c>
      <c r="U290" t="s">
        <v>5861</v>
      </c>
      <c r="V290" t="s">
        <v>5862</v>
      </c>
      <c r="W290" t="s">
        <v>5863</v>
      </c>
      <c r="X290" t="s">
        <v>5864</v>
      </c>
      <c r="Y290" t="s">
        <v>5865</v>
      </c>
      <c r="Z290" t="s">
        <v>5866</v>
      </c>
      <c r="AA290" t="s">
        <v>74</v>
      </c>
      <c r="AB290" t="s">
        <v>5867</v>
      </c>
      <c r="AC290" t="s">
        <v>5868</v>
      </c>
      <c r="AD290" t="s">
        <v>5869</v>
      </c>
      <c r="AE290" t="s">
        <v>5870</v>
      </c>
      <c r="AF290" t="s">
        <v>74</v>
      </c>
      <c r="AG290">
        <v>68</v>
      </c>
      <c r="AH290">
        <v>2</v>
      </c>
      <c r="AI290">
        <v>2</v>
      </c>
      <c r="AJ290">
        <v>7</v>
      </c>
      <c r="AK290">
        <v>11</v>
      </c>
      <c r="AL290" t="s">
        <v>460</v>
      </c>
      <c r="AM290" t="s">
        <v>461</v>
      </c>
      <c r="AN290" t="s">
        <v>462</v>
      </c>
      <c r="AO290" t="s">
        <v>2528</v>
      </c>
      <c r="AP290" t="s">
        <v>2529</v>
      </c>
      <c r="AQ290" t="s">
        <v>74</v>
      </c>
      <c r="AR290" t="s">
        <v>2530</v>
      </c>
      <c r="AS290" t="s">
        <v>2531</v>
      </c>
      <c r="AT290" t="s">
        <v>97</v>
      </c>
      <c r="AU290">
        <v>2023</v>
      </c>
      <c r="AV290">
        <v>68</v>
      </c>
      <c r="AW290">
        <v>9</v>
      </c>
      <c r="AX290" t="s">
        <v>74</v>
      </c>
      <c r="AY290" t="s">
        <v>74</v>
      </c>
      <c r="AZ290" t="s">
        <v>74</v>
      </c>
      <c r="BA290" t="s">
        <v>74</v>
      </c>
      <c r="BB290">
        <v>2153</v>
      </c>
      <c r="BC290">
        <v>2166</v>
      </c>
      <c r="BD290" t="s">
        <v>74</v>
      </c>
      <c r="BE290" t="s">
        <v>5871</v>
      </c>
      <c r="BF290" t="str">
        <f>HYPERLINK("http://dx.doi.org/10.1002/lno.12412","http://dx.doi.org/10.1002/lno.12412")</f>
        <v>http://dx.doi.org/10.1002/lno.12412</v>
      </c>
      <c r="BG290" t="s">
        <v>74</v>
      </c>
      <c r="BH290" t="s">
        <v>1812</v>
      </c>
      <c r="BI290">
        <v>14</v>
      </c>
      <c r="BJ290" t="s">
        <v>2533</v>
      </c>
      <c r="BK290" t="s">
        <v>104</v>
      </c>
      <c r="BL290" t="s">
        <v>569</v>
      </c>
      <c r="BM290" t="s">
        <v>5872</v>
      </c>
      <c r="BN290" t="s">
        <v>74</v>
      </c>
      <c r="BO290" t="s">
        <v>549</v>
      </c>
      <c r="BP290" t="s">
        <v>74</v>
      </c>
      <c r="BQ290" t="s">
        <v>74</v>
      </c>
      <c r="BR290" t="s">
        <v>107</v>
      </c>
      <c r="BS290" t="s">
        <v>5873</v>
      </c>
      <c r="BT290" t="str">
        <f>HYPERLINK("https%3A%2F%2Fwww.webofscience.com%2Fwos%2Fwoscc%2Ffull-record%2FWOS:001040256300001","View Full Record in Web of Science")</f>
        <v>View Full Record in Web of Science</v>
      </c>
    </row>
    <row r="291" spans="1:72" x14ac:dyDescent="0.15">
      <c r="A291" t="s">
        <v>72</v>
      </c>
      <c r="B291" t="s">
        <v>5874</v>
      </c>
      <c r="C291" t="s">
        <v>74</v>
      </c>
      <c r="D291" t="s">
        <v>74</v>
      </c>
      <c r="E291" t="s">
        <v>74</v>
      </c>
      <c r="F291" t="s">
        <v>5875</v>
      </c>
      <c r="G291" t="s">
        <v>74</v>
      </c>
      <c r="H291" t="s">
        <v>74</v>
      </c>
      <c r="I291" t="s">
        <v>5876</v>
      </c>
      <c r="J291" t="s">
        <v>5877</v>
      </c>
      <c r="K291" t="s">
        <v>74</v>
      </c>
      <c r="L291" t="s">
        <v>74</v>
      </c>
      <c r="M291" t="s">
        <v>78</v>
      </c>
      <c r="N291" t="s">
        <v>79</v>
      </c>
      <c r="O291" t="s">
        <v>74</v>
      </c>
      <c r="P291" t="s">
        <v>74</v>
      </c>
      <c r="Q291" t="s">
        <v>74</v>
      </c>
      <c r="R291" t="s">
        <v>74</v>
      </c>
      <c r="S291" t="s">
        <v>74</v>
      </c>
      <c r="T291" t="s">
        <v>74</v>
      </c>
      <c r="U291" t="s">
        <v>5878</v>
      </c>
      <c r="V291" t="s">
        <v>74</v>
      </c>
      <c r="W291" t="s">
        <v>5879</v>
      </c>
      <c r="X291" t="s">
        <v>5880</v>
      </c>
      <c r="Y291" t="s">
        <v>5881</v>
      </c>
      <c r="Z291" t="s">
        <v>5882</v>
      </c>
      <c r="AA291" t="s">
        <v>5883</v>
      </c>
      <c r="AB291" t="s">
        <v>5884</v>
      </c>
      <c r="AC291" t="s">
        <v>5885</v>
      </c>
      <c r="AD291" t="s">
        <v>5886</v>
      </c>
      <c r="AE291" t="s">
        <v>5887</v>
      </c>
      <c r="AF291" t="s">
        <v>74</v>
      </c>
      <c r="AG291">
        <v>34</v>
      </c>
      <c r="AH291">
        <v>0</v>
      </c>
      <c r="AI291">
        <v>0</v>
      </c>
      <c r="AJ291">
        <v>2</v>
      </c>
      <c r="AK291">
        <v>2</v>
      </c>
      <c r="AL291" t="s">
        <v>460</v>
      </c>
      <c r="AM291" t="s">
        <v>461</v>
      </c>
      <c r="AN291" t="s">
        <v>462</v>
      </c>
      <c r="AO291" t="s">
        <v>5888</v>
      </c>
      <c r="AP291" t="s">
        <v>5889</v>
      </c>
      <c r="AQ291" t="s">
        <v>74</v>
      </c>
      <c r="AR291" t="s">
        <v>5890</v>
      </c>
      <c r="AS291" t="s">
        <v>5891</v>
      </c>
      <c r="AT291" t="s">
        <v>1859</v>
      </c>
      <c r="AU291">
        <v>2024</v>
      </c>
      <c r="AV291">
        <v>40</v>
      </c>
      <c r="AW291">
        <v>1</v>
      </c>
      <c r="AX291" t="s">
        <v>74</v>
      </c>
      <c r="AY291" t="s">
        <v>74</v>
      </c>
      <c r="AZ291" t="s">
        <v>74</v>
      </c>
      <c r="BA291" t="s">
        <v>74</v>
      </c>
      <c r="BB291">
        <v>237</v>
      </c>
      <c r="BC291">
        <v>245</v>
      </c>
      <c r="BD291" t="s">
        <v>74</v>
      </c>
      <c r="BE291" t="s">
        <v>5892</v>
      </c>
      <c r="BF291" t="str">
        <f>HYPERLINK("http://dx.doi.org/10.1111/mms.13050","http://dx.doi.org/10.1111/mms.13050")</f>
        <v>http://dx.doi.org/10.1111/mms.13050</v>
      </c>
      <c r="BG291" t="s">
        <v>74</v>
      </c>
      <c r="BH291" t="s">
        <v>1812</v>
      </c>
      <c r="BI291">
        <v>9</v>
      </c>
      <c r="BJ291" t="s">
        <v>547</v>
      </c>
      <c r="BK291" t="s">
        <v>104</v>
      </c>
      <c r="BL291" t="s">
        <v>547</v>
      </c>
      <c r="BM291" t="s">
        <v>5893</v>
      </c>
      <c r="BN291" t="s">
        <v>74</v>
      </c>
      <c r="BO291" t="s">
        <v>549</v>
      </c>
      <c r="BP291" t="s">
        <v>74</v>
      </c>
      <c r="BQ291" t="s">
        <v>74</v>
      </c>
      <c r="BR291" t="s">
        <v>107</v>
      </c>
      <c r="BS291" t="s">
        <v>5894</v>
      </c>
      <c r="BT291" t="str">
        <f>HYPERLINK("https%3A%2F%2Fwww.webofscience.com%2Fwos%2Fwoscc%2Ffull-record%2FWOS:001040219500001","View Full Record in Web of Science")</f>
        <v>View Full Record in Web of Science</v>
      </c>
    </row>
    <row r="292" spans="1:72" x14ac:dyDescent="0.15">
      <c r="A292" t="s">
        <v>72</v>
      </c>
      <c r="B292" t="s">
        <v>5895</v>
      </c>
      <c r="C292" t="s">
        <v>74</v>
      </c>
      <c r="D292" t="s">
        <v>74</v>
      </c>
      <c r="E292" t="s">
        <v>74</v>
      </c>
      <c r="F292" t="s">
        <v>5896</v>
      </c>
      <c r="G292" t="s">
        <v>74</v>
      </c>
      <c r="H292" t="s">
        <v>74</v>
      </c>
      <c r="I292" t="s">
        <v>5897</v>
      </c>
      <c r="J292" t="s">
        <v>5898</v>
      </c>
      <c r="K292" t="s">
        <v>74</v>
      </c>
      <c r="L292" t="s">
        <v>74</v>
      </c>
      <c r="M292" t="s">
        <v>78</v>
      </c>
      <c r="N292" t="s">
        <v>869</v>
      </c>
      <c r="O292" t="s">
        <v>74</v>
      </c>
      <c r="P292" t="s">
        <v>74</v>
      </c>
      <c r="Q292" t="s">
        <v>74</v>
      </c>
      <c r="R292" t="s">
        <v>74</v>
      </c>
      <c r="S292" t="s">
        <v>74</v>
      </c>
      <c r="T292" t="s">
        <v>5899</v>
      </c>
      <c r="U292" t="s">
        <v>5900</v>
      </c>
      <c r="V292" t="s">
        <v>5901</v>
      </c>
      <c r="W292" t="s">
        <v>5902</v>
      </c>
      <c r="X292" t="s">
        <v>5903</v>
      </c>
      <c r="Y292" t="s">
        <v>5904</v>
      </c>
      <c r="Z292" t="s">
        <v>5905</v>
      </c>
      <c r="AA292" t="s">
        <v>74</v>
      </c>
      <c r="AB292" t="s">
        <v>5906</v>
      </c>
      <c r="AC292" t="s">
        <v>74</v>
      </c>
      <c r="AD292" t="s">
        <v>74</v>
      </c>
      <c r="AE292" t="s">
        <v>74</v>
      </c>
      <c r="AF292" t="s">
        <v>74</v>
      </c>
      <c r="AG292">
        <v>38</v>
      </c>
      <c r="AH292">
        <v>2</v>
      </c>
      <c r="AI292">
        <v>2</v>
      </c>
      <c r="AJ292">
        <v>4</v>
      </c>
      <c r="AK292">
        <v>4</v>
      </c>
      <c r="AL292" t="s">
        <v>588</v>
      </c>
      <c r="AM292" t="s">
        <v>589</v>
      </c>
      <c r="AN292" t="s">
        <v>590</v>
      </c>
      <c r="AO292" t="s">
        <v>74</v>
      </c>
      <c r="AP292" t="s">
        <v>5907</v>
      </c>
      <c r="AQ292" t="s">
        <v>74</v>
      </c>
      <c r="AR292" t="s">
        <v>5908</v>
      </c>
      <c r="AS292" t="s">
        <v>5909</v>
      </c>
      <c r="AT292" t="s">
        <v>4689</v>
      </c>
      <c r="AU292">
        <v>2023</v>
      </c>
      <c r="AV292">
        <v>4</v>
      </c>
      <c r="AW292">
        <v>4</v>
      </c>
      <c r="AX292" t="s">
        <v>74</v>
      </c>
      <c r="AY292" t="s">
        <v>74</v>
      </c>
      <c r="AZ292" t="s">
        <v>74</v>
      </c>
      <c r="BA292" t="s">
        <v>74</v>
      </c>
      <c r="BB292" t="s">
        <v>74</v>
      </c>
      <c r="BC292" t="s">
        <v>74</v>
      </c>
      <c r="BD292" t="s">
        <v>5910</v>
      </c>
      <c r="BE292" t="s">
        <v>5911</v>
      </c>
      <c r="BF292" t="str">
        <f>HYPERLINK("http://dx.doi.org/10.1029/2023AV000927","http://dx.doi.org/10.1029/2023AV000927")</f>
        <v>http://dx.doi.org/10.1029/2023AV000927</v>
      </c>
      <c r="BG292" t="s">
        <v>74</v>
      </c>
      <c r="BH292" t="s">
        <v>74</v>
      </c>
      <c r="BI292">
        <v>7</v>
      </c>
      <c r="BJ292" t="s">
        <v>155</v>
      </c>
      <c r="BK292" t="s">
        <v>104</v>
      </c>
      <c r="BL292" t="s">
        <v>156</v>
      </c>
      <c r="BM292" t="s">
        <v>5912</v>
      </c>
      <c r="BN292" t="s">
        <v>74</v>
      </c>
      <c r="BO292" t="s">
        <v>2390</v>
      </c>
      <c r="BP292" t="s">
        <v>74</v>
      </c>
      <c r="BQ292" t="s">
        <v>74</v>
      </c>
      <c r="BR292" t="s">
        <v>107</v>
      </c>
      <c r="BS292" t="s">
        <v>5913</v>
      </c>
      <c r="BT292" t="str">
        <f>HYPERLINK("https%3A%2F%2Fwww.webofscience.com%2Fwos%2Fwoscc%2Ffull-record%2FWOS:001040748500001","View Full Record in Web of Science")</f>
        <v>View Full Record in Web of Science</v>
      </c>
    </row>
    <row r="293" spans="1:72" x14ac:dyDescent="0.15">
      <c r="A293" t="s">
        <v>72</v>
      </c>
      <c r="B293" t="s">
        <v>5914</v>
      </c>
      <c r="C293" t="s">
        <v>74</v>
      </c>
      <c r="D293" t="s">
        <v>74</v>
      </c>
      <c r="E293" t="s">
        <v>74</v>
      </c>
      <c r="F293" t="s">
        <v>5915</v>
      </c>
      <c r="G293" t="s">
        <v>74</v>
      </c>
      <c r="H293" t="s">
        <v>74</v>
      </c>
      <c r="I293" t="s">
        <v>5916</v>
      </c>
      <c r="J293" t="s">
        <v>211</v>
      </c>
      <c r="K293" t="s">
        <v>74</v>
      </c>
      <c r="L293" t="s">
        <v>74</v>
      </c>
      <c r="M293" t="s">
        <v>78</v>
      </c>
      <c r="N293" t="s">
        <v>79</v>
      </c>
      <c r="O293" t="s">
        <v>74</v>
      </c>
      <c r="P293" t="s">
        <v>74</v>
      </c>
      <c r="Q293" t="s">
        <v>74</v>
      </c>
      <c r="R293" t="s">
        <v>74</v>
      </c>
      <c r="S293" t="s">
        <v>74</v>
      </c>
      <c r="T293" t="s">
        <v>5917</v>
      </c>
      <c r="U293" t="s">
        <v>5918</v>
      </c>
      <c r="V293" t="s">
        <v>5919</v>
      </c>
      <c r="W293" t="s">
        <v>5920</v>
      </c>
      <c r="X293" t="s">
        <v>5921</v>
      </c>
      <c r="Y293" t="s">
        <v>5922</v>
      </c>
      <c r="Z293" t="s">
        <v>5923</v>
      </c>
      <c r="AA293" t="s">
        <v>74</v>
      </c>
      <c r="AB293" t="s">
        <v>5924</v>
      </c>
      <c r="AC293" t="s">
        <v>5925</v>
      </c>
      <c r="AD293" t="s">
        <v>5926</v>
      </c>
      <c r="AE293" t="s">
        <v>5927</v>
      </c>
      <c r="AF293" t="s">
        <v>74</v>
      </c>
      <c r="AG293">
        <v>111</v>
      </c>
      <c r="AH293">
        <v>3</v>
      </c>
      <c r="AI293">
        <v>3</v>
      </c>
      <c r="AJ293">
        <v>4</v>
      </c>
      <c r="AK293">
        <v>7</v>
      </c>
      <c r="AL293" t="s">
        <v>90</v>
      </c>
      <c r="AM293" t="s">
        <v>91</v>
      </c>
      <c r="AN293" t="s">
        <v>92</v>
      </c>
      <c r="AO293" t="s">
        <v>222</v>
      </c>
      <c r="AP293" t="s">
        <v>223</v>
      </c>
      <c r="AQ293" t="s">
        <v>74</v>
      </c>
      <c r="AR293" t="s">
        <v>224</v>
      </c>
      <c r="AS293" t="s">
        <v>225</v>
      </c>
      <c r="AT293" t="s">
        <v>4689</v>
      </c>
      <c r="AU293">
        <v>2023</v>
      </c>
      <c r="AV293">
        <v>36</v>
      </c>
      <c r="AW293">
        <v>16</v>
      </c>
      <c r="AX293" t="s">
        <v>74</v>
      </c>
      <c r="AY293" t="s">
        <v>74</v>
      </c>
      <c r="AZ293" t="s">
        <v>74</v>
      </c>
      <c r="BA293" t="s">
        <v>74</v>
      </c>
      <c r="BB293">
        <v>5511</v>
      </c>
      <c r="BC293">
        <v>5525</v>
      </c>
      <c r="BD293" t="s">
        <v>74</v>
      </c>
      <c r="BE293" t="s">
        <v>5928</v>
      </c>
      <c r="BF293" t="str">
        <f>HYPERLINK("http://dx.doi.org/10.1175/JCLI-D-22-0613.1","http://dx.doi.org/10.1175/JCLI-D-22-0613.1")</f>
        <v>http://dx.doi.org/10.1175/JCLI-D-22-0613.1</v>
      </c>
      <c r="BG293" t="s">
        <v>74</v>
      </c>
      <c r="BH293" t="s">
        <v>74</v>
      </c>
      <c r="BI293">
        <v>15</v>
      </c>
      <c r="BJ293" t="s">
        <v>103</v>
      </c>
      <c r="BK293" t="s">
        <v>104</v>
      </c>
      <c r="BL293" t="s">
        <v>103</v>
      </c>
      <c r="BM293" t="s">
        <v>5929</v>
      </c>
      <c r="BN293" t="s">
        <v>74</v>
      </c>
      <c r="BO293" t="s">
        <v>74</v>
      </c>
      <c r="BP293" t="s">
        <v>74</v>
      </c>
      <c r="BQ293" t="s">
        <v>74</v>
      </c>
      <c r="BR293" t="s">
        <v>107</v>
      </c>
      <c r="BS293" t="s">
        <v>5930</v>
      </c>
      <c r="BT293" t="str">
        <f>HYPERLINK("https%3A%2F%2Fwww.webofscience.com%2Fwos%2Fwoscc%2Ffull-record%2FWOS:001035837300001","View Full Record in Web of Science")</f>
        <v>View Full Record in Web of Science</v>
      </c>
    </row>
    <row r="294" spans="1:72" x14ac:dyDescent="0.15">
      <c r="A294" t="s">
        <v>72</v>
      </c>
      <c r="B294" t="s">
        <v>5931</v>
      </c>
      <c r="C294" t="s">
        <v>74</v>
      </c>
      <c r="D294" t="s">
        <v>74</v>
      </c>
      <c r="E294" t="s">
        <v>74</v>
      </c>
      <c r="F294" t="s">
        <v>5932</v>
      </c>
      <c r="G294" t="s">
        <v>74</v>
      </c>
      <c r="H294" t="s">
        <v>74</v>
      </c>
      <c r="I294" t="s">
        <v>5933</v>
      </c>
      <c r="J294" t="s">
        <v>211</v>
      </c>
      <c r="K294" t="s">
        <v>74</v>
      </c>
      <c r="L294" t="s">
        <v>74</v>
      </c>
      <c r="M294" t="s">
        <v>78</v>
      </c>
      <c r="N294" t="s">
        <v>79</v>
      </c>
      <c r="O294" t="s">
        <v>74</v>
      </c>
      <c r="P294" t="s">
        <v>74</v>
      </c>
      <c r="Q294" t="s">
        <v>74</v>
      </c>
      <c r="R294" t="s">
        <v>74</v>
      </c>
      <c r="S294" t="s">
        <v>74</v>
      </c>
      <c r="T294" t="s">
        <v>5934</v>
      </c>
      <c r="U294" t="s">
        <v>5935</v>
      </c>
      <c r="V294" t="s">
        <v>5936</v>
      </c>
      <c r="W294" t="s">
        <v>5937</v>
      </c>
      <c r="X294" t="s">
        <v>5938</v>
      </c>
      <c r="Y294" t="s">
        <v>5939</v>
      </c>
      <c r="Z294" t="s">
        <v>5940</v>
      </c>
      <c r="AA294" t="s">
        <v>5941</v>
      </c>
      <c r="AB294" t="s">
        <v>5942</v>
      </c>
      <c r="AC294" t="s">
        <v>5943</v>
      </c>
      <c r="AD294" t="s">
        <v>1232</v>
      </c>
      <c r="AE294" t="s">
        <v>5944</v>
      </c>
      <c r="AF294" t="s">
        <v>74</v>
      </c>
      <c r="AG294">
        <v>66</v>
      </c>
      <c r="AH294">
        <v>3</v>
      </c>
      <c r="AI294">
        <v>3</v>
      </c>
      <c r="AJ294">
        <v>2</v>
      </c>
      <c r="AK294">
        <v>4</v>
      </c>
      <c r="AL294" t="s">
        <v>90</v>
      </c>
      <c r="AM294" t="s">
        <v>91</v>
      </c>
      <c r="AN294" t="s">
        <v>92</v>
      </c>
      <c r="AO294" t="s">
        <v>222</v>
      </c>
      <c r="AP294" t="s">
        <v>223</v>
      </c>
      <c r="AQ294" t="s">
        <v>74</v>
      </c>
      <c r="AR294" t="s">
        <v>224</v>
      </c>
      <c r="AS294" t="s">
        <v>225</v>
      </c>
      <c r="AT294" t="s">
        <v>4689</v>
      </c>
      <c r="AU294">
        <v>2023</v>
      </c>
      <c r="AV294">
        <v>36</v>
      </c>
      <c r="AW294">
        <v>16</v>
      </c>
      <c r="AX294" t="s">
        <v>74</v>
      </c>
      <c r="AY294" t="s">
        <v>74</v>
      </c>
      <c r="AZ294" t="s">
        <v>74</v>
      </c>
      <c r="BA294" t="s">
        <v>74</v>
      </c>
      <c r="BB294">
        <v>5417</v>
      </c>
      <c r="BC294">
        <v>5430</v>
      </c>
      <c r="BD294" t="s">
        <v>74</v>
      </c>
      <c r="BE294" t="s">
        <v>5945</v>
      </c>
      <c r="BF294" t="str">
        <f>HYPERLINK("http://dx.doi.org/10.1175/JCLI-D-22-0647.1","http://dx.doi.org/10.1175/JCLI-D-22-0647.1")</f>
        <v>http://dx.doi.org/10.1175/JCLI-D-22-0647.1</v>
      </c>
      <c r="BG294" t="s">
        <v>74</v>
      </c>
      <c r="BH294" t="s">
        <v>74</v>
      </c>
      <c r="BI294">
        <v>14</v>
      </c>
      <c r="BJ294" t="s">
        <v>103</v>
      </c>
      <c r="BK294" t="s">
        <v>104</v>
      </c>
      <c r="BL294" t="s">
        <v>103</v>
      </c>
      <c r="BM294" t="s">
        <v>5946</v>
      </c>
      <c r="BN294" t="s">
        <v>74</v>
      </c>
      <c r="BO294" t="s">
        <v>549</v>
      </c>
      <c r="BP294" t="s">
        <v>74</v>
      </c>
      <c r="BQ294" t="s">
        <v>74</v>
      </c>
      <c r="BR294" t="s">
        <v>107</v>
      </c>
      <c r="BS294" t="s">
        <v>5947</v>
      </c>
      <c r="BT294" t="str">
        <f>HYPERLINK("https%3A%2F%2Fwww.webofscience.com%2Fwos%2Fwoscc%2Ffull-record%2FWOS:001032343400001","View Full Record in Web of Science")</f>
        <v>View Full Record in Web of Science</v>
      </c>
    </row>
    <row r="295" spans="1:72" x14ac:dyDescent="0.15">
      <c r="A295" t="s">
        <v>72</v>
      </c>
      <c r="B295" t="s">
        <v>5948</v>
      </c>
      <c r="C295" t="s">
        <v>74</v>
      </c>
      <c r="D295" t="s">
        <v>74</v>
      </c>
      <c r="E295" t="s">
        <v>74</v>
      </c>
      <c r="F295" t="s">
        <v>5949</v>
      </c>
      <c r="G295" t="s">
        <v>74</v>
      </c>
      <c r="H295" t="s">
        <v>74</v>
      </c>
      <c r="I295" t="s">
        <v>5950</v>
      </c>
      <c r="J295" t="s">
        <v>211</v>
      </c>
      <c r="K295" t="s">
        <v>74</v>
      </c>
      <c r="L295" t="s">
        <v>74</v>
      </c>
      <c r="M295" t="s">
        <v>78</v>
      </c>
      <c r="N295" t="s">
        <v>79</v>
      </c>
      <c r="O295" t="s">
        <v>74</v>
      </c>
      <c r="P295" t="s">
        <v>74</v>
      </c>
      <c r="Q295" t="s">
        <v>74</v>
      </c>
      <c r="R295" t="s">
        <v>74</v>
      </c>
      <c r="S295" t="s">
        <v>74</v>
      </c>
      <c r="T295" t="s">
        <v>5951</v>
      </c>
      <c r="U295" t="s">
        <v>5952</v>
      </c>
      <c r="V295" t="s">
        <v>5953</v>
      </c>
      <c r="W295" t="s">
        <v>5954</v>
      </c>
      <c r="X295" t="s">
        <v>5955</v>
      </c>
      <c r="Y295" t="s">
        <v>5956</v>
      </c>
      <c r="Z295" t="s">
        <v>5957</v>
      </c>
      <c r="AA295" t="s">
        <v>5958</v>
      </c>
      <c r="AB295" t="s">
        <v>5959</v>
      </c>
      <c r="AC295" t="s">
        <v>5960</v>
      </c>
      <c r="AD295" t="s">
        <v>5961</v>
      </c>
      <c r="AE295" t="s">
        <v>5962</v>
      </c>
      <c r="AF295" t="s">
        <v>74</v>
      </c>
      <c r="AG295">
        <v>60</v>
      </c>
      <c r="AH295">
        <v>1</v>
      </c>
      <c r="AI295">
        <v>1</v>
      </c>
      <c r="AJ295">
        <v>1</v>
      </c>
      <c r="AK295">
        <v>5</v>
      </c>
      <c r="AL295" t="s">
        <v>90</v>
      </c>
      <c r="AM295" t="s">
        <v>91</v>
      </c>
      <c r="AN295" t="s">
        <v>92</v>
      </c>
      <c r="AO295" t="s">
        <v>222</v>
      </c>
      <c r="AP295" t="s">
        <v>223</v>
      </c>
      <c r="AQ295" t="s">
        <v>74</v>
      </c>
      <c r="AR295" t="s">
        <v>224</v>
      </c>
      <c r="AS295" t="s">
        <v>225</v>
      </c>
      <c r="AT295" t="s">
        <v>4689</v>
      </c>
      <c r="AU295">
        <v>2023</v>
      </c>
      <c r="AV295">
        <v>36</v>
      </c>
      <c r="AW295">
        <v>16</v>
      </c>
      <c r="AX295" t="s">
        <v>74</v>
      </c>
      <c r="AY295" t="s">
        <v>74</v>
      </c>
      <c r="AZ295" t="s">
        <v>74</v>
      </c>
      <c r="BA295" t="s">
        <v>74</v>
      </c>
      <c r="BB295">
        <v>5461</v>
      </c>
      <c r="BC295">
        <v>5476</v>
      </c>
      <c r="BD295" t="s">
        <v>74</v>
      </c>
      <c r="BE295" t="s">
        <v>5963</v>
      </c>
      <c r="BF295" t="str">
        <f>HYPERLINK("http://dx.doi.org/10.1175/JCLI-D-22-0801.1","http://dx.doi.org/10.1175/JCLI-D-22-0801.1")</f>
        <v>http://dx.doi.org/10.1175/JCLI-D-22-0801.1</v>
      </c>
      <c r="BG295" t="s">
        <v>74</v>
      </c>
      <c r="BH295" t="s">
        <v>74</v>
      </c>
      <c r="BI295">
        <v>16</v>
      </c>
      <c r="BJ295" t="s">
        <v>103</v>
      </c>
      <c r="BK295" t="s">
        <v>104</v>
      </c>
      <c r="BL295" t="s">
        <v>103</v>
      </c>
      <c r="BM295" t="s">
        <v>5964</v>
      </c>
      <c r="BN295" t="s">
        <v>74</v>
      </c>
      <c r="BO295" t="s">
        <v>74</v>
      </c>
      <c r="BP295" t="s">
        <v>74</v>
      </c>
      <c r="BQ295" t="s">
        <v>74</v>
      </c>
      <c r="BR295" t="s">
        <v>107</v>
      </c>
      <c r="BS295" t="s">
        <v>5965</v>
      </c>
      <c r="BT295" t="str">
        <f>HYPERLINK("https%3A%2F%2Fwww.webofscience.com%2Fwos%2Fwoscc%2Ffull-record%2FWOS:001032341500001","View Full Record in Web of Science")</f>
        <v>View Full Record in Web of Science</v>
      </c>
    </row>
    <row r="296" spans="1:72" x14ac:dyDescent="0.15">
      <c r="A296" t="s">
        <v>72</v>
      </c>
      <c r="B296" t="s">
        <v>5966</v>
      </c>
      <c r="C296" t="s">
        <v>74</v>
      </c>
      <c r="D296" t="s">
        <v>74</v>
      </c>
      <c r="E296" t="s">
        <v>74</v>
      </c>
      <c r="F296" t="s">
        <v>5967</v>
      </c>
      <c r="G296" t="s">
        <v>74</v>
      </c>
      <c r="H296" t="s">
        <v>74</v>
      </c>
      <c r="I296" t="s">
        <v>5968</v>
      </c>
      <c r="J296" t="s">
        <v>5969</v>
      </c>
      <c r="K296" t="s">
        <v>74</v>
      </c>
      <c r="L296" t="s">
        <v>74</v>
      </c>
      <c r="M296" t="s">
        <v>78</v>
      </c>
      <c r="N296" t="s">
        <v>79</v>
      </c>
      <c r="O296" t="s">
        <v>74</v>
      </c>
      <c r="P296" t="s">
        <v>74</v>
      </c>
      <c r="Q296" t="s">
        <v>74</v>
      </c>
      <c r="R296" t="s">
        <v>74</v>
      </c>
      <c r="S296" t="s">
        <v>74</v>
      </c>
      <c r="T296" t="s">
        <v>5970</v>
      </c>
      <c r="U296" t="s">
        <v>5971</v>
      </c>
      <c r="V296" t="s">
        <v>5972</v>
      </c>
      <c r="W296" t="s">
        <v>5973</v>
      </c>
      <c r="X296" t="s">
        <v>5974</v>
      </c>
      <c r="Y296" t="s">
        <v>5975</v>
      </c>
      <c r="Z296" t="s">
        <v>5976</v>
      </c>
      <c r="AA296" t="s">
        <v>74</v>
      </c>
      <c r="AB296" t="s">
        <v>5977</v>
      </c>
      <c r="AC296" t="s">
        <v>5978</v>
      </c>
      <c r="AD296" t="s">
        <v>5979</v>
      </c>
      <c r="AE296" t="s">
        <v>5980</v>
      </c>
      <c r="AF296" t="s">
        <v>74</v>
      </c>
      <c r="AG296">
        <v>64</v>
      </c>
      <c r="AH296">
        <v>1</v>
      </c>
      <c r="AI296">
        <v>1</v>
      </c>
      <c r="AJ296">
        <v>6</v>
      </c>
      <c r="AK296">
        <v>23</v>
      </c>
      <c r="AL296" t="s">
        <v>5981</v>
      </c>
      <c r="AM296" t="s">
        <v>5982</v>
      </c>
      <c r="AN296" t="s">
        <v>5983</v>
      </c>
      <c r="AO296" t="s">
        <v>5984</v>
      </c>
      <c r="AP296" t="s">
        <v>5985</v>
      </c>
      <c r="AQ296" t="s">
        <v>74</v>
      </c>
      <c r="AR296" t="s">
        <v>5969</v>
      </c>
      <c r="AS296" t="s">
        <v>5986</v>
      </c>
      <c r="AT296" t="s">
        <v>4689</v>
      </c>
      <c r="AU296">
        <v>2023</v>
      </c>
      <c r="AV296">
        <v>27</v>
      </c>
      <c r="AW296">
        <v>2</v>
      </c>
      <c r="AX296" t="s">
        <v>74</v>
      </c>
      <c r="AY296" t="s">
        <v>74</v>
      </c>
      <c r="AZ296" t="s">
        <v>74</v>
      </c>
      <c r="BA296" t="s">
        <v>74</v>
      </c>
      <c r="BB296" t="s">
        <v>74</v>
      </c>
      <c r="BC296" t="s">
        <v>74</v>
      </c>
      <c r="BD296">
        <v>18</v>
      </c>
      <c r="BE296" t="s">
        <v>5987</v>
      </c>
      <c r="BF296" t="str">
        <f>HYPERLINK("http://dx.doi.org/10.1007/s00792-023-01299-y","http://dx.doi.org/10.1007/s00792-023-01299-y")</f>
        <v>http://dx.doi.org/10.1007/s00792-023-01299-y</v>
      </c>
      <c r="BG296" t="s">
        <v>74</v>
      </c>
      <c r="BH296" t="s">
        <v>74</v>
      </c>
      <c r="BI296">
        <v>13</v>
      </c>
      <c r="BJ296" t="s">
        <v>5988</v>
      </c>
      <c r="BK296" t="s">
        <v>104</v>
      </c>
      <c r="BL296" t="s">
        <v>5988</v>
      </c>
      <c r="BM296" t="s">
        <v>5989</v>
      </c>
      <c r="BN296">
        <v>37428266</v>
      </c>
      <c r="BO296" t="s">
        <v>74</v>
      </c>
      <c r="BP296" t="s">
        <v>74</v>
      </c>
      <c r="BQ296" t="s">
        <v>74</v>
      </c>
      <c r="BR296" t="s">
        <v>107</v>
      </c>
      <c r="BS296" t="s">
        <v>5990</v>
      </c>
      <c r="BT296" t="str">
        <f>HYPERLINK("https%3A%2F%2Fwww.webofscience.com%2Fwos%2Fwoscc%2Ffull-record%2FWOS:001025852300001","View Full Record in Web of Science")</f>
        <v>View Full Record in Web of Science</v>
      </c>
    </row>
    <row r="297" spans="1:72" x14ac:dyDescent="0.15">
      <c r="A297" t="s">
        <v>72</v>
      </c>
      <c r="B297" t="s">
        <v>5991</v>
      </c>
      <c r="C297" t="s">
        <v>74</v>
      </c>
      <c r="D297" t="s">
        <v>74</v>
      </c>
      <c r="E297" t="s">
        <v>74</v>
      </c>
      <c r="F297" t="s">
        <v>5992</v>
      </c>
      <c r="G297" t="s">
        <v>74</v>
      </c>
      <c r="H297" t="s">
        <v>74</v>
      </c>
      <c r="I297" t="s">
        <v>5993</v>
      </c>
      <c r="J297" t="s">
        <v>211</v>
      </c>
      <c r="K297" t="s">
        <v>74</v>
      </c>
      <c r="L297" t="s">
        <v>74</v>
      </c>
      <c r="M297" t="s">
        <v>78</v>
      </c>
      <c r="N297" t="s">
        <v>79</v>
      </c>
      <c r="O297" t="s">
        <v>74</v>
      </c>
      <c r="P297" t="s">
        <v>74</v>
      </c>
      <c r="Q297" t="s">
        <v>74</v>
      </c>
      <c r="R297" t="s">
        <v>74</v>
      </c>
      <c r="S297" t="s">
        <v>74</v>
      </c>
      <c r="T297" t="s">
        <v>5994</v>
      </c>
      <c r="U297" t="s">
        <v>5995</v>
      </c>
      <c r="V297" t="s">
        <v>5996</v>
      </c>
      <c r="W297" t="s">
        <v>5997</v>
      </c>
      <c r="X297" t="s">
        <v>5998</v>
      </c>
      <c r="Y297" t="s">
        <v>5999</v>
      </c>
      <c r="Z297" t="s">
        <v>6000</v>
      </c>
      <c r="AA297" t="s">
        <v>6001</v>
      </c>
      <c r="AB297" t="s">
        <v>6002</v>
      </c>
      <c r="AC297" t="s">
        <v>6003</v>
      </c>
      <c r="AD297" t="s">
        <v>6004</v>
      </c>
      <c r="AE297" t="s">
        <v>6005</v>
      </c>
      <c r="AF297" t="s">
        <v>74</v>
      </c>
      <c r="AG297">
        <v>128</v>
      </c>
      <c r="AH297">
        <v>3</v>
      </c>
      <c r="AI297">
        <v>3</v>
      </c>
      <c r="AJ297">
        <v>0</v>
      </c>
      <c r="AK297">
        <v>3</v>
      </c>
      <c r="AL297" t="s">
        <v>90</v>
      </c>
      <c r="AM297" t="s">
        <v>91</v>
      </c>
      <c r="AN297" t="s">
        <v>92</v>
      </c>
      <c r="AO297" t="s">
        <v>222</v>
      </c>
      <c r="AP297" t="s">
        <v>223</v>
      </c>
      <c r="AQ297" t="s">
        <v>74</v>
      </c>
      <c r="AR297" t="s">
        <v>224</v>
      </c>
      <c r="AS297" t="s">
        <v>225</v>
      </c>
      <c r="AT297" t="s">
        <v>4689</v>
      </c>
      <c r="AU297">
        <v>2023</v>
      </c>
      <c r="AV297">
        <v>36</v>
      </c>
      <c r="AW297">
        <v>15</v>
      </c>
      <c r="AX297" t="s">
        <v>74</v>
      </c>
      <c r="AY297" t="s">
        <v>74</v>
      </c>
      <c r="AZ297" t="s">
        <v>74</v>
      </c>
      <c r="BA297" t="s">
        <v>74</v>
      </c>
      <c r="BB297">
        <v>5041</v>
      </c>
      <c r="BC297">
        <v>5061</v>
      </c>
      <c r="BD297" t="s">
        <v>74</v>
      </c>
      <c r="BE297" t="s">
        <v>6006</v>
      </c>
      <c r="BF297" t="str">
        <f>HYPERLINK("http://dx.doi.org/10.1175/JCLI-D-22-0251.1","http://dx.doi.org/10.1175/JCLI-D-22-0251.1")</f>
        <v>http://dx.doi.org/10.1175/JCLI-D-22-0251.1</v>
      </c>
      <c r="BG297" t="s">
        <v>74</v>
      </c>
      <c r="BH297" t="s">
        <v>74</v>
      </c>
      <c r="BI297">
        <v>21</v>
      </c>
      <c r="BJ297" t="s">
        <v>103</v>
      </c>
      <c r="BK297" t="s">
        <v>104</v>
      </c>
      <c r="BL297" t="s">
        <v>103</v>
      </c>
      <c r="BM297" t="s">
        <v>6007</v>
      </c>
      <c r="BN297" t="s">
        <v>74</v>
      </c>
      <c r="BO297" t="s">
        <v>133</v>
      </c>
      <c r="BP297" t="s">
        <v>74</v>
      </c>
      <c r="BQ297" t="s">
        <v>74</v>
      </c>
      <c r="BR297" t="s">
        <v>107</v>
      </c>
      <c r="BS297" t="s">
        <v>6008</v>
      </c>
      <c r="BT297" t="str">
        <f>HYPERLINK("https%3A%2F%2Fwww.webofscience.com%2Fwos%2Fwoscc%2Ffull-record%2FWOS:001025580600001","View Full Record in Web of Science")</f>
        <v>View Full Record in Web of Science</v>
      </c>
    </row>
    <row r="298" spans="1:72" x14ac:dyDescent="0.15">
      <c r="A298" t="s">
        <v>72</v>
      </c>
      <c r="B298" t="s">
        <v>6009</v>
      </c>
      <c r="C298" t="s">
        <v>74</v>
      </c>
      <c r="D298" t="s">
        <v>74</v>
      </c>
      <c r="E298" t="s">
        <v>74</v>
      </c>
      <c r="F298" t="s">
        <v>6010</v>
      </c>
      <c r="G298" t="s">
        <v>74</v>
      </c>
      <c r="H298" t="s">
        <v>74</v>
      </c>
      <c r="I298" t="s">
        <v>6011</v>
      </c>
      <c r="J298" t="s">
        <v>211</v>
      </c>
      <c r="K298" t="s">
        <v>74</v>
      </c>
      <c r="L298" t="s">
        <v>74</v>
      </c>
      <c r="M298" t="s">
        <v>78</v>
      </c>
      <c r="N298" t="s">
        <v>79</v>
      </c>
      <c r="O298" t="s">
        <v>74</v>
      </c>
      <c r="P298" t="s">
        <v>74</v>
      </c>
      <c r="Q298" t="s">
        <v>74</v>
      </c>
      <c r="R298" t="s">
        <v>74</v>
      </c>
      <c r="S298" t="s">
        <v>74</v>
      </c>
      <c r="T298" t="s">
        <v>6012</v>
      </c>
      <c r="U298" t="s">
        <v>6013</v>
      </c>
      <c r="V298" t="s">
        <v>6014</v>
      </c>
      <c r="W298" t="s">
        <v>6015</v>
      </c>
      <c r="X298" t="s">
        <v>6016</v>
      </c>
      <c r="Y298" t="s">
        <v>6017</v>
      </c>
      <c r="Z298" t="s">
        <v>6018</v>
      </c>
      <c r="AA298" t="s">
        <v>6019</v>
      </c>
      <c r="AB298" t="s">
        <v>6020</v>
      </c>
      <c r="AC298" t="s">
        <v>6021</v>
      </c>
      <c r="AD298" t="s">
        <v>6022</v>
      </c>
      <c r="AE298" t="s">
        <v>6023</v>
      </c>
      <c r="AF298" t="s">
        <v>74</v>
      </c>
      <c r="AG298">
        <v>100</v>
      </c>
      <c r="AH298">
        <v>2</v>
      </c>
      <c r="AI298">
        <v>2</v>
      </c>
      <c r="AJ298">
        <v>8</v>
      </c>
      <c r="AK298">
        <v>12</v>
      </c>
      <c r="AL298" t="s">
        <v>90</v>
      </c>
      <c r="AM298" t="s">
        <v>91</v>
      </c>
      <c r="AN298" t="s">
        <v>92</v>
      </c>
      <c r="AO298" t="s">
        <v>222</v>
      </c>
      <c r="AP298" t="s">
        <v>223</v>
      </c>
      <c r="AQ298" t="s">
        <v>74</v>
      </c>
      <c r="AR298" t="s">
        <v>224</v>
      </c>
      <c r="AS298" t="s">
        <v>225</v>
      </c>
      <c r="AT298" t="s">
        <v>4689</v>
      </c>
      <c r="AU298">
        <v>2023</v>
      </c>
      <c r="AV298">
        <v>36</v>
      </c>
      <c r="AW298">
        <v>15</v>
      </c>
      <c r="AX298" t="s">
        <v>74</v>
      </c>
      <c r="AY298" t="s">
        <v>74</v>
      </c>
      <c r="AZ298" t="s">
        <v>74</v>
      </c>
      <c r="BA298" t="s">
        <v>74</v>
      </c>
      <c r="BB298">
        <v>5197</v>
      </c>
      <c r="BC298">
        <v>5214</v>
      </c>
      <c r="BD298" t="s">
        <v>74</v>
      </c>
      <c r="BE298" t="s">
        <v>6024</v>
      </c>
      <c r="BF298" t="str">
        <f>HYPERLINK("http://dx.doi.org/10.1175/JCLI-D-22-0538.1","http://dx.doi.org/10.1175/JCLI-D-22-0538.1")</f>
        <v>http://dx.doi.org/10.1175/JCLI-D-22-0538.1</v>
      </c>
      <c r="BG298" t="s">
        <v>74</v>
      </c>
      <c r="BH298" t="s">
        <v>74</v>
      </c>
      <c r="BI298">
        <v>18</v>
      </c>
      <c r="BJ298" t="s">
        <v>103</v>
      </c>
      <c r="BK298" t="s">
        <v>104</v>
      </c>
      <c r="BL298" t="s">
        <v>103</v>
      </c>
      <c r="BM298" t="s">
        <v>6025</v>
      </c>
      <c r="BN298" t="s">
        <v>74</v>
      </c>
      <c r="BO298" t="s">
        <v>74</v>
      </c>
      <c r="BP298" t="s">
        <v>74</v>
      </c>
      <c r="BQ298" t="s">
        <v>74</v>
      </c>
      <c r="BR298" t="s">
        <v>107</v>
      </c>
      <c r="BS298" t="s">
        <v>6026</v>
      </c>
      <c r="BT298" t="str">
        <f>HYPERLINK("https%3A%2F%2Fwww.webofscience.com%2Fwos%2Fwoscc%2Ffull-record%2FWOS:001026864800001","View Full Record in Web of Science")</f>
        <v>View Full Record in Web of Science</v>
      </c>
    </row>
    <row r="299" spans="1:72" x14ac:dyDescent="0.15">
      <c r="A299" t="s">
        <v>72</v>
      </c>
      <c r="B299" t="s">
        <v>6027</v>
      </c>
      <c r="C299" t="s">
        <v>74</v>
      </c>
      <c r="D299" t="s">
        <v>74</v>
      </c>
      <c r="E299" t="s">
        <v>74</v>
      </c>
      <c r="F299" t="s">
        <v>6028</v>
      </c>
      <c r="G299" t="s">
        <v>74</v>
      </c>
      <c r="H299" t="s">
        <v>74</v>
      </c>
      <c r="I299" t="s">
        <v>6029</v>
      </c>
      <c r="J299" t="s">
        <v>5969</v>
      </c>
      <c r="K299" t="s">
        <v>74</v>
      </c>
      <c r="L299" t="s">
        <v>74</v>
      </c>
      <c r="M299" t="s">
        <v>78</v>
      </c>
      <c r="N299" t="s">
        <v>79</v>
      </c>
      <c r="O299" t="s">
        <v>74</v>
      </c>
      <c r="P299" t="s">
        <v>74</v>
      </c>
      <c r="Q299" t="s">
        <v>74</v>
      </c>
      <c r="R299" t="s">
        <v>74</v>
      </c>
      <c r="S299" t="s">
        <v>74</v>
      </c>
      <c r="T299" t="s">
        <v>6030</v>
      </c>
      <c r="U299" t="s">
        <v>6031</v>
      </c>
      <c r="V299" t="s">
        <v>6032</v>
      </c>
      <c r="W299" t="s">
        <v>6033</v>
      </c>
      <c r="X299" t="s">
        <v>6034</v>
      </c>
      <c r="Y299" t="s">
        <v>6035</v>
      </c>
      <c r="Z299" t="s">
        <v>6036</v>
      </c>
      <c r="AA299" t="s">
        <v>6037</v>
      </c>
      <c r="AB299" t="s">
        <v>6038</v>
      </c>
      <c r="AC299" t="s">
        <v>6039</v>
      </c>
      <c r="AD299" t="s">
        <v>6040</v>
      </c>
      <c r="AE299" t="s">
        <v>6041</v>
      </c>
      <c r="AF299" t="s">
        <v>74</v>
      </c>
      <c r="AG299">
        <v>40</v>
      </c>
      <c r="AH299">
        <v>1</v>
      </c>
      <c r="AI299">
        <v>1</v>
      </c>
      <c r="AJ299">
        <v>16</v>
      </c>
      <c r="AK299">
        <v>21</v>
      </c>
      <c r="AL299" t="s">
        <v>5981</v>
      </c>
      <c r="AM299" t="s">
        <v>5982</v>
      </c>
      <c r="AN299" t="s">
        <v>5983</v>
      </c>
      <c r="AO299" t="s">
        <v>5984</v>
      </c>
      <c r="AP299" t="s">
        <v>5985</v>
      </c>
      <c r="AQ299" t="s">
        <v>74</v>
      </c>
      <c r="AR299" t="s">
        <v>5969</v>
      </c>
      <c r="AS299" t="s">
        <v>5986</v>
      </c>
      <c r="AT299" t="s">
        <v>4689</v>
      </c>
      <c r="AU299">
        <v>2023</v>
      </c>
      <c r="AV299">
        <v>27</v>
      </c>
      <c r="AW299">
        <v>2</v>
      </c>
      <c r="AX299" t="s">
        <v>74</v>
      </c>
      <c r="AY299" t="s">
        <v>74</v>
      </c>
      <c r="AZ299" t="s">
        <v>74</v>
      </c>
      <c r="BA299" t="s">
        <v>74</v>
      </c>
      <c r="BB299" t="s">
        <v>74</v>
      </c>
      <c r="BC299" t="s">
        <v>74</v>
      </c>
      <c r="BD299">
        <v>16</v>
      </c>
      <c r="BE299" t="s">
        <v>6042</v>
      </c>
      <c r="BF299" t="str">
        <f>HYPERLINK("http://dx.doi.org/10.1007/s00792-023-01298-z","http://dx.doi.org/10.1007/s00792-023-01298-z")</f>
        <v>http://dx.doi.org/10.1007/s00792-023-01298-z</v>
      </c>
      <c r="BG299" t="s">
        <v>74</v>
      </c>
      <c r="BH299" t="s">
        <v>74</v>
      </c>
      <c r="BI299">
        <v>10</v>
      </c>
      <c r="BJ299" t="s">
        <v>5988</v>
      </c>
      <c r="BK299" t="s">
        <v>104</v>
      </c>
      <c r="BL299" t="s">
        <v>5988</v>
      </c>
      <c r="BM299" t="s">
        <v>6043</v>
      </c>
      <c r="BN299">
        <v>37410158</v>
      </c>
      <c r="BO299" t="s">
        <v>74</v>
      </c>
      <c r="BP299" t="s">
        <v>74</v>
      </c>
      <c r="BQ299" t="s">
        <v>74</v>
      </c>
      <c r="BR299" t="s">
        <v>107</v>
      </c>
      <c r="BS299" t="s">
        <v>6044</v>
      </c>
      <c r="BT299" t="str">
        <f>HYPERLINK("https%3A%2F%2Fwww.webofscience.com%2Fwos%2Fwoscc%2Ffull-record%2FWOS:001024909100001","View Full Record in Web of Science")</f>
        <v>View Full Record in Web of Science</v>
      </c>
    </row>
    <row r="300" spans="1:72" x14ac:dyDescent="0.15">
      <c r="A300" t="s">
        <v>72</v>
      </c>
      <c r="B300" t="s">
        <v>6045</v>
      </c>
      <c r="C300" t="s">
        <v>74</v>
      </c>
      <c r="D300" t="s">
        <v>74</v>
      </c>
      <c r="E300" t="s">
        <v>74</v>
      </c>
      <c r="F300" t="s">
        <v>6046</v>
      </c>
      <c r="G300" t="s">
        <v>74</v>
      </c>
      <c r="H300" t="s">
        <v>74</v>
      </c>
      <c r="I300" t="s">
        <v>6047</v>
      </c>
      <c r="J300" t="s">
        <v>6048</v>
      </c>
      <c r="K300" t="s">
        <v>74</v>
      </c>
      <c r="L300" t="s">
        <v>74</v>
      </c>
      <c r="M300" t="s">
        <v>78</v>
      </c>
      <c r="N300" t="s">
        <v>79</v>
      </c>
      <c r="O300" t="s">
        <v>74</v>
      </c>
      <c r="P300" t="s">
        <v>74</v>
      </c>
      <c r="Q300" t="s">
        <v>74</v>
      </c>
      <c r="R300" t="s">
        <v>74</v>
      </c>
      <c r="S300" t="s">
        <v>74</v>
      </c>
      <c r="T300" t="s">
        <v>6049</v>
      </c>
      <c r="U300" t="s">
        <v>6050</v>
      </c>
      <c r="V300" t="s">
        <v>6051</v>
      </c>
      <c r="W300" t="s">
        <v>6052</v>
      </c>
      <c r="X300" t="s">
        <v>6053</v>
      </c>
      <c r="Y300" t="s">
        <v>6054</v>
      </c>
      <c r="Z300" t="s">
        <v>6055</v>
      </c>
      <c r="AA300" t="s">
        <v>6056</v>
      </c>
      <c r="AB300" t="s">
        <v>6057</v>
      </c>
      <c r="AC300" t="s">
        <v>74</v>
      </c>
      <c r="AD300" t="s">
        <v>74</v>
      </c>
      <c r="AE300" t="s">
        <v>74</v>
      </c>
      <c r="AF300" t="s">
        <v>74</v>
      </c>
      <c r="AG300">
        <v>83</v>
      </c>
      <c r="AH300">
        <v>0</v>
      </c>
      <c r="AI300">
        <v>0</v>
      </c>
      <c r="AJ300">
        <v>3</v>
      </c>
      <c r="AK300">
        <v>4</v>
      </c>
      <c r="AL300" t="s">
        <v>1477</v>
      </c>
      <c r="AM300" t="s">
        <v>1478</v>
      </c>
      <c r="AN300" t="s">
        <v>1479</v>
      </c>
      <c r="AO300" t="s">
        <v>6058</v>
      </c>
      <c r="AP300" t="s">
        <v>6059</v>
      </c>
      <c r="AQ300" t="s">
        <v>74</v>
      </c>
      <c r="AR300" t="s">
        <v>6060</v>
      </c>
      <c r="AS300" t="s">
        <v>6061</v>
      </c>
      <c r="AT300" t="s">
        <v>4689</v>
      </c>
      <c r="AU300">
        <v>2023</v>
      </c>
      <c r="AV300">
        <v>170</v>
      </c>
      <c r="AW300">
        <v>8</v>
      </c>
      <c r="AX300" t="s">
        <v>74</v>
      </c>
      <c r="AY300" t="s">
        <v>74</v>
      </c>
      <c r="AZ300" t="s">
        <v>74</v>
      </c>
      <c r="BA300" t="s">
        <v>74</v>
      </c>
      <c r="BB300" t="s">
        <v>74</v>
      </c>
      <c r="BC300" t="s">
        <v>74</v>
      </c>
      <c r="BD300">
        <v>96</v>
      </c>
      <c r="BE300" t="s">
        <v>6062</v>
      </c>
      <c r="BF300" t="str">
        <f>HYPERLINK("http://dx.doi.org/10.1007/s00227-023-04242-z","http://dx.doi.org/10.1007/s00227-023-04242-z")</f>
        <v>http://dx.doi.org/10.1007/s00227-023-04242-z</v>
      </c>
      <c r="BG300" t="s">
        <v>74</v>
      </c>
      <c r="BH300" t="s">
        <v>74</v>
      </c>
      <c r="BI300">
        <v>13</v>
      </c>
      <c r="BJ300" t="s">
        <v>3638</v>
      </c>
      <c r="BK300" t="s">
        <v>104</v>
      </c>
      <c r="BL300" t="s">
        <v>3638</v>
      </c>
      <c r="BM300" t="s">
        <v>6063</v>
      </c>
      <c r="BN300" t="s">
        <v>74</v>
      </c>
      <c r="BO300" t="s">
        <v>74</v>
      </c>
      <c r="BP300" t="s">
        <v>74</v>
      </c>
      <c r="BQ300" t="s">
        <v>74</v>
      </c>
      <c r="BR300" t="s">
        <v>107</v>
      </c>
      <c r="BS300" t="s">
        <v>6064</v>
      </c>
      <c r="BT300" t="str">
        <f>HYPERLINK("https%3A%2F%2Fwww.webofscience.com%2Fwos%2Fwoscc%2Ffull-record%2FWOS:001009858000001","View Full Record in Web of Science")</f>
        <v>View Full Record in Web of Science</v>
      </c>
    </row>
    <row r="301" spans="1:72" x14ac:dyDescent="0.15">
      <c r="A301" t="s">
        <v>72</v>
      </c>
      <c r="B301" t="s">
        <v>6065</v>
      </c>
      <c r="C301" t="s">
        <v>74</v>
      </c>
      <c r="D301" t="s">
        <v>74</v>
      </c>
      <c r="E301" t="s">
        <v>74</v>
      </c>
      <c r="F301" t="s">
        <v>6066</v>
      </c>
      <c r="G301" t="s">
        <v>74</v>
      </c>
      <c r="H301" t="s">
        <v>74</v>
      </c>
      <c r="I301" t="s">
        <v>6067</v>
      </c>
      <c r="J301" t="s">
        <v>6068</v>
      </c>
      <c r="K301" t="s">
        <v>74</v>
      </c>
      <c r="L301" t="s">
        <v>74</v>
      </c>
      <c r="M301" t="s">
        <v>78</v>
      </c>
      <c r="N301" t="s">
        <v>79</v>
      </c>
      <c r="O301" t="s">
        <v>74</v>
      </c>
      <c r="P301" t="s">
        <v>74</v>
      </c>
      <c r="Q301" t="s">
        <v>74</v>
      </c>
      <c r="R301" t="s">
        <v>74</v>
      </c>
      <c r="S301" t="s">
        <v>74</v>
      </c>
      <c r="T301" t="s">
        <v>74</v>
      </c>
      <c r="U301" t="s">
        <v>6069</v>
      </c>
      <c r="V301" t="s">
        <v>6070</v>
      </c>
      <c r="W301" t="s">
        <v>6071</v>
      </c>
      <c r="X301" t="s">
        <v>5345</v>
      </c>
      <c r="Y301" t="s">
        <v>6072</v>
      </c>
      <c r="Z301" t="s">
        <v>6073</v>
      </c>
      <c r="AA301" t="s">
        <v>6074</v>
      </c>
      <c r="AB301" t="s">
        <v>74</v>
      </c>
      <c r="AC301" t="s">
        <v>74</v>
      </c>
      <c r="AD301" t="s">
        <v>74</v>
      </c>
      <c r="AE301" t="s">
        <v>74</v>
      </c>
      <c r="AF301" t="s">
        <v>74</v>
      </c>
      <c r="AG301">
        <v>65</v>
      </c>
      <c r="AH301">
        <v>0</v>
      </c>
      <c r="AI301">
        <v>0</v>
      </c>
      <c r="AJ301">
        <v>5</v>
      </c>
      <c r="AK301">
        <v>5</v>
      </c>
      <c r="AL301" t="s">
        <v>2987</v>
      </c>
      <c r="AM301" t="s">
        <v>1804</v>
      </c>
      <c r="AN301" t="s">
        <v>2988</v>
      </c>
      <c r="AO301" t="s">
        <v>74</v>
      </c>
      <c r="AP301" t="s">
        <v>6075</v>
      </c>
      <c r="AQ301" t="s">
        <v>74</v>
      </c>
      <c r="AR301" t="s">
        <v>6076</v>
      </c>
      <c r="AS301" t="s">
        <v>6077</v>
      </c>
      <c r="AT301" t="s">
        <v>6078</v>
      </c>
      <c r="AU301">
        <v>2023</v>
      </c>
      <c r="AV301">
        <v>2</v>
      </c>
      <c r="AW301">
        <v>8</v>
      </c>
      <c r="AX301" t="s">
        <v>74</v>
      </c>
      <c r="AY301" t="s">
        <v>74</v>
      </c>
      <c r="AZ301" t="s">
        <v>74</v>
      </c>
      <c r="BA301" t="s">
        <v>74</v>
      </c>
      <c r="BB301">
        <v>1119</v>
      </c>
      <c r="BC301">
        <v>1129</v>
      </c>
      <c r="BD301" t="s">
        <v>74</v>
      </c>
      <c r="BE301" t="s">
        <v>6079</v>
      </c>
      <c r="BF301" t="str">
        <f>HYPERLINK("http://dx.doi.org/10.1039/d3va00060e","http://dx.doi.org/10.1039/d3va00060e")</f>
        <v>http://dx.doi.org/10.1039/d3va00060e</v>
      </c>
      <c r="BG301" t="s">
        <v>74</v>
      </c>
      <c r="BH301" t="s">
        <v>74</v>
      </c>
      <c r="BI301">
        <v>11</v>
      </c>
      <c r="BJ301" t="s">
        <v>1350</v>
      </c>
      <c r="BK301" t="s">
        <v>518</v>
      </c>
      <c r="BL301" t="s">
        <v>1351</v>
      </c>
      <c r="BM301" t="s">
        <v>6080</v>
      </c>
      <c r="BN301" t="s">
        <v>74</v>
      </c>
      <c r="BO301" t="s">
        <v>206</v>
      </c>
      <c r="BP301" t="s">
        <v>74</v>
      </c>
      <c r="BQ301" t="s">
        <v>74</v>
      </c>
      <c r="BR301" t="s">
        <v>107</v>
      </c>
      <c r="BS301" t="s">
        <v>6081</v>
      </c>
      <c r="BT301" t="str">
        <f>HYPERLINK("https%3A%2F%2Fwww.webofscience.com%2Fwos%2Fwoscc%2Ffull-record%2FWOS:001107604700001","View Full Record in Web of Science")</f>
        <v>View Full Record in Web of Science</v>
      </c>
    </row>
    <row r="302" spans="1:72" x14ac:dyDescent="0.15">
      <c r="A302" t="s">
        <v>72</v>
      </c>
      <c r="B302" t="s">
        <v>6082</v>
      </c>
      <c r="C302" t="s">
        <v>74</v>
      </c>
      <c r="D302" t="s">
        <v>74</v>
      </c>
      <c r="E302" t="s">
        <v>74</v>
      </c>
      <c r="F302" t="s">
        <v>6083</v>
      </c>
      <c r="G302" t="s">
        <v>74</v>
      </c>
      <c r="H302" t="s">
        <v>74</v>
      </c>
      <c r="I302" t="s">
        <v>6084</v>
      </c>
      <c r="J302" t="s">
        <v>983</v>
      </c>
      <c r="K302" t="s">
        <v>74</v>
      </c>
      <c r="L302" t="s">
        <v>74</v>
      </c>
      <c r="M302" t="s">
        <v>78</v>
      </c>
      <c r="N302" t="s">
        <v>79</v>
      </c>
      <c r="O302" t="s">
        <v>74</v>
      </c>
      <c r="P302" t="s">
        <v>74</v>
      </c>
      <c r="Q302" t="s">
        <v>74</v>
      </c>
      <c r="R302" t="s">
        <v>74</v>
      </c>
      <c r="S302" t="s">
        <v>74</v>
      </c>
      <c r="T302" t="s">
        <v>6085</v>
      </c>
      <c r="U302" t="s">
        <v>6086</v>
      </c>
      <c r="V302" t="s">
        <v>6087</v>
      </c>
      <c r="W302" t="s">
        <v>6088</v>
      </c>
      <c r="X302" t="s">
        <v>6089</v>
      </c>
      <c r="Y302" t="s">
        <v>6090</v>
      </c>
      <c r="Z302" t="s">
        <v>6091</v>
      </c>
      <c r="AA302" t="s">
        <v>74</v>
      </c>
      <c r="AB302" t="s">
        <v>74</v>
      </c>
      <c r="AC302" t="s">
        <v>6092</v>
      </c>
      <c r="AD302" t="s">
        <v>6092</v>
      </c>
      <c r="AE302" t="s">
        <v>6093</v>
      </c>
      <c r="AF302" t="s">
        <v>74</v>
      </c>
      <c r="AG302">
        <v>97</v>
      </c>
      <c r="AH302">
        <v>2</v>
      </c>
      <c r="AI302">
        <v>2</v>
      </c>
      <c r="AJ302">
        <v>3</v>
      </c>
      <c r="AK302">
        <v>5</v>
      </c>
      <c r="AL302" t="s">
        <v>994</v>
      </c>
      <c r="AM302" t="s">
        <v>995</v>
      </c>
      <c r="AN302" t="s">
        <v>996</v>
      </c>
      <c r="AO302" t="s">
        <v>74</v>
      </c>
      <c r="AP302" t="s">
        <v>997</v>
      </c>
      <c r="AQ302" t="s">
        <v>74</v>
      </c>
      <c r="AR302" t="s">
        <v>998</v>
      </c>
      <c r="AS302" t="s">
        <v>999</v>
      </c>
      <c r="AT302" t="s">
        <v>6078</v>
      </c>
      <c r="AU302">
        <v>2023</v>
      </c>
      <c r="AV302">
        <v>10</v>
      </c>
      <c r="AW302" t="s">
        <v>74</v>
      </c>
      <c r="AX302" t="s">
        <v>74</v>
      </c>
      <c r="AY302" t="s">
        <v>74</v>
      </c>
      <c r="AZ302" t="s">
        <v>74</v>
      </c>
      <c r="BA302" t="s">
        <v>74</v>
      </c>
      <c r="BB302" t="s">
        <v>74</v>
      </c>
      <c r="BC302" t="s">
        <v>74</v>
      </c>
      <c r="BD302">
        <v>1190623</v>
      </c>
      <c r="BE302" t="s">
        <v>6094</v>
      </c>
      <c r="BF302" t="str">
        <f>HYPERLINK("http://dx.doi.org/10.3389/fmars.2023.1190623","http://dx.doi.org/10.3389/fmars.2023.1190623")</f>
        <v>http://dx.doi.org/10.3389/fmars.2023.1190623</v>
      </c>
      <c r="BG302" t="s">
        <v>74</v>
      </c>
      <c r="BH302" t="s">
        <v>74</v>
      </c>
      <c r="BI302">
        <v>15</v>
      </c>
      <c r="BJ302" t="s">
        <v>1001</v>
      </c>
      <c r="BK302" t="s">
        <v>104</v>
      </c>
      <c r="BL302" t="s">
        <v>1002</v>
      </c>
      <c r="BM302" t="s">
        <v>6095</v>
      </c>
      <c r="BN302" t="s">
        <v>74</v>
      </c>
      <c r="BO302" t="s">
        <v>206</v>
      </c>
      <c r="BP302" t="s">
        <v>74</v>
      </c>
      <c r="BQ302" t="s">
        <v>74</v>
      </c>
      <c r="BR302" t="s">
        <v>107</v>
      </c>
      <c r="BS302" t="s">
        <v>6096</v>
      </c>
      <c r="BT302" t="str">
        <f>HYPERLINK("https%3A%2F%2Fwww.webofscience.com%2Fwos%2Fwoscc%2Ffull-record%2FWOS:001048009000001","View Full Record in Web of Science")</f>
        <v>View Full Record in Web of Science</v>
      </c>
    </row>
    <row r="303" spans="1:72" x14ac:dyDescent="0.15">
      <c r="A303" t="s">
        <v>72</v>
      </c>
      <c r="B303" t="s">
        <v>6097</v>
      </c>
      <c r="C303" t="s">
        <v>74</v>
      </c>
      <c r="D303" t="s">
        <v>74</v>
      </c>
      <c r="E303" t="s">
        <v>74</v>
      </c>
      <c r="F303" t="s">
        <v>6098</v>
      </c>
      <c r="G303" t="s">
        <v>74</v>
      </c>
      <c r="H303" t="s">
        <v>74</v>
      </c>
      <c r="I303" t="s">
        <v>6099</v>
      </c>
      <c r="J303" t="s">
        <v>6100</v>
      </c>
      <c r="K303" t="s">
        <v>74</v>
      </c>
      <c r="L303" t="s">
        <v>74</v>
      </c>
      <c r="M303" t="s">
        <v>78</v>
      </c>
      <c r="N303" t="s">
        <v>79</v>
      </c>
      <c r="O303" t="s">
        <v>74</v>
      </c>
      <c r="P303" t="s">
        <v>74</v>
      </c>
      <c r="Q303" t="s">
        <v>74</v>
      </c>
      <c r="R303" t="s">
        <v>74</v>
      </c>
      <c r="S303" t="s">
        <v>74</v>
      </c>
      <c r="T303" t="s">
        <v>6101</v>
      </c>
      <c r="U303" t="s">
        <v>6102</v>
      </c>
      <c r="V303" t="s">
        <v>6103</v>
      </c>
      <c r="W303" t="s">
        <v>6104</v>
      </c>
      <c r="X303" t="s">
        <v>6105</v>
      </c>
      <c r="Y303" t="s">
        <v>6106</v>
      </c>
      <c r="Z303" t="s">
        <v>6107</v>
      </c>
      <c r="AA303" t="s">
        <v>6108</v>
      </c>
      <c r="AB303" t="s">
        <v>6109</v>
      </c>
      <c r="AC303" t="s">
        <v>74</v>
      </c>
      <c r="AD303" t="s">
        <v>74</v>
      </c>
      <c r="AE303" t="s">
        <v>74</v>
      </c>
      <c r="AF303" t="s">
        <v>74</v>
      </c>
      <c r="AG303">
        <v>94</v>
      </c>
      <c r="AH303">
        <v>2</v>
      </c>
      <c r="AI303">
        <v>2</v>
      </c>
      <c r="AJ303">
        <v>4</v>
      </c>
      <c r="AK303">
        <v>8</v>
      </c>
      <c r="AL303" t="s">
        <v>2305</v>
      </c>
      <c r="AM303" t="s">
        <v>538</v>
      </c>
      <c r="AN303" t="s">
        <v>2306</v>
      </c>
      <c r="AO303" t="s">
        <v>6110</v>
      </c>
      <c r="AP303" t="s">
        <v>6111</v>
      </c>
      <c r="AQ303" t="s">
        <v>74</v>
      </c>
      <c r="AR303" t="s">
        <v>6112</v>
      </c>
      <c r="AS303" t="s">
        <v>6113</v>
      </c>
      <c r="AT303" t="s">
        <v>97</v>
      </c>
      <c r="AU303">
        <v>2023</v>
      </c>
      <c r="AV303">
        <v>199</v>
      </c>
      <c r="AW303" t="s">
        <v>74</v>
      </c>
      <c r="AX303" t="s">
        <v>74</v>
      </c>
      <c r="AY303" t="s">
        <v>74</v>
      </c>
      <c r="AZ303" t="s">
        <v>74</v>
      </c>
      <c r="BA303" t="s">
        <v>74</v>
      </c>
      <c r="BB303" t="s">
        <v>74</v>
      </c>
      <c r="BC303" t="s">
        <v>74</v>
      </c>
      <c r="BD303">
        <v>104113</v>
      </c>
      <c r="BE303" t="s">
        <v>6114</v>
      </c>
      <c r="BF303" t="str">
        <f>HYPERLINK("http://dx.doi.org/10.1016/j.dsr.2023.104113","http://dx.doi.org/10.1016/j.dsr.2023.104113")</f>
        <v>http://dx.doi.org/10.1016/j.dsr.2023.104113</v>
      </c>
      <c r="BG303" t="s">
        <v>74</v>
      </c>
      <c r="BH303" t="s">
        <v>6115</v>
      </c>
      <c r="BI303">
        <v>12</v>
      </c>
      <c r="BJ303" t="s">
        <v>306</v>
      </c>
      <c r="BK303" t="s">
        <v>104</v>
      </c>
      <c r="BL303" t="s">
        <v>306</v>
      </c>
      <c r="BM303" t="s">
        <v>6116</v>
      </c>
      <c r="BN303" t="s">
        <v>74</v>
      </c>
      <c r="BO303" t="s">
        <v>549</v>
      </c>
      <c r="BP303" t="s">
        <v>74</v>
      </c>
      <c r="BQ303" t="s">
        <v>74</v>
      </c>
      <c r="BR303" t="s">
        <v>107</v>
      </c>
      <c r="BS303" t="s">
        <v>6117</v>
      </c>
      <c r="BT303" t="str">
        <f>HYPERLINK("https%3A%2F%2Fwww.webofscience.com%2Fwos%2Fwoscc%2Ffull-record%2FWOS:001054730200001","View Full Record in Web of Science")</f>
        <v>View Full Record in Web of Science</v>
      </c>
    </row>
    <row r="304" spans="1:72" x14ac:dyDescent="0.15">
      <c r="A304" t="s">
        <v>72</v>
      </c>
      <c r="B304" t="s">
        <v>6118</v>
      </c>
      <c r="C304" t="s">
        <v>74</v>
      </c>
      <c r="D304" t="s">
        <v>74</v>
      </c>
      <c r="E304" t="s">
        <v>74</v>
      </c>
      <c r="F304" t="s">
        <v>6119</v>
      </c>
      <c r="G304" t="s">
        <v>74</v>
      </c>
      <c r="H304" t="s">
        <v>74</v>
      </c>
      <c r="I304" t="s">
        <v>6120</v>
      </c>
      <c r="J304" t="s">
        <v>2851</v>
      </c>
      <c r="K304" t="s">
        <v>74</v>
      </c>
      <c r="L304" t="s">
        <v>74</v>
      </c>
      <c r="M304" t="s">
        <v>78</v>
      </c>
      <c r="N304" t="s">
        <v>79</v>
      </c>
      <c r="O304" t="s">
        <v>74</v>
      </c>
      <c r="P304" t="s">
        <v>74</v>
      </c>
      <c r="Q304" t="s">
        <v>74</v>
      </c>
      <c r="R304" t="s">
        <v>74</v>
      </c>
      <c r="S304" t="s">
        <v>74</v>
      </c>
      <c r="T304" t="s">
        <v>6121</v>
      </c>
      <c r="U304" t="s">
        <v>6122</v>
      </c>
      <c r="V304" t="s">
        <v>6123</v>
      </c>
      <c r="W304" t="s">
        <v>6124</v>
      </c>
      <c r="X304" t="s">
        <v>191</v>
      </c>
      <c r="Y304" t="s">
        <v>6125</v>
      </c>
      <c r="Z304" t="s">
        <v>6126</v>
      </c>
      <c r="AA304" t="s">
        <v>6127</v>
      </c>
      <c r="AB304" t="s">
        <v>6128</v>
      </c>
      <c r="AC304" t="s">
        <v>6129</v>
      </c>
      <c r="AD304" t="s">
        <v>6129</v>
      </c>
      <c r="AE304" t="s">
        <v>6130</v>
      </c>
      <c r="AF304" t="s">
        <v>74</v>
      </c>
      <c r="AG304">
        <v>25</v>
      </c>
      <c r="AH304">
        <v>0</v>
      </c>
      <c r="AI304">
        <v>0</v>
      </c>
      <c r="AJ304">
        <v>3</v>
      </c>
      <c r="AK304">
        <v>5</v>
      </c>
      <c r="AL304" t="s">
        <v>2862</v>
      </c>
      <c r="AM304" t="s">
        <v>2863</v>
      </c>
      <c r="AN304" t="s">
        <v>2864</v>
      </c>
      <c r="AO304" t="s">
        <v>2865</v>
      </c>
      <c r="AP304" t="s">
        <v>2866</v>
      </c>
      <c r="AQ304" t="s">
        <v>74</v>
      </c>
      <c r="AR304" t="s">
        <v>2867</v>
      </c>
      <c r="AS304" t="s">
        <v>2868</v>
      </c>
      <c r="AT304" t="s">
        <v>6078</v>
      </c>
      <c r="AU304">
        <v>2023</v>
      </c>
      <c r="AV304">
        <v>42</v>
      </c>
      <c r="AW304" t="s">
        <v>74</v>
      </c>
      <c r="AX304" t="s">
        <v>74</v>
      </c>
      <c r="AY304" t="s">
        <v>74</v>
      </c>
      <c r="AZ304" t="s">
        <v>74</v>
      </c>
      <c r="BA304" t="s">
        <v>74</v>
      </c>
      <c r="BB304" t="s">
        <v>74</v>
      </c>
      <c r="BC304" t="s">
        <v>74</v>
      </c>
      <c r="BD304">
        <v>9556</v>
      </c>
      <c r="BE304" t="s">
        <v>6131</v>
      </c>
      <c r="BF304" t="str">
        <f>HYPERLINK("http://dx.doi.org/10.33265/polar.v42.9556","http://dx.doi.org/10.33265/polar.v42.9556")</f>
        <v>http://dx.doi.org/10.33265/polar.v42.9556</v>
      </c>
      <c r="BG304" t="s">
        <v>74</v>
      </c>
      <c r="BH304" t="s">
        <v>74</v>
      </c>
      <c r="BI304">
        <v>5</v>
      </c>
      <c r="BJ304" t="s">
        <v>2871</v>
      </c>
      <c r="BK304" t="s">
        <v>104</v>
      </c>
      <c r="BL304" t="s">
        <v>2872</v>
      </c>
      <c r="BM304" t="s">
        <v>6132</v>
      </c>
      <c r="BN304" t="s">
        <v>74</v>
      </c>
      <c r="BO304" t="s">
        <v>206</v>
      </c>
      <c r="BP304" t="s">
        <v>74</v>
      </c>
      <c r="BQ304" t="s">
        <v>74</v>
      </c>
      <c r="BR304" t="s">
        <v>107</v>
      </c>
      <c r="BS304" t="s">
        <v>6133</v>
      </c>
      <c r="BT304" t="str">
        <f>HYPERLINK("https%3A%2F%2Fwww.webofscience.com%2Fwos%2Fwoscc%2Ffull-record%2FWOS:001050742000001","View Full Record in Web of Science")</f>
        <v>View Full Record in Web of Science</v>
      </c>
    </row>
    <row r="305" spans="1:72" x14ac:dyDescent="0.15">
      <c r="A305" t="s">
        <v>72</v>
      </c>
      <c r="B305" t="s">
        <v>6134</v>
      </c>
      <c r="C305" t="s">
        <v>74</v>
      </c>
      <c r="D305" t="s">
        <v>74</v>
      </c>
      <c r="E305" t="s">
        <v>74</v>
      </c>
      <c r="F305" t="s">
        <v>6135</v>
      </c>
      <c r="G305" t="s">
        <v>74</v>
      </c>
      <c r="H305" t="s">
        <v>74</v>
      </c>
      <c r="I305" t="s">
        <v>6136</v>
      </c>
      <c r="J305" t="s">
        <v>2493</v>
      </c>
      <c r="K305" t="s">
        <v>74</v>
      </c>
      <c r="L305" t="s">
        <v>74</v>
      </c>
      <c r="M305" t="s">
        <v>78</v>
      </c>
      <c r="N305" t="s">
        <v>79</v>
      </c>
      <c r="O305" t="s">
        <v>74</v>
      </c>
      <c r="P305" t="s">
        <v>74</v>
      </c>
      <c r="Q305" t="s">
        <v>74</v>
      </c>
      <c r="R305" t="s">
        <v>74</v>
      </c>
      <c r="S305" t="s">
        <v>74</v>
      </c>
      <c r="T305" t="s">
        <v>74</v>
      </c>
      <c r="U305" t="s">
        <v>6137</v>
      </c>
      <c r="V305" t="s">
        <v>6138</v>
      </c>
      <c r="W305" t="s">
        <v>6139</v>
      </c>
      <c r="X305" t="s">
        <v>6140</v>
      </c>
      <c r="Y305" t="s">
        <v>6141</v>
      </c>
      <c r="Z305" t="s">
        <v>6142</v>
      </c>
      <c r="AA305" t="s">
        <v>6143</v>
      </c>
      <c r="AB305" t="s">
        <v>6144</v>
      </c>
      <c r="AC305" t="s">
        <v>6145</v>
      </c>
      <c r="AD305" t="s">
        <v>6146</v>
      </c>
      <c r="AE305" t="s">
        <v>6147</v>
      </c>
      <c r="AF305" t="s">
        <v>74</v>
      </c>
      <c r="AG305">
        <v>120</v>
      </c>
      <c r="AH305">
        <v>0</v>
      </c>
      <c r="AI305">
        <v>0</v>
      </c>
      <c r="AJ305">
        <v>2</v>
      </c>
      <c r="AK305">
        <v>6</v>
      </c>
      <c r="AL305" t="s">
        <v>1775</v>
      </c>
      <c r="AM305" t="s">
        <v>1776</v>
      </c>
      <c r="AN305" t="s">
        <v>1777</v>
      </c>
      <c r="AO305" t="s">
        <v>2505</v>
      </c>
      <c r="AP305" t="s">
        <v>2506</v>
      </c>
      <c r="AQ305" t="s">
        <v>74</v>
      </c>
      <c r="AR305" t="s">
        <v>2493</v>
      </c>
      <c r="AS305" t="s">
        <v>2507</v>
      </c>
      <c r="AT305" t="s">
        <v>6078</v>
      </c>
      <c r="AU305">
        <v>2023</v>
      </c>
      <c r="AV305">
        <v>20</v>
      </c>
      <c r="AW305">
        <v>14</v>
      </c>
      <c r="AX305" t="s">
        <v>74</v>
      </c>
      <c r="AY305" t="s">
        <v>74</v>
      </c>
      <c r="AZ305" t="s">
        <v>74</v>
      </c>
      <c r="BA305" t="s">
        <v>74</v>
      </c>
      <c r="BB305">
        <v>3073</v>
      </c>
      <c r="BC305">
        <v>3091</v>
      </c>
      <c r="BD305" t="s">
        <v>74</v>
      </c>
      <c r="BE305" t="s">
        <v>6148</v>
      </c>
      <c r="BF305" t="str">
        <f>HYPERLINK("http://dx.doi.org/10.5194/bg-20-3073-2023","http://dx.doi.org/10.5194/bg-20-3073-2023")</f>
        <v>http://dx.doi.org/10.5194/bg-20-3073-2023</v>
      </c>
      <c r="BG305" t="s">
        <v>74</v>
      </c>
      <c r="BH305" t="s">
        <v>74</v>
      </c>
      <c r="BI305">
        <v>19</v>
      </c>
      <c r="BJ305" t="s">
        <v>247</v>
      </c>
      <c r="BK305" t="s">
        <v>104</v>
      </c>
      <c r="BL305" t="s">
        <v>248</v>
      </c>
      <c r="BM305" t="s">
        <v>6149</v>
      </c>
      <c r="BN305" t="s">
        <v>74</v>
      </c>
      <c r="BO305" t="s">
        <v>771</v>
      </c>
      <c r="BP305" t="s">
        <v>74</v>
      </c>
      <c r="BQ305" t="s">
        <v>74</v>
      </c>
      <c r="BR305" t="s">
        <v>107</v>
      </c>
      <c r="BS305" t="s">
        <v>6150</v>
      </c>
      <c r="BT305" t="str">
        <f>HYPERLINK("https%3A%2F%2Fwww.webofscience.com%2Fwos%2Fwoscc%2Ffull-record%2FWOS:001040376900001","View Full Record in Web of Science")</f>
        <v>View Full Record in Web of Science</v>
      </c>
    </row>
    <row r="306" spans="1:72" x14ac:dyDescent="0.15">
      <c r="A306" t="s">
        <v>72</v>
      </c>
      <c r="B306" t="s">
        <v>6151</v>
      </c>
      <c r="C306" t="s">
        <v>74</v>
      </c>
      <c r="D306" t="s">
        <v>74</v>
      </c>
      <c r="E306" t="s">
        <v>74</v>
      </c>
      <c r="F306" t="s">
        <v>6152</v>
      </c>
      <c r="G306" t="s">
        <v>74</v>
      </c>
      <c r="H306" t="s">
        <v>74</v>
      </c>
      <c r="I306" t="s">
        <v>6153</v>
      </c>
      <c r="J306" t="s">
        <v>3756</v>
      </c>
      <c r="K306" t="s">
        <v>74</v>
      </c>
      <c r="L306" t="s">
        <v>74</v>
      </c>
      <c r="M306" t="s">
        <v>78</v>
      </c>
      <c r="N306" t="s">
        <v>4565</v>
      </c>
      <c r="O306" t="s">
        <v>74</v>
      </c>
      <c r="P306" t="s">
        <v>74</v>
      </c>
      <c r="Q306" t="s">
        <v>74</v>
      </c>
      <c r="R306" t="s">
        <v>74</v>
      </c>
      <c r="S306" t="s">
        <v>74</v>
      </c>
      <c r="T306" t="s">
        <v>74</v>
      </c>
      <c r="U306" t="s">
        <v>74</v>
      </c>
      <c r="V306" t="s">
        <v>74</v>
      </c>
      <c r="W306" t="s">
        <v>6154</v>
      </c>
      <c r="X306" t="s">
        <v>6155</v>
      </c>
      <c r="Y306" t="s">
        <v>6156</v>
      </c>
      <c r="Z306" t="s">
        <v>6157</v>
      </c>
      <c r="AA306" t="s">
        <v>74</v>
      </c>
      <c r="AB306" t="s">
        <v>6158</v>
      </c>
      <c r="AC306" t="s">
        <v>74</v>
      </c>
      <c r="AD306" t="s">
        <v>74</v>
      </c>
      <c r="AE306" t="s">
        <v>74</v>
      </c>
      <c r="AF306" t="s">
        <v>74</v>
      </c>
      <c r="AG306">
        <v>1</v>
      </c>
      <c r="AH306">
        <v>0</v>
      </c>
      <c r="AI306">
        <v>0</v>
      </c>
      <c r="AJ306">
        <v>0</v>
      </c>
      <c r="AK306">
        <v>1</v>
      </c>
      <c r="AL306" t="s">
        <v>298</v>
      </c>
      <c r="AM306" t="s">
        <v>299</v>
      </c>
      <c r="AN306" t="s">
        <v>300</v>
      </c>
      <c r="AO306" t="s">
        <v>3767</v>
      </c>
      <c r="AP306" t="s">
        <v>3768</v>
      </c>
      <c r="AQ306" t="s">
        <v>74</v>
      </c>
      <c r="AR306" t="s">
        <v>3769</v>
      </c>
      <c r="AS306" t="s">
        <v>3770</v>
      </c>
      <c r="AT306" t="s">
        <v>97</v>
      </c>
      <c r="AU306">
        <v>2023</v>
      </c>
      <c r="AV306">
        <v>46</v>
      </c>
      <c r="AW306">
        <v>9</v>
      </c>
      <c r="AX306" t="s">
        <v>74</v>
      </c>
      <c r="AY306" t="s">
        <v>74</v>
      </c>
      <c r="AZ306" t="s">
        <v>74</v>
      </c>
      <c r="BA306" t="s">
        <v>74</v>
      </c>
      <c r="BB306">
        <v>819</v>
      </c>
      <c r="BC306">
        <v>819</v>
      </c>
      <c r="BD306" t="s">
        <v>74</v>
      </c>
      <c r="BE306" t="s">
        <v>6159</v>
      </c>
      <c r="BF306" t="str">
        <f>HYPERLINK("http://dx.doi.org/10.1007/s00300-023-03183-z","http://dx.doi.org/10.1007/s00300-023-03183-z")</f>
        <v>http://dx.doi.org/10.1007/s00300-023-03183-z</v>
      </c>
      <c r="BG306" t="s">
        <v>74</v>
      </c>
      <c r="BH306" t="s">
        <v>6115</v>
      </c>
      <c r="BI306">
        <v>1</v>
      </c>
      <c r="BJ306" t="s">
        <v>3772</v>
      </c>
      <c r="BK306" t="s">
        <v>104</v>
      </c>
      <c r="BL306" t="s">
        <v>1905</v>
      </c>
      <c r="BM306" t="s">
        <v>4538</v>
      </c>
      <c r="BN306" t="s">
        <v>74</v>
      </c>
      <c r="BO306" t="s">
        <v>133</v>
      </c>
      <c r="BP306" t="s">
        <v>74</v>
      </c>
      <c r="BQ306" t="s">
        <v>74</v>
      </c>
      <c r="BR306" t="s">
        <v>107</v>
      </c>
      <c r="BS306" t="s">
        <v>6160</v>
      </c>
      <c r="BT306" t="str">
        <f>HYPERLINK("https%3A%2F%2Fwww.webofscience.com%2Fwos%2Fwoscc%2Ffull-record%2FWOS:001040829100001","View Full Record in Web of Science")</f>
        <v>View Full Record in Web of Science</v>
      </c>
    </row>
    <row r="307" spans="1:72" x14ac:dyDescent="0.15">
      <c r="A307" t="s">
        <v>72</v>
      </c>
      <c r="B307" t="s">
        <v>6161</v>
      </c>
      <c r="C307" t="s">
        <v>74</v>
      </c>
      <c r="D307" t="s">
        <v>74</v>
      </c>
      <c r="E307" t="s">
        <v>74</v>
      </c>
      <c r="F307" t="s">
        <v>6162</v>
      </c>
      <c r="G307" t="s">
        <v>74</v>
      </c>
      <c r="H307" t="s">
        <v>74</v>
      </c>
      <c r="I307" t="s">
        <v>6163</v>
      </c>
      <c r="J307" t="s">
        <v>4066</v>
      </c>
      <c r="K307" t="s">
        <v>74</v>
      </c>
      <c r="L307" t="s">
        <v>74</v>
      </c>
      <c r="M307" t="s">
        <v>78</v>
      </c>
      <c r="N307" t="s">
        <v>424</v>
      </c>
      <c r="O307" t="s">
        <v>74</v>
      </c>
      <c r="P307" t="s">
        <v>74</v>
      </c>
      <c r="Q307" t="s">
        <v>74</v>
      </c>
      <c r="R307" t="s">
        <v>74</v>
      </c>
      <c r="S307" t="s">
        <v>74</v>
      </c>
      <c r="T307" t="s">
        <v>6164</v>
      </c>
      <c r="U307" t="s">
        <v>6165</v>
      </c>
      <c r="V307" t="s">
        <v>6166</v>
      </c>
      <c r="W307" t="s">
        <v>6167</v>
      </c>
      <c r="X307" t="s">
        <v>6168</v>
      </c>
      <c r="Y307" t="s">
        <v>6169</v>
      </c>
      <c r="Z307" t="s">
        <v>6170</v>
      </c>
      <c r="AA307" t="s">
        <v>1567</v>
      </c>
      <c r="AB307" t="s">
        <v>6171</v>
      </c>
      <c r="AC307" t="s">
        <v>6172</v>
      </c>
      <c r="AD307" t="s">
        <v>6173</v>
      </c>
      <c r="AE307" t="s">
        <v>6174</v>
      </c>
      <c r="AF307" t="s">
        <v>74</v>
      </c>
      <c r="AG307">
        <v>47</v>
      </c>
      <c r="AH307">
        <v>0</v>
      </c>
      <c r="AI307">
        <v>0</v>
      </c>
      <c r="AJ307">
        <v>4</v>
      </c>
      <c r="AK307">
        <v>7</v>
      </c>
      <c r="AL307" t="s">
        <v>2305</v>
      </c>
      <c r="AM307" t="s">
        <v>538</v>
      </c>
      <c r="AN307" t="s">
        <v>2306</v>
      </c>
      <c r="AO307" t="s">
        <v>4078</v>
      </c>
      <c r="AP307" t="s">
        <v>4079</v>
      </c>
      <c r="AQ307" t="s">
        <v>74</v>
      </c>
      <c r="AR307" t="s">
        <v>4080</v>
      </c>
      <c r="AS307" t="s">
        <v>4081</v>
      </c>
      <c r="AT307" t="s">
        <v>129</v>
      </c>
      <c r="AU307">
        <v>2023</v>
      </c>
      <c r="AV307">
        <v>217</v>
      </c>
      <c r="AW307" t="s">
        <v>74</v>
      </c>
      <c r="AX307" t="s">
        <v>74</v>
      </c>
      <c r="AY307" t="s">
        <v>74</v>
      </c>
      <c r="AZ307" t="s">
        <v>74</v>
      </c>
      <c r="BA307" t="s">
        <v>74</v>
      </c>
      <c r="BB307" t="s">
        <v>74</v>
      </c>
      <c r="BC307" t="s">
        <v>74</v>
      </c>
      <c r="BD307">
        <v>103101</v>
      </c>
      <c r="BE307" t="s">
        <v>6175</v>
      </c>
      <c r="BF307" t="str">
        <f>HYPERLINK("http://dx.doi.org/10.1016/j.pocean.2023.103101","http://dx.doi.org/10.1016/j.pocean.2023.103101")</f>
        <v>http://dx.doi.org/10.1016/j.pocean.2023.103101</v>
      </c>
      <c r="BG307" t="s">
        <v>74</v>
      </c>
      <c r="BH307" t="s">
        <v>6115</v>
      </c>
      <c r="BI307">
        <v>10</v>
      </c>
      <c r="BJ307" t="s">
        <v>306</v>
      </c>
      <c r="BK307" t="s">
        <v>104</v>
      </c>
      <c r="BL307" t="s">
        <v>306</v>
      </c>
      <c r="BM307" t="s">
        <v>6176</v>
      </c>
      <c r="BN307" t="s">
        <v>74</v>
      </c>
      <c r="BO307" t="s">
        <v>74</v>
      </c>
      <c r="BP307" t="s">
        <v>74</v>
      </c>
      <c r="BQ307" t="s">
        <v>74</v>
      </c>
      <c r="BR307" t="s">
        <v>107</v>
      </c>
      <c r="BS307" t="s">
        <v>6177</v>
      </c>
      <c r="BT307" t="str">
        <f>HYPERLINK("https%3A%2F%2Fwww.webofscience.com%2Fwos%2Fwoscc%2Ffull-record%2FWOS:001052160300001","View Full Record in Web of Science")</f>
        <v>View Full Record in Web of Science</v>
      </c>
    </row>
    <row r="308" spans="1:72" x14ac:dyDescent="0.15">
      <c r="A308" t="s">
        <v>72</v>
      </c>
      <c r="B308" t="s">
        <v>6178</v>
      </c>
      <c r="C308" t="s">
        <v>74</v>
      </c>
      <c r="D308" t="s">
        <v>74</v>
      </c>
      <c r="E308" t="s">
        <v>74</v>
      </c>
      <c r="F308" t="s">
        <v>6179</v>
      </c>
      <c r="G308" t="s">
        <v>74</v>
      </c>
      <c r="H308" t="s">
        <v>74</v>
      </c>
      <c r="I308" t="s">
        <v>6180</v>
      </c>
      <c r="J308" t="s">
        <v>5877</v>
      </c>
      <c r="K308" t="s">
        <v>74</v>
      </c>
      <c r="L308" t="s">
        <v>74</v>
      </c>
      <c r="M308" t="s">
        <v>78</v>
      </c>
      <c r="N308" t="s">
        <v>79</v>
      </c>
      <c r="O308" t="s">
        <v>74</v>
      </c>
      <c r="P308" t="s">
        <v>74</v>
      </c>
      <c r="Q308" t="s">
        <v>74</v>
      </c>
      <c r="R308" t="s">
        <v>74</v>
      </c>
      <c r="S308" t="s">
        <v>74</v>
      </c>
      <c r="T308" t="s">
        <v>6181</v>
      </c>
      <c r="U308" t="s">
        <v>6182</v>
      </c>
      <c r="V308" t="s">
        <v>6183</v>
      </c>
      <c r="W308" t="s">
        <v>6184</v>
      </c>
      <c r="X308" t="s">
        <v>6185</v>
      </c>
      <c r="Y308" t="s">
        <v>6186</v>
      </c>
      <c r="Z308" t="s">
        <v>6187</v>
      </c>
      <c r="AA308" t="s">
        <v>6188</v>
      </c>
      <c r="AB308" t="s">
        <v>6189</v>
      </c>
      <c r="AC308" t="s">
        <v>6190</v>
      </c>
      <c r="AD308" t="s">
        <v>6190</v>
      </c>
      <c r="AE308" t="s">
        <v>6191</v>
      </c>
      <c r="AF308" t="s">
        <v>74</v>
      </c>
      <c r="AG308">
        <v>66</v>
      </c>
      <c r="AH308">
        <v>0</v>
      </c>
      <c r="AI308">
        <v>0</v>
      </c>
      <c r="AJ308">
        <v>4</v>
      </c>
      <c r="AK308">
        <v>9</v>
      </c>
      <c r="AL308" t="s">
        <v>460</v>
      </c>
      <c r="AM308" t="s">
        <v>461</v>
      </c>
      <c r="AN308" t="s">
        <v>462</v>
      </c>
      <c r="AO308" t="s">
        <v>5888</v>
      </c>
      <c r="AP308" t="s">
        <v>5889</v>
      </c>
      <c r="AQ308" t="s">
        <v>74</v>
      </c>
      <c r="AR308" t="s">
        <v>5890</v>
      </c>
      <c r="AS308" t="s">
        <v>5891</v>
      </c>
      <c r="AT308" t="s">
        <v>1859</v>
      </c>
      <c r="AU308">
        <v>2024</v>
      </c>
      <c r="AV308">
        <v>40</v>
      </c>
      <c r="AW308">
        <v>1</v>
      </c>
      <c r="AX308" t="s">
        <v>74</v>
      </c>
      <c r="AY308" t="s">
        <v>74</v>
      </c>
      <c r="AZ308" t="s">
        <v>74</v>
      </c>
      <c r="BA308" t="s">
        <v>74</v>
      </c>
      <c r="BB308">
        <v>108</v>
      </c>
      <c r="BC308">
        <v>122</v>
      </c>
      <c r="BD308" t="s">
        <v>74</v>
      </c>
      <c r="BE308" t="s">
        <v>6192</v>
      </c>
      <c r="BF308" t="str">
        <f>HYPERLINK("http://dx.doi.org/10.1111/mms.13058","http://dx.doi.org/10.1111/mms.13058")</f>
        <v>http://dx.doi.org/10.1111/mms.13058</v>
      </c>
      <c r="BG308" t="s">
        <v>74</v>
      </c>
      <c r="BH308" t="s">
        <v>6115</v>
      </c>
      <c r="BI308">
        <v>15</v>
      </c>
      <c r="BJ308" t="s">
        <v>547</v>
      </c>
      <c r="BK308" t="s">
        <v>104</v>
      </c>
      <c r="BL308" t="s">
        <v>547</v>
      </c>
      <c r="BM308" t="s">
        <v>5893</v>
      </c>
      <c r="BN308" t="s">
        <v>74</v>
      </c>
      <c r="BO308" t="s">
        <v>549</v>
      </c>
      <c r="BP308" t="s">
        <v>74</v>
      </c>
      <c r="BQ308" t="s">
        <v>74</v>
      </c>
      <c r="BR308" t="s">
        <v>107</v>
      </c>
      <c r="BS308" t="s">
        <v>6193</v>
      </c>
      <c r="BT308" t="str">
        <f>HYPERLINK("https%3A%2F%2Fwww.webofscience.com%2Fwos%2Fwoscc%2Ffull-record%2FWOS:001039399000001","View Full Record in Web of Science")</f>
        <v>View Full Record in Web of Science</v>
      </c>
    </row>
    <row r="309" spans="1:72" x14ac:dyDescent="0.15">
      <c r="A309" t="s">
        <v>72</v>
      </c>
      <c r="B309" t="s">
        <v>6194</v>
      </c>
      <c r="C309" t="s">
        <v>74</v>
      </c>
      <c r="D309" t="s">
        <v>74</v>
      </c>
      <c r="E309" t="s">
        <v>74</v>
      </c>
      <c r="F309" t="s">
        <v>6195</v>
      </c>
      <c r="G309" t="s">
        <v>74</v>
      </c>
      <c r="H309" t="s">
        <v>74</v>
      </c>
      <c r="I309" t="s">
        <v>6196</v>
      </c>
      <c r="J309" t="s">
        <v>6197</v>
      </c>
      <c r="K309" t="s">
        <v>74</v>
      </c>
      <c r="L309" t="s">
        <v>74</v>
      </c>
      <c r="M309" t="s">
        <v>78</v>
      </c>
      <c r="N309" t="s">
        <v>79</v>
      </c>
      <c r="O309" t="s">
        <v>74</v>
      </c>
      <c r="P309" t="s">
        <v>74</v>
      </c>
      <c r="Q309" t="s">
        <v>74</v>
      </c>
      <c r="R309" t="s">
        <v>74</v>
      </c>
      <c r="S309" t="s">
        <v>74</v>
      </c>
      <c r="T309" t="s">
        <v>6198</v>
      </c>
      <c r="U309" t="s">
        <v>6199</v>
      </c>
      <c r="V309" t="s">
        <v>6200</v>
      </c>
      <c r="W309" t="s">
        <v>6201</v>
      </c>
      <c r="X309" t="s">
        <v>6202</v>
      </c>
      <c r="Y309" t="s">
        <v>6203</v>
      </c>
      <c r="Z309" t="s">
        <v>6204</v>
      </c>
      <c r="AA309" t="s">
        <v>74</v>
      </c>
      <c r="AB309" t="s">
        <v>74</v>
      </c>
      <c r="AC309" t="s">
        <v>6205</v>
      </c>
      <c r="AD309" t="s">
        <v>6206</v>
      </c>
      <c r="AE309" t="s">
        <v>6207</v>
      </c>
      <c r="AF309" t="s">
        <v>74</v>
      </c>
      <c r="AG309">
        <v>42</v>
      </c>
      <c r="AH309">
        <v>0</v>
      </c>
      <c r="AI309">
        <v>0</v>
      </c>
      <c r="AJ309">
        <v>5</v>
      </c>
      <c r="AK309">
        <v>6</v>
      </c>
      <c r="AL309" t="s">
        <v>2305</v>
      </c>
      <c r="AM309" t="s">
        <v>538</v>
      </c>
      <c r="AN309" t="s">
        <v>2306</v>
      </c>
      <c r="AO309" t="s">
        <v>6208</v>
      </c>
      <c r="AP309" t="s">
        <v>6209</v>
      </c>
      <c r="AQ309" t="s">
        <v>74</v>
      </c>
      <c r="AR309" t="s">
        <v>6210</v>
      </c>
      <c r="AS309" t="s">
        <v>6211</v>
      </c>
      <c r="AT309" t="s">
        <v>1810</v>
      </c>
      <c r="AU309">
        <v>2023</v>
      </c>
      <c r="AV309">
        <v>110</v>
      </c>
      <c r="AW309" t="s">
        <v>74</v>
      </c>
      <c r="AX309" t="s">
        <v>74</v>
      </c>
      <c r="AY309" t="s">
        <v>74</v>
      </c>
      <c r="AZ309" t="s">
        <v>74</v>
      </c>
      <c r="BA309" t="s">
        <v>74</v>
      </c>
      <c r="BB309" t="s">
        <v>74</v>
      </c>
      <c r="BC309" t="s">
        <v>74</v>
      </c>
      <c r="BD309">
        <v>104709</v>
      </c>
      <c r="BE309" t="s">
        <v>6212</v>
      </c>
      <c r="BF309" t="str">
        <f>HYPERLINK("http://dx.doi.org/10.1016/j.bse.2023.104709","http://dx.doi.org/10.1016/j.bse.2023.104709")</f>
        <v>http://dx.doi.org/10.1016/j.bse.2023.104709</v>
      </c>
      <c r="BG309" t="s">
        <v>74</v>
      </c>
      <c r="BH309" t="s">
        <v>6115</v>
      </c>
      <c r="BI309">
        <v>4</v>
      </c>
      <c r="BJ309" t="s">
        <v>6213</v>
      </c>
      <c r="BK309" t="s">
        <v>104</v>
      </c>
      <c r="BL309" t="s">
        <v>6214</v>
      </c>
      <c r="BM309" t="s">
        <v>6215</v>
      </c>
      <c r="BN309" t="s">
        <v>74</v>
      </c>
      <c r="BO309" t="s">
        <v>74</v>
      </c>
      <c r="BP309" t="s">
        <v>74</v>
      </c>
      <c r="BQ309" t="s">
        <v>74</v>
      </c>
      <c r="BR309" t="s">
        <v>107</v>
      </c>
      <c r="BS309" t="s">
        <v>6216</v>
      </c>
      <c r="BT309" t="str">
        <f>HYPERLINK("https%3A%2F%2Fwww.webofscience.com%2Fwos%2Fwoscc%2Ffull-record%2FWOS:001046875800001","View Full Record in Web of Science")</f>
        <v>View Full Record in Web of Science</v>
      </c>
    </row>
    <row r="310" spans="1:72" x14ac:dyDescent="0.15">
      <c r="A310" t="s">
        <v>72</v>
      </c>
      <c r="B310" t="s">
        <v>6217</v>
      </c>
      <c r="C310" t="s">
        <v>74</v>
      </c>
      <c r="D310" t="s">
        <v>74</v>
      </c>
      <c r="E310" t="s">
        <v>74</v>
      </c>
      <c r="F310" t="s">
        <v>6218</v>
      </c>
      <c r="G310" t="s">
        <v>74</v>
      </c>
      <c r="H310" t="s">
        <v>74</v>
      </c>
      <c r="I310" t="s">
        <v>6219</v>
      </c>
      <c r="J310" t="s">
        <v>5877</v>
      </c>
      <c r="K310" t="s">
        <v>74</v>
      </c>
      <c r="L310" t="s">
        <v>74</v>
      </c>
      <c r="M310" t="s">
        <v>78</v>
      </c>
      <c r="N310" t="s">
        <v>79</v>
      </c>
      <c r="O310" t="s">
        <v>74</v>
      </c>
      <c r="P310" t="s">
        <v>74</v>
      </c>
      <c r="Q310" t="s">
        <v>74</v>
      </c>
      <c r="R310" t="s">
        <v>74</v>
      </c>
      <c r="S310" t="s">
        <v>74</v>
      </c>
      <c r="T310" t="s">
        <v>6220</v>
      </c>
      <c r="U310" t="s">
        <v>6221</v>
      </c>
      <c r="V310" t="s">
        <v>6222</v>
      </c>
      <c r="W310" t="s">
        <v>6223</v>
      </c>
      <c r="X310" t="s">
        <v>6224</v>
      </c>
      <c r="Y310" t="s">
        <v>6225</v>
      </c>
      <c r="Z310" t="s">
        <v>6226</v>
      </c>
      <c r="AA310" t="s">
        <v>6227</v>
      </c>
      <c r="AB310" t="s">
        <v>6228</v>
      </c>
      <c r="AC310" t="s">
        <v>6229</v>
      </c>
      <c r="AD310" t="s">
        <v>6229</v>
      </c>
      <c r="AE310" t="s">
        <v>6229</v>
      </c>
      <c r="AF310" t="s">
        <v>74</v>
      </c>
      <c r="AG310">
        <v>144</v>
      </c>
      <c r="AH310">
        <v>0</v>
      </c>
      <c r="AI310">
        <v>0</v>
      </c>
      <c r="AJ310">
        <v>3</v>
      </c>
      <c r="AK310">
        <v>8</v>
      </c>
      <c r="AL310" t="s">
        <v>460</v>
      </c>
      <c r="AM310" t="s">
        <v>461</v>
      </c>
      <c r="AN310" t="s">
        <v>462</v>
      </c>
      <c r="AO310" t="s">
        <v>5888</v>
      </c>
      <c r="AP310" t="s">
        <v>5889</v>
      </c>
      <c r="AQ310" t="s">
        <v>74</v>
      </c>
      <c r="AR310" t="s">
        <v>5890</v>
      </c>
      <c r="AS310" t="s">
        <v>5891</v>
      </c>
      <c r="AT310" t="s">
        <v>1859</v>
      </c>
      <c r="AU310">
        <v>2024</v>
      </c>
      <c r="AV310">
        <v>40</v>
      </c>
      <c r="AW310">
        <v>1</v>
      </c>
      <c r="AX310" t="s">
        <v>74</v>
      </c>
      <c r="AY310" t="s">
        <v>74</v>
      </c>
      <c r="AZ310" t="s">
        <v>74</v>
      </c>
      <c r="BA310" t="s">
        <v>74</v>
      </c>
      <c r="BB310">
        <v>26</v>
      </c>
      <c r="BC310">
        <v>53</v>
      </c>
      <c r="BD310" t="s">
        <v>74</v>
      </c>
      <c r="BE310" t="s">
        <v>6230</v>
      </c>
      <c r="BF310" t="str">
        <f>HYPERLINK("http://dx.doi.org/10.1111/mms.13049","http://dx.doi.org/10.1111/mms.13049")</f>
        <v>http://dx.doi.org/10.1111/mms.13049</v>
      </c>
      <c r="BG310" t="s">
        <v>74</v>
      </c>
      <c r="BH310" t="s">
        <v>6115</v>
      </c>
      <c r="BI310">
        <v>28</v>
      </c>
      <c r="BJ310" t="s">
        <v>547</v>
      </c>
      <c r="BK310" t="s">
        <v>104</v>
      </c>
      <c r="BL310" t="s">
        <v>547</v>
      </c>
      <c r="BM310" t="s">
        <v>5893</v>
      </c>
      <c r="BN310" t="s">
        <v>74</v>
      </c>
      <c r="BO310" t="s">
        <v>74</v>
      </c>
      <c r="BP310" t="s">
        <v>74</v>
      </c>
      <c r="BQ310" t="s">
        <v>74</v>
      </c>
      <c r="BR310" t="s">
        <v>107</v>
      </c>
      <c r="BS310" t="s">
        <v>6231</v>
      </c>
      <c r="BT310" t="str">
        <f>HYPERLINK("https%3A%2F%2Fwww.webofscience.com%2Fwos%2Fwoscc%2Ffull-record%2FWOS:001039040300001","View Full Record in Web of Science")</f>
        <v>View Full Record in Web of Science</v>
      </c>
    </row>
    <row r="311" spans="1:72" x14ac:dyDescent="0.15">
      <c r="A311" t="s">
        <v>72</v>
      </c>
      <c r="B311" t="s">
        <v>6232</v>
      </c>
      <c r="C311" t="s">
        <v>74</v>
      </c>
      <c r="D311" t="s">
        <v>74</v>
      </c>
      <c r="E311" t="s">
        <v>74</v>
      </c>
      <c r="F311" t="s">
        <v>6233</v>
      </c>
      <c r="G311" t="s">
        <v>74</v>
      </c>
      <c r="H311" t="s">
        <v>74</v>
      </c>
      <c r="I311" t="s">
        <v>6234</v>
      </c>
      <c r="J311" t="s">
        <v>5877</v>
      </c>
      <c r="K311" t="s">
        <v>74</v>
      </c>
      <c r="L311" t="s">
        <v>74</v>
      </c>
      <c r="M311" t="s">
        <v>78</v>
      </c>
      <c r="N311" t="s">
        <v>79</v>
      </c>
      <c r="O311" t="s">
        <v>74</v>
      </c>
      <c r="P311" t="s">
        <v>74</v>
      </c>
      <c r="Q311" t="s">
        <v>74</v>
      </c>
      <c r="R311" t="s">
        <v>74</v>
      </c>
      <c r="S311" t="s">
        <v>74</v>
      </c>
      <c r="T311" t="s">
        <v>6235</v>
      </c>
      <c r="U311" t="s">
        <v>6236</v>
      </c>
      <c r="V311" t="s">
        <v>6237</v>
      </c>
      <c r="W311" t="s">
        <v>6238</v>
      </c>
      <c r="X311" t="s">
        <v>74</v>
      </c>
      <c r="Y311" t="s">
        <v>6239</v>
      </c>
      <c r="Z311" t="s">
        <v>6240</v>
      </c>
      <c r="AA311" t="s">
        <v>6241</v>
      </c>
      <c r="AB311" t="s">
        <v>6242</v>
      </c>
      <c r="AC311" t="s">
        <v>6243</v>
      </c>
      <c r="AD311" t="s">
        <v>6244</v>
      </c>
      <c r="AE311" t="s">
        <v>6245</v>
      </c>
      <c r="AF311" t="s">
        <v>74</v>
      </c>
      <c r="AG311">
        <v>88</v>
      </c>
      <c r="AH311">
        <v>1</v>
      </c>
      <c r="AI311">
        <v>1</v>
      </c>
      <c r="AJ311">
        <v>4</v>
      </c>
      <c r="AK311">
        <v>8</v>
      </c>
      <c r="AL311" t="s">
        <v>460</v>
      </c>
      <c r="AM311" t="s">
        <v>461</v>
      </c>
      <c r="AN311" t="s">
        <v>462</v>
      </c>
      <c r="AO311" t="s">
        <v>5888</v>
      </c>
      <c r="AP311" t="s">
        <v>5889</v>
      </c>
      <c r="AQ311" t="s">
        <v>74</v>
      </c>
      <c r="AR311" t="s">
        <v>5890</v>
      </c>
      <c r="AS311" t="s">
        <v>5891</v>
      </c>
      <c r="AT311" t="s">
        <v>1810</v>
      </c>
      <c r="AU311">
        <v>2023</v>
      </c>
      <c r="AV311">
        <v>39</v>
      </c>
      <c r="AW311">
        <v>4</v>
      </c>
      <c r="AX311" t="s">
        <v>74</v>
      </c>
      <c r="AY311" t="s">
        <v>74</v>
      </c>
      <c r="AZ311" t="s">
        <v>74</v>
      </c>
      <c r="BA311" t="s">
        <v>74</v>
      </c>
      <c r="BB311">
        <v>1121</v>
      </c>
      <c r="BC311">
        <v>1135</v>
      </c>
      <c r="BD311" t="s">
        <v>74</v>
      </c>
      <c r="BE311" t="s">
        <v>6246</v>
      </c>
      <c r="BF311" t="str">
        <f>HYPERLINK("http://dx.doi.org/10.1111/mms.13048","http://dx.doi.org/10.1111/mms.13048")</f>
        <v>http://dx.doi.org/10.1111/mms.13048</v>
      </c>
      <c r="BG311" t="s">
        <v>74</v>
      </c>
      <c r="BH311" t="s">
        <v>6115</v>
      </c>
      <c r="BI311">
        <v>15</v>
      </c>
      <c r="BJ311" t="s">
        <v>547</v>
      </c>
      <c r="BK311" t="s">
        <v>104</v>
      </c>
      <c r="BL311" t="s">
        <v>547</v>
      </c>
      <c r="BM311" t="s">
        <v>6247</v>
      </c>
      <c r="BN311" t="s">
        <v>74</v>
      </c>
      <c r="BO311" t="s">
        <v>74</v>
      </c>
      <c r="BP311" t="s">
        <v>74</v>
      </c>
      <c r="BQ311" t="s">
        <v>74</v>
      </c>
      <c r="BR311" t="s">
        <v>107</v>
      </c>
      <c r="BS311" t="s">
        <v>6248</v>
      </c>
      <c r="BT311" t="str">
        <f>HYPERLINK("https%3A%2F%2Fwww.webofscience.com%2Fwos%2Fwoscc%2Ffull-record%2FWOS:001039066200001","View Full Record in Web of Science")</f>
        <v>View Full Record in Web of Science</v>
      </c>
    </row>
    <row r="312" spans="1:72" x14ac:dyDescent="0.15">
      <c r="A312" t="s">
        <v>72</v>
      </c>
      <c r="B312" t="s">
        <v>6249</v>
      </c>
      <c r="C312" t="s">
        <v>74</v>
      </c>
      <c r="D312" t="s">
        <v>74</v>
      </c>
      <c r="E312" t="s">
        <v>74</v>
      </c>
      <c r="F312" t="s">
        <v>6250</v>
      </c>
      <c r="G312" t="s">
        <v>74</v>
      </c>
      <c r="H312" t="s">
        <v>74</v>
      </c>
      <c r="I312" t="s">
        <v>6251</v>
      </c>
      <c r="J312" t="s">
        <v>6252</v>
      </c>
      <c r="K312" t="s">
        <v>74</v>
      </c>
      <c r="L312" t="s">
        <v>74</v>
      </c>
      <c r="M312" t="s">
        <v>78</v>
      </c>
      <c r="N312" t="s">
        <v>424</v>
      </c>
      <c r="O312" t="s">
        <v>74</v>
      </c>
      <c r="P312" t="s">
        <v>74</v>
      </c>
      <c r="Q312" t="s">
        <v>74</v>
      </c>
      <c r="R312" t="s">
        <v>74</v>
      </c>
      <c r="S312" t="s">
        <v>74</v>
      </c>
      <c r="T312" t="s">
        <v>6253</v>
      </c>
      <c r="U312" t="s">
        <v>6254</v>
      </c>
      <c r="V312" t="s">
        <v>6255</v>
      </c>
      <c r="W312" t="s">
        <v>6256</v>
      </c>
      <c r="X312" t="s">
        <v>6257</v>
      </c>
      <c r="Y312" t="s">
        <v>6258</v>
      </c>
      <c r="Z312" t="s">
        <v>6259</v>
      </c>
      <c r="AA312" t="s">
        <v>6260</v>
      </c>
      <c r="AB312" t="s">
        <v>6261</v>
      </c>
      <c r="AC312" t="s">
        <v>6262</v>
      </c>
      <c r="AD312" t="s">
        <v>6263</v>
      </c>
      <c r="AE312" t="s">
        <v>6264</v>
      </c>
      <c r="AF312" t="s">
        <v>74</v>
      </c>
      <c r="AG312">
        <v>148</v>
      </c>
      <c r="AH312">
        <v>3</v>
      </c>
      <c r="AI312">
        <v>3</v>
      </c>
      <c r="AJ312">
        <v>8</v>
      </c>
      <c r="AK312">
        <v>20</v>
      </c>
      <c r="AL312" t="s">
        <v>298</v>
      </c>
      <c r="AM312" t="s">
        <v>3791</v>
      </c>
      <c r="AN312" t="s">
        <v>3792</v>
      </c>
      <c r="AO312" t="s">
        <v>6265</v>
      </c>
      <c r="AP312" t="s">
        <v>6266</v>
      </c>
      <c r="AQ312" t="s">
        <v>74</v>
      </c>
      <c r="AR312" t="s">
        <v>6267</v>
      </c>
      <c r="AS312" t="s">
        <v>6268</v>
      </c>
      <c r="AT312" t="s">
        <v>3082</v>
      </c>
      <c r="AU312">
        <v>2023</v>
      </c>
      <c r="AV312">
        <v>158</v>
      </c>
      <c r="AW312">
        <v>2</v>
      </c>
      <c r="AX312" t="s">
        <v>74</v>
      </c>
      <c r="AY312" t="s">
        <v>74</v>
      </c>
      <c r="AZ312" t="s">
        <v>99</v>
      </c>
      <c r="BA312" t="s">
        <v>74</v>
      </c>
      <c r="BB312">
        <v>151</v>
      </c>
      <c r="BC312">
        <v>169</v>
      </c>
      <c r="BD312" t="s">
        <v>74</v>
      </c>
      <c r="BE312" t="s">
        <v>6269</v>
      </c>
      <c r="BF312" t="str">
        <f>HYPERLINK("http://dx.doi.org/10.1007/s11120-023-01040-y","http://dx.doi.org/10.1007/s11120-023-01040-y")</f>
        <v>http://dx.doi.org/10.1007/s11120-023-01040-y</v>
      </c>
      <c r="BG312" t="s">
        <v>74</v>
      </c>
      <c r="BH312" t="s">
        <v>6115</v>
      </c>
      <c r="BI312">
        <v>19</v>
      </c>
      <c r="BJ312" t="s">
        <v>375</v>
      </c>
      <c r="BK312" t="s">
        <v>104</v>
      </c>
      <c r="BL312" t="s">
        <v>375</v>
      </c>
      <c r="BM312" t="s">
        <v>6270</v>
      </c>
      <c r="BN312">
        <v>37515652</v>
      </c>
      <c r="BO312" t="s">
        <v>1217</v>
      </c>
      <c r="BP312" t="s">
        <v>74</v>
      </c>
      <c r="BQ312" t="s">
        <v>74</v>
      </c>
      <c r="BR312" t="s">
        <v>107</v>
      </c>
      <c r="BS312" t="s">
        <v>6271</v>
      </c>
      <c r="BT312" t="str">
        <f>HYPERLINK("https%3A%2F%2Fwww.webofscience.com%2Fwos%2Fwoscc%2Ffull-record%2FWOS:001040049100001","View Full Record in Web of Science")</f>
        <v>View Full Record in Web of Science</v>
      </c>
    </row>
    <row r="313" spans="1:72" x14ac:dyDescent="0.15">
      <c r="A313" t="s">
        <v>72</v>
      </c>
      <c r="B313" t="s">
        <v>6272</v>
      </c>
      <c r="C313" t="s">
        <v>74</v>
      </c>
      <c r="D313" t="s">
        <v>74</v>
      </c>
      <c r="E313" t="s">
        <v>74</v>
      </c>
      <c r="F313" t="s">
        <v>6273</v>
      </c>
      <c r="G313" t="s">
        <v>74</v>
      </c>
      <c r="H313" t="s">
        <v>74</v>
      </c>
      <c r="I313" t="s">
        <v>6274</v>
      </c>
      <c r="J313" t="s">
        <v>6275</v>
      </c>
      <c r="K313" t="s">
        <v>74</v>
      </c>
      <c r="L313" t="s">
        <v>74</v>
      </c>
      <c r="M313" t="s">
        <v>78</v>
      </c>
      <c r="N313" t="s">
        <v>6276</v>
      </c>
      <c r="O313" t="s">
        <v>74</v>
      </c>
      <c r="P313" t="s">
        <v>74</v>
      </c>
      <c r="Q313" t="s">
        <v>74</v>
      </c>
      <c r="R313" t="s">
        <v>74</v>
      </c>
      <c r="S313" t="s">
        <v>74</v>
      </c>
      <c r="T313" t="s">
        <v>6277</v>
      </c>
      <c r="U313" t="s">
        <v>6278</v>
      </c>
      <c r="V313" t="s">
        <v>6279</v>
      </c>
      <c r="W313" t="s">
        <v>6280</v>
      </c>
      <c r="X313" t="s">
        <v>6281</v>
      </c>
      <c r="Y313" t="s">
        <v>6282</v>
      </c>
      <c r="Z313" t="s">
        <v>6283</v>
      </c>
      <c r="AA313" t="s">
        <v>6284</v>
      </c>
      <c r="AB313" t="s">
        <v>6285</v>
      </c>
      <c r="AC313" t="s">
        <v>6286</v>
      </c>
      <c r="AD313" t="s">
        <v>6287</v>
      </c>
      <c r="AE313" t="s">
        <v>6288</v>
      </c>
      <c r="AF313" t="s">
        <v>74</v>
      </c>
      <c r="AG313">
        <v>36</v>
      </c>
      <c r="AH313">
        <v>1</v>
      </c>
      <c r="AI313">
        <v>1</v>
      </c>
      <c r="AJ313">
        <v>4</v>
      </c>
      <c r="AK313">
        <v>6</v>
      </c>
      <c r="AL313" t="s">
        <v>298</v>
      </c>
      <c r="AM313" t="s">
        <v>299</v>
      </c>
      <c r="AN313" t="s">
        <v>300</v>
      </c>
      <c r="AO313" t="s">
        <v>6289</v>
      </c>
      <c r="AP313" t="s">
        <v>74</v>
      </c>
      <c r="AQ313" t="s">
        <v>74</v>
      </c>
      <c r="AR313" t="s">
        <v>6290</v>
      </c>
      <c r="AS313" t="s">
        <v>6291</v>
      </c>
      <c r="AT313" t="s">
        <v>6292</v>
      </c>
      <c r="AU313">
        <v>2023</v>
      </c>
      <c r="AV313">
        <v>10</v>
      </c>
      <c r="AW313">
        <v>1</v>
      </c>
      <c r="AX313" t="s">
        <v>74</v>
      </c>
      <c r="AY313" t="s">
        <v>74</v>
      </c>
      <c r="AZ313" t="s">
        <v>74</v>
      </c>
      <c r="BA313" t="s">
        <v>74</v>
      </c>
      <c r="BB313" t="s">
        <v>74</v>
      </c>
      <c r="BC313" t="s">
        <v>74</v>
      </c>
      <c r="BD313">
        <v>34</v>
      </c>
      <c r="BE313" t="s">
        <v>6293</v>
      </c>
      <c r="BF313" t="str">
        <f>HYPERLINK("http://dx.doi.org/10.1186/s40562-023-00289-4","http://dx.doi.org/10.1186/s40562-023-00289-4")</f>
        <v>http://dx.doi.org/10.1186/s40562-023-00289-4</v>
      </c>
      <c r="BG313" t="s">
        <v>74</v>
      </c>
      <c r="BH313" t="s">
        <v>74</v>
      </c>
      <c r="BI313">
        <v>11</v>
      </c>
      <c r="BJ313" t="s">
        <v>3351</v>
      </c>
      <c r="BK313" t="s">
        <v>104</v>
      </c>
      <c r="BL313" t="s">
        <v>3352</v>
      </c>
      <c r="BM313" t="s">
        <v>6294</v>
      </c>
      <c r="BN313" t="s">
        <v>74</v>
      </c>
      <c r="BO313" t="s">
        <v>181</v>
      </c>
      <c r="BP313" t="s">
        <v>74</v>
      </c>
      <c r="BQ313" t="s">
        <v>74</v>
      </c>
      <c r="BR313" t="s">
        <v>107</v>
      </c>
      <c r="BS313" t="s">
        <v>6295</v>
      </c>
      <c r="BT313" t="str">
        <f>HYPERLINK("https%3A%2F%2Fwww.webofscience.com%2Fwos%2Fwoscc%2Ffull-record%2FWOS:001040410300001","View Full Record in Web of Science")</f>
        <v>View Full Record in Web of Science</v>
      </c>
    </row>
    <row r="314" spans="1:72" x14ac:dyDescent="0.15">
      <c r="A314" t="s">
        <v>72</v>
      </c>
      <c r="B314" t="s">
        <v>6296</v>
      </c>
      <c r="C314" t="s">
        <v>74</v>
      </c>
      <c r="D314" t="s">
        <v>74</v>
      </c>
      <c r="E314" t="s">
        <v>74</v>
      </c>
      <c r="F314" t="s">
        <v>6297</v>
      </c>
      <c r="G314" t="s">
        <v>74</v>
      </c>
      <c r="H314" t="s">
        <v>74</v>
      </c>
      <c r="I314" t="s">
        <v>6298</v>
      </c>
      <c r="J314" t="s">
        <v>2213</v>
      </c>
      <c r="K314" t="s">
        <v>74</v>
      </c>
      <c r="L314" t="s">
        <v>74</v>
      </c>
      <c r="M314" t="s">
        <v>78</v>
      </c>
      <c r="N314" t="s">
        <v>79</v>
      </c>
      <c r="O314" t="s">
        <v>74</v>
      </c>
      <c r="P314" t="s">
        <v>74</v>
      </c>
      <c r="Q314" t="s">
        <v>74</v>
      </c>
      <c r="R314" t="s">
        <v>74</v>
      </c>
      <c r="S314" t="s">
        <v>74</v>
      </c>
      <c r="T314" t="s">
        <v>6299</v>
      </c>
      <c r="U314" t="s">
        <v>6300</v>
      </c>
      <c r="V314" t="s">
        <v>6301</v>
      </c>
      <c r="W314" t="s">
        <v>6302</v>
      </c>
      <c r="X314" t="s">
        <v>6303</v>
      </c>
      <c r="Y314" t="s">
        <v>6304</v>
      </c>
      <c r="Z314" t="s">
        <v>6305</v>
      </c>
      <c r="AA314" t="s">
        <v>6306</v>
      </c>
      <c r="AB314" t="s">
        <v>6307</v>
      </c>
      <c r="AC314" t="s">
        <v>6308</v>
      </c>
      <c r="AD314" t="s">
        <v>6309</v>
      </c>
      <c r="AE314" t="s">
        <v>6310</v>
      </c>
      <c r="AF314" t="s">
        <v>74</v>
      </c>
      <c r="AG314">
        <v>51</v>
      </c>
      <c r="AH314">
        <v>6</v>
      </c>
      <c r="AI314">
        <v>6</v>
      </c>
      <c r="AJ314">
        <v>7</v>
      </c>
      <c r="AK314">
        <v>7</v>
      </c>
      <c r="AL314" t="s">
        <v>588</v>
      </c>
      <c r="AM314" t="s">
        <v>589</v>
      </c>
      <c r="AN314" t="s">
        <v>590</v>
      </c>
      <c r="AO314" t="s">
        <v>2226</v>
      </c>
      <c r="AP314" t="s">
        <v>2227</v>
      </c>
      <c r="AQ314" t="s">
        <v>74</v>
      </c>
      <c r="AR314" t="s">
        <v>2228</v>
      </c>
      <c r="AS314" t="s">
        <v>2229</v>
      </c>
      <c r="AT314" t="s">
        <v>6311</v>
      </c>
      <c r="AU314">
        <v>2023</v>
      </c>
      <c r="AV314">
        <v>50</v>
      </c>
      <c r="AW314">
        <v>14</v>
      </c>
      <c r="AX314" t="s">
        <v>74</v>
      </c>
      <c r="AY314" t="s">
        <v>74</v>
      </c>
      <c r="AZ314" t="s">
        <v>74</v>
      </c>
      <c r="BA314" t="s">
        <v>74</v>
      </c>
      <c r="BB314" t="s">
        <v>74</v>
      </c>
      <c r="BC314" t="s">
        <v>74</v>
      </c>
      <c r="BD314" t="s">
        <v>6312</v>
      </c>
      <c r="BE314" t="s">
        <v>6313</v>
      </c>
      <c r="BF314" t="str">
        <f>HYPERLINK("http://dx.doi.org/10.1029/2023GL103855","http://dx.doi.org/10.1029/2023GL103855")</f>
        <v>http://dx.doi.org/10.1029/2023GL103855</v>
      </c>
      <c r="BG314" t="s">
        <v>74</v>
      </c>
      <c r="BH314" t="s">
        <v>74</v>
      </c>
      <c r="BI314">
        <v>11</v>
      </c>
      <c r="BJ314" t="s">
        <v>155</v>
      </c>
      <c r="BK314" t="s">
        <v>104</v>
      </c>
      <c r="BL314" t="s">
        <v>156</v>
      </c>
      <c r="BM314" t="s">
        <v>6314</v>
      </c>
      <c r="BN314" t="s">
        <v>74</v>
      </c>
      <c r="BO314" t="s">
        <v>549</v>
      </c>
      <c r="BP314" t="s">
        <v>74</v>
      </c>
      <c r="BQ314" t="s">
        <v>74</v>
      </c>
      <c r="BR314" t="s">
        <v>107</v>
      </c>
      <c r="BS314" t="s">
        <v>6315</v>
      </c>
      <c r="BT314" t="str">
        <f>HYPERLINK("https%3A%2F%2Fwww.webofscience.com%2Fwos%2Fwoscc%2Ffull-record%2FWOS:001093728000001","View Full Record in Web of Science")</f>
        <v>View Full Record in Web of Science</v>
      </c>
    </row>
    <row r="315" spans="1:72" x14ac:dyDescent="0.15">
      <c r="A315" t="s">
        <v>72</v>
      </c>
      <c r="B315" t="s">
        <v>6316</v>
      </c>
      <c r="C315" t="s">
        <v>74</v>
      </c>
      <c r="D315" t="s">
        <v>74</v>
      </c>
      <c r="E315" t="s">
        <v>74</v>
      </c>
      <c r="F315" t="s">
        <v>6317</v>
      </c>
      <c r="G315" t="s">
        <v>74</v>
      </c>
      <c r="H315" t="s">
        <v>74</v>
      </c>
      <c r="I315" t="s">
        <v>6318</v>
      </c>
      <c r="J315" t="s">
        <v>6319</v>
      </c>
      <c r="K315" t="s">
        <v>74</v>
      </c>
      <c r="L315" t="s">
        <v>74</v>
      </c>
      <c r="M315" t="s">
        <v>78</v>
      </c>
      <c r="N315" t="s">
        <v>79</v>
      </c>
      <c r="O315" t="s">
        <v>74</v>
      </c>
      <c r="P315" t="s">
        <v>74</v>
      </c>
      <c r="Q315" t="s">
        <v>74</v>
      </c>
      <c r="R315" t="s">
        <v>74</v>
      </c>
      <c r="S315" t="s">
        <v>74</v>
      </c>
      <c r="T315" t="s">
        <v>6320</v>
      </c>
      <c r="U315" t="s">
        <v>74</v>
      </c>
      <c r="V315" t="s">
        <v>6321</v>
      </c>
      <c r="W315" t="s">
        <v>6322</v>
      </c>
      <c r="X315" t="s">
        <v>6323</v>
      </c>
      <c r="Y315" t="s">
        <v>6324</v>
      </c>
      <c r="Z315" t="s">
        <v>6325</v>
      </c>
      <c r="AA315" t="s">
        <v>6326</v>
      </c>
      <c r="AB315" t="s">
        <v>6327</v>
      </c>
      <c r="AC315" t="s">
        <v>6328</v>
      </c>
      <c r="AD315" t="s">
        <v>6329</v>
      </c>
      <c r="AE315" t="s">
        <v>6330</v>
      </c>
      <c r="AF315" t="s">
        <v>74</v>
      </c>
      <c r="AG315">
        <v>60</v>
      </c>
      <c r="AH315">
        <v>0</v>
      </c>
      <c r="AI315">
        <v>0</v>
      </c>
      <c r="AJ315">
        <v>6</v>
      </c>
      <c r="AK315">
        <v>10</v>
      </c>
      <c r="AL315" t="s">
        <v>172</v>
      </c>
      <c r="AM315" t="s">
        <v>173</v>
      </c>
      <c r="AN315" t="s">
        <v>174</v>
      </c>
      <c r="AO315" t="s">
        <v>6331</v>
      </c>
      <c r="AP315" t="s">
        <v>6332</v>
      </c>
      <c r="AQ315" t="s">
        <v>74</v>
      </c>
      <c r="AR315" t="s">
        <v>6333</v>
      </c>
      <c r="AS315" t="s">
        <v>6334</v>
      </c>
      <c r="AT315" t="s">
        <v>97</v>
      </c>
      <c r="AU315">
        <v>2023</v>
      </c>
      <c r="AV315">
        <v>334</v>
      </c>
      <c r="AW315" t="s">
        <v>74</v>
      </c>
      <c r="AX315" t="s">
        <v>74</v>
      </c>
      <c r="AY315" t="s">
        <v>74</v>
      </c>
      <c r="AZ315" t="s">
        <v>74</v>
      </c>
      <c r="BA315" t="s">
        <v>74</v>
      </c>
      <c r="BB315" t="s">
        <v>74</v>
      </c>
      <c r="BC315" t="s">
        <v>74</v>
      </c>
      <c r="BD315">
        <v>199183</v>
      </c>
      <c r="BE315" t="s">
        <v>6335</v>
      </c>
      <c r="BF315" t="str">
        <f>HYPERLINK("http://dx.doi.org/10.1016/j.virusres.2023.199183","http://dx.doi.org/10.1016/j.virusres.2023.199183")</f>
        <v>http://dx.doi.org/10.1016/j.virusres.2023.199183</v>
      </c>
      <c r="BG315" t="s">
        <v>74</v>
      </c>
      <c r="BH315" t="s">
        <v>6115</v>
      </c>
      <c r="BI315">
        <v>9</v>
      </c>
      <c r="BJ315" t="s">
        <v>6336</v>
      </c>
      <c r="BK315" t="s">
        <v>104</v>
      </c>
      <c r="BL315" t="s">
        <v>6336</v>
      </c>
      <c r="BM315" t="s">
        <v>6337</v>
      </c>
      <c r="BN315">
        <v>37499764</v>
      </c>
      <c r="BO315" t="s">
        <v>1217</v>
      </c>
      <c r="BP315" t="s">
        <v>74</v>
      </c>
      <c r="BQ315" t="s">
        <v>74</v>
      </c>
      <c r="BR315" t="s">
        <v>107</v>
      </c>
      <c r="BS315" t="s">
        <v>6338</v>
      </c>
      <c r="BT315" t="str">
        <f>HYPERLINK("https%3A%2F%2Fwww.webofscience.com%2Fwos%2Fwoscc%2Ffull-record%2FWOS:001058602900001","View Full Record in Web of Science")</f>
        <v>View Full Record in Web of Science</v>
      </c>
    </row>
    <row r="316" spans="1:72" x14ac:dyDescent="0.15">
      <c r="A316" t="s">
        <v>72</v>
      </c>
      <c r="B316" t="s">
        <v>6339</v>
      </c>
      <c r="C316" t="s">
        <v>74</v>
      </c>
      <c r="D316" t="s">
        <v>74</v>
      </c>
      <c r="E316" t="s">
        <v>74</v>
      </c>
      <c r="F316" t="s">
        <v>6340</v>
      </c>
      <c r="G316" t="s">
        <v>74</v>
      </c>
      <c r="H316" t="s">
        <v>74</v>
      </c>
      <c r="I316" t="s">
        <v>6341</v>
      </c>
      <c r="J316" t="s">
        <v>6342</v>
      </c>
      <c r="K316" t="s">
        <v>74</v>
      </c>
      <c r="L316" t="s">
        <v>74</v>
      </c>
      <c r="M316" t="s">
        <v>78</v>
      </c>
      <c r="N316" t="s">
        <v>79</v>
      </c>
      <c r="O316" t="s">
        <v>74</v>
      </c>
      <c r="P316" t="s">
        <v>74</v>
      </c>
      <c r="Q316" t="s">
        <v>74</v>
      </c>
      <c r="R316" t="s">
        <v>74</v>
      </c>
      <c r="S316" t="s">
        <v>74</v>
      </c>
      <c r="T316" t="s">
        <v>6343</v>
      </c>
      <c r="U316" t="s">
        <v>6344</v>
      </c>
      <c r="V316" t="s">
        <v>6345</v>
      </c>
      <c r="W316" t="s">
        <v>6346</v>
      </c>
      <c r="X316" t="s">
        <v>6347</v>
      </c>
      <c r="Y316" t="s">
        <v>6348</v>
      </c>
      <c r="Z316" t="s">
        <v>6349</v>
      </c>
      <c r="AA316" t="s">
        <v>74</v>
      </c>
      <c r="AB316" t="s">
        <v>74</v>
      </c>
      <c r="AC316" t="s">
        <v>6350</v>
      </c>
      <c r="AD316" t="s">
        <v>6351</v>
      </c>
      <c r="AE316" t="s">
        <v>6352</v>
      </c>
      <c r="AF316" t="s">
        <v>74</v>
      </c>
      <c r="AG316">
        <v>58</v>
      </c>
      <c r="AH316">
        <v>0</v>
      </c>
      <c r="AI316">
        <v>0</v>
      </c>
      <c r="AJ316">
        <v>16</v>
      </c>
      <c r="AK316">
        <v>19</v>
      </c>
      <c r="AL316" t="s">
        <v>2118</v>
      </c>
      <c r="AM316" t="s">
        <v>2119</v>
      </c>
      <c r="AN316" t="s">
        <v>2120</v>
      </c>
      <c r="AO316" t="s">
        <v>6353</v>
      </c>
      <c r="AP316" t="s">
        <v>6354</v>
      </c>
      <c r="AQ316" t="s">
        <v>74</v>
      </c>
      <c r="AR316" t="s">
        <v>6355</v>
      </c>
      <c r="AS316" t="s">
        <v>6356</v>
      </c>
      <c r="AT316" t="s">
        <v>2486</v>
      </c>
      <c r="AU316">
        <v>2023</v>
      </c>
      <c r="AV316">
        <v>263</v>
      </c>
      <c r="AW316" t="s">
        <v>74</v>
      </c>
      <c r="AX316" t="s">
        <v>74</v>
      </c>
      <c r="AY316" t="s">
        <v>74</v>
      </c>
      <c r="AZ316" t="s">
        <v>74</v>
      </c>
      <c r="BA316" t="s">
        <v>74</v>
      </c>
      <c r="BB316" t="s">
        <v>74</v>
      </c>
      <c r="BC316" t="s">
        <v>74</v>
      </c>
      <c r="BD316">
        <v>115296</v>
      </c>
      <c r="BE316" t="s">
        <v>6357</v>
      </c>
      <c r="BF316" t="str">
        <f>HYPERLINK("http://dx.doi.org/10.1016/j.ecoenv.2023.115296","http://dx.doi.org/10.1016/j.ecoenv.2023.115296")</f>
        <v>http://dx.doi.org/10.1016/j.ecoenv.2023.115296</v>
      </c>
      <c r="BG316" t="s">
        <v>74</v>
      </c>
      <c r="BH316" t="s">
        <v>6115</v>
      </c>
      <c r="BI316">
        <v>8</v>
      </c>
      <c r="BJ316" t="s">
        <v>6358</v>
      </c>
      <c r="BK316" t="s">
        <v>104</v>
      </c>
      <c r="BL316" t="s">
        <v>6359</v>
      </c>
      <c r="BM316" t="s">
        <v>6360</v>
      </c>
      <c r="BN316">
        <v>37517310</v>
      </c>
      <c r="BO316" t="s">
        <v>206</v>
      </c>
      <c r="BP316" t="s">
        <v>74</v>
      </c>
      <c r="BQ316" t="s">
        <v>74</v>
      </c>
      <c r="BR316" t="s">
        <v>107</v>
      </c>
      <c r="BS316" t="s">
        <v>6361</v>
      </c>
      <c r="BT316" t="str">
        <f>HYPERLINK("https%3A%2F%2Fwww.webofscience.com%2Fwos%2Fwoscc%2Ffull-record%2FWOS:001054907400001","View Full Record in Web of Science")</f>
        <v>View Full Record in Web of Science</v>
      </c>
    </row>
    <row r="317" spans="1:72" x14ac:dyDescent="0.15">
      <c r="A317" t="s">
        <v>72</v>
      </c>
      <c r="B317" t="s">
        <v>6362</v>
      </c>
      <c r="C317" t="s">
        <v>74</v>
      </c>
      <c r="D317" t="s">
        <v>74</v>
      </c>
      <c r="E317" t="s">
        <v>74</v>
      </c>
      <c r="F317" t="s">
        <v>6363</v>
      </c>
      <c r="G317" t="s">
        <v>74</v>
      </c>
      <c r="H317" t="s">
        <v>74</v>
      </c>
      <c r="I317" t="s">
        <v>6364</v>
      </c>
      <c r="J317" t="s">
        <v>2539</v>
      </c>
      <c r="K317" t="s">
        <v>74</v>
      </c>
      <c r="L317" t="s">
        <v>74</v>
      </c>
      <c r="M317" t="s">
        <v>78</v>
      </c>
      <c r="N317" t="s">
        <v>79</v>
      </c>
      <c r="O317" t="s">
        <v>74</v>
      </c>
      <c r="P317" t="s">
        <v>74</v>
      </c>
      <c r="Q317" t="s">
        <v>74</v>
      </c>
      <c r="R317" t="s">
        <v>74</v>
      </c>
      <c r="S317" t="s">
        <v>74</v>
      </c>
      <c r="T317" t="s">
        <v>6365</v>
      </c>
      <c r="U317" t="s">
        <v>6366</v>
      </c>
      <c r="V317" t="s">
        <v>6367</v>
      </c>
      <c r="W317" t="s">
        <v>6368</v>
      </c>
      <c r="X317" t="s">
        <v>6369</v>
      </c>
      <c r="Y317" t="s">
        <v>6370</v>
      </c>
      <c r="Z317" t="s">
        <v>6371</v>
      </c>
      <c r="AA317" t="s">
        <v>74</v>
      </c>
      <c r="AB317" t="s">
        <v>74</v>
      </c>
      <c r="AC317" t="s">
        <v>6372</v>
      </c>
      <c r="AD317" t="s">
        <v>6373</v>
      </c>
      <c r="AE317" t="s">
        <v>6374</v>
      </c>
      <c r="AF317" t="s">
        <v>74</v>
      </c>
      <c r="AG317">
        <v>89</v>
      </c>
      <c r="AH317">
        <v>0</v>
      </c>
      <c r="AI317">
        <v>0</v>
      </c>
      <c r="AJ317">
        <v>9</v>
      </c>
      <c r="AK317">
        <v>13</v>
      </c>
      <c r="AL317" t="s">
        <v>994</v>
      </c>
      <c r="AM317" t="s">
        <v>995</v>
      </c>
      <c r="AN317" t="s">
        <v>996</v>
      </c>
      <c r="AO317" t="s">
        <v>74</v>
      </c>
      <c r="AP317" t="s">
        <v>2552</v>
      </c>
      <c r="AQ317" t="s">
        <v>74</v>
      </c>
      <c r="AR317" t="s">
        <v>2553</v>
      </c>
      <c r="AS317" t="s">
        <v>2554</v>
      </c>
      <c r="AT317" t="s">
        <v>6311</v>
      </c>
      <c r="AU317">
        <v>2023</v>
      </c>
      <c r="AV317">
        <v>11</v>
      </c>
      <c r="AW317" t="s">
        <v>74</v>
      </c>
      <c r="AX317" t="s">
        <v>74</v>
      </c>
      <c r="AY317" t="s">
        <v>74</v>
      </c>
      <c r="AZ317" t="s">
        <v>74</v>
      </c>
      <c r="BA317" t="s">
        <v>74</v>
      </c>
      <c r="BB317" t="s">
        <v>74</v>
      </c>
      <c r="BC317" t="s">
        <v>74</v>
      </c>
      <c r="BD317">
        <v>1204971</v>
      </c>
      <c r="BE317" t="s">
        <v>6375</v>
      </c>
      <c r="BF317" t="str">
        <f>HYPERLINK("http://dx.doi.org/10.3389/feart.2023.1204971","http://dx.doi.org/10.3389/feart.2023.1204971")</f>
        <v>http://dx.doi.org/10.3389/feart.2023.1204971</v>
      </c>
      <c r="BG317" t="s">
        <v>74</v>
      </c>
      <c r="BH317" t="s">
        <v>74</v>
      </c>
      <c r="BI317">
        <v>13</v>
      </c>
      <c r="BJ317" t="s">
        <v>155</v>
      </c>
      <c r="BK317" t="s">
        <v>104</v>
      </c>
      <c r="BL317" t="s">
        <v>156</v>
      </c>
      <c r="BM317" t="s">
        <v>6376</v>
      </c>
      <c r="BN317" t="s">
        <v>74</v>
      </c>
      <c r="BO317" t="s">
        <v>206</v>
      </c>
      <c r="BP317" t="s">
        <v>74</v>
      </c>
      <c r="BQ317" t="s">
        <v>74</v>
      </c>
      <c r="BR317" t="s">
        <v>107</v>
      </c>
      <c r="BS317" t="s">
        <v>6377</v>
      </c>
      <c r="BT317" t="str">
        <f>HYPERLINK("https%3A%2F%2Fwww.webofscience.com%2Fwos%2Fwoscc%2Ffull-record%2FWOS:001046823400001","View Full Record in Web of Science")</f>
        <v>View Full Record in Web of Science</v>
      </c>
    </row>
    <row r="318" spans="1:72" x14ac:dyDescent="0.15">
      <c r="A318" t="s">
        <v>72</v>
      </c>
      <c r="B318" t="s">
        <v>6378</v>
      </c>
      <c r="C318" t="s">
        <v>74</v>
      </c>
      <c r="D318" t="s">
        <v>74</v>
      </c>
      <c r="E318" t="s">
        <v>74</v>
      </c>
      <c r="F318" t="s">
        <v>6379</v>
      </c>
      <c r="G318" t="s">
        <v>74</v>
      </c>
      <c r="H318" t="s">
        <v>74</v>
      </c>
      <c r="I318" t="s">
        <v>6380</v>
      </c>
      <c r="J318" t="s">
        <v>2056</v>
      </c>
      <c r="K318" t="s">
        <v>74</v>
      </c>
      <c r="L318" t="s">
        <v>74</v>
      </c>
      <c r="M318" t="s">
        <v>78</v>
      </c>
      <c r="N318" t="s">
        <v>79</v>
      </c>
      <c r="O318" t="s">
        <v>74</v>
      </c>
      <c r="P318" t="s">
        <v>74</v>
      </c>
      <c r="Q318" t="s">
        <v>74</v>
      </c>
      <c r="R318" t="s">
        <v>74</v>
      </c>
      <c r="S318" t="s">
        <v>74</v>
      </c>
      <c r="T318" t="s">
        <v>74</v>
      </c>
      <c r="U318" t="s">
        <v>6381</v>
      </c>
      <c r="V318" t="s">
        <v>6382</v>
      </c>
      <c r="W318" t="s">
        <v>6383</v>
      </c>
      <c r="X318" t="s">
        <v>6384</v>
      </c>
      <c r="Y318" t="s">
        <v>6385</v>
      </c>
      <c r="Z318" t="s">
        <v>6386</v>
      </c>
      <c r="AA318" t="s">
        <v>74</v>
      </c>
      <c r="AB318" t="s">
        <v>6387</v>
      </c>
      <c r="AC318" t="s">
        <v>6388</v>
      </c>
      <c r="AD318" t="s">
        <v>6389</v>
      </c>
      <c r="AE318" t="s">
        <v>6390</v>
      </c>
      <c r="AF318" t="s">
        <v>74</v>
      </c>
      <c r="AG318">
        <v>117</v>
      </c>
      <c r="AH318">
        <v>2</v>
      </c>
      <c r="AI318">
        <v>2</v>
      </c>
      <c r="AJ318">
        <v>2</v>
      </c>
      <c r="AK318">
        <v>5</v>
      </c>
      <c r="AL318" t="s">
        <v>2068</v>
      </c>
      <c r="AM318" t="s">
        <v>2069</v>
      </c>
      <c r="AN318" t="s">
        <v>2070</v>
      </c>
      <c r="AO318" t="s">
        <v>2071</v>
      </c>
      <c r="AP318" t="s">
        <v>74</v>
      </c>
      <c r="AQ318" t="s">
        <v>74</v>
      </c>
      <c r="AR318" t="s">
        <v>2056</v>
      </c>
      <c r="AS318" t="s">
        <v>2072</v>
      </c>
      <c r="AT318" t="s">
        <v>6311</v>
      </c>
      <c r="AU318">
        <v>2023</v>
      </c>
      <c r="AV318">
        <v>18</v>
      </c>
      <c r="AW318">
        <v>7</v>
      </c>
      <c r="AX318" t="s">
        <v>74</v>
      </c>
      <c r="AY318" t="s">
        <v>74</v>
      </c>
      <c r="AZ318" t="s">
        <v>74</v>
      </c>
      <c r="BA318" t="s">
        <v>74</v>
      </c>
      <c r="BB318" t="s">
        <v>74</v>
      </c>
      <c r="BC318" t="s">
        <v>74</v>
      </c>
      <c r="BD318" t="s">
        <v>6391</v>
      </c>
      <c r="BE318" t="s">
        <v>6392</v>
      </c>
      <c r="BF318" t="str">
        <f>HYPERLINK("http://dx.doi.org/10.1371/journal.pone.0286036","http://dx.doi.org/10.1371/journal.pone.0286036")</f>
        <v>http://dx.doi.org/10.1371/journal.pone.0286036</v>
      </c>
      <c r="BG318" t="s">
        <v>74</v>
      </c>
      <c r="BH318" t="s">
        <v>74</v>
      </c>
      <c r="BI318">
        <v>29</v>
      </c>
      <c r="BJ318" t="s">
        <v>1881</v>
      </c>
      <c r="BK318" t="s">
        <v>104</v>
      </c>
      <c r="BL318" t="s">
        <v>1882</v>
      </c>
      <c r="BM318" t="s">
        <v>6393</v>
      </c>
      <c r="BN318">
        <v>37506064</v>
      </c>
      <c r="BO318" t="s">
        <v>1048</v>
      </c>
      <c r="BP318" t="s">
        <v>74</v>
      </c>
      <c r="BQ318" t="s">
        <v>74</v>
      </c>
      <c r="BR318" t="s">
        <v>107</v>
      </c>
      <c r="BS318" t="s">
        <v>6394</v>
      </c>
      <c r="BT318" t="str">
        <f>HYPERLINK("https%3A%2F%2Fwww.webofscience.com%2Fwos%2Fwoscc%2Ffull-record%2FWOS:001041546400006","View Full Record in Web of Science")</f>
        <v>View Full Record in Web of Science</v>
      </c>
    </row>
    <row r="319" spans="1:72" x14ac:dyDescent="0.15">
      <c r="A319" t="s">
        <v>72</v>
      </c>
      <c r="B319" t="s">
        <v>6395</v>
      </c>
      <c r="C319" t="s">
        <v>74</v>
      </c>
      <c r="D319" t="s">
        <v>74</v>
      </c>
      <c r="E319" t="s">
        <v>74</v>
      </c>
      <c r="F319" t="s">
        <v>6396</v>
      </c>
      <c r="G319" t="s">
        <v>74</v>
      </c>
      <c r="H319" t="s">
        <v>74</v>
      </c>
      <c r="I319" t="s">
        <v>6397</v>
      </c>
      <c r="J319" t="s">
        <v>3334</v>
      </c>
      <c r="K319" t="s">
        <v>74</v>
      </c>
      <c r="L319" t="s">
        <v>74</v>
      </c>
      <c r="M319" t="s">
        <v>78</v>
      </c>
      <c r="N319" t="s">
        <v>79</v>
      </c>
      <c r="O319" t="s">
        <v>74</v>
      </c>
      <c r="P319" t="s">
        <v>74</v>
      </c>
      <c r="Q319" t="s">
        <v>74</v>
      </c>
      <c r="R319" t="s">
        <v>74</v>
      </c>
      <c r="S319" t="s">
        <v>74</v>
      </c>
      <c r="T319" t="s">
        <v>74</v>
      </c>
      <c r="U319" t="s">
        <v>6398</v>
      </c>
      <c r="V319" t="s">
        <v>6399</v>
      </c>
      <c r="W319" t="s">
        <v>6400</v>
      </c>
      <c r="X319" t="s">
        <v>6401</v>
      </c>
      <c r="Y319" t="s">
        <v>6402</v>
      </c>
      <c r="Z319" t="s">
        <v>6403</v>
      </c>
      <c r="AA319" t="s">
        <v>6404</v>
      </c>
      <c r="AB319" t="s">
        <v>6405</v>
      </c>
      <c r="AC319" t="s">
        <v>6406</v>
      </c>
      <c r="AD319" t="s">
        <v>5717</v>
      </c>
      <c r="AE319" t="s">
        <v>6407</v>
      </c>
      <c r="AF319" t="s">
        <v>74</v>
      </c>
      <c r="AG319">
        <v>118</v>
      </c>
      <c r="AH319">
        <v>2</v>
      </c>
      <c r="AI319">
        <v>2</v>
      </c>
      <c r="AJ319">
        <v>6</v>
      </c>
      <c r="AK319">
        <v>9</v>
      </c>
      <c r="AL319" t="s">
        <v>1775</v>
      </c>
      <c r="AM319" t="s">
        <v>1776</v>
      </c>
      <c r="AN319" t="s">
        <v>1777</v>
      </c>
      <c r="AO319" t="s">
        <v>3346</v>
      </c>
      <c r="AP319" t="s">
        <v>3347</v>
      </c>
      <c r="AQ319" t="s">
        <v>74</v>
      </c>
      <c r="AR319" t="s">
        <v>3348</v>
      </c>
      <c r="AS319" t="s">
        <v>3349</v>
      </c>
      <c r="AT319" t="s">
        <v>6311</v>
      </c>
      <c r="AU319">
        <v>2023</v>
      </c>
      <c r="AV319">
        <v>19</v>
      </c>
      <c r="AW319">
        <v>7</v>
      </c>
      <c r="AX319" t="s">
        <v>74</v>
      </c>
      <c r="AY319" t="s">
        <v>74</v>
      </c>
      <c r="AZ319" t="s">
        <v>74</v>
      </c>
      <c r="BA319" t="s">
        <v>74</v>
      </c>
      <c r="BB319">
        <v>1559</v>
      </c>
      <c r="BC319">
        <v>1584</v>
      </c>
      <c r="BD319" t="s">
        <v>74</v>
      </c>
      <c r="BE319" t="s">
        <v>6408</v>
      </c>
      <c r="BF319" t="str">
        <f>HYPERLINK("http://dx.doi.org/10.5194/cp-19-1559-2023","http://dx.doi.org/10.5194/cp-19-1559-2023")</f>
        <v>http://dx.doi.org/10.5194/cp-19-1559-2023</v>
      </c>
      <c r="BG319" t="s">
        <v>74</v>
      </c>
      <c r="BH319" t="s">
        <v>74</v>
      </c>
      <c r="BI319">
        <v>26</v>
      </c>
      <c r="BJ319" t="s">
        <v>3351</v>
      </c>
      <c r="BK319" t="s">
        <v>104</v>
      </c>
      <c r="BL319" t="s">
        <v>3352</v>
      </c>
      <c r="BM319" t="s">
        <v>6409</v>
      </c>
      <c r="BN319" t="s">
        <v>74</v>
      </c>
      <c r="BO319" t="s">
        <v>3243</v>
      </c>
      <c r="BP319" t="s">
        <v>74</v>
      </c>
      <c r="BQ319" t="s">
        <v>74</v>
      </c>
      <c r="BR319" t="s">
        <v>107</v>
      </c>
      <c r="BS319" t="s">
        <v>6410</v>
      </c>
      <c r="BT319" t="str">
        <f>HYPERLINK("https%3A%2F%2Fwww.webofscience.com%2Fwos%2Fwoscc%2Ffull-record%2FWOS:001038775300001","View Full Record in Web of Science")</f>
        <v>View Full Record in Web of Science</v>
      </c>
    </row>
    <row r="320" spans="1:72" x14ac:dyDescent="0.15">
      <c r="A320" t="s">
        <v>72</v>
      </c>
      <c r="B320" t="s">
        <v>6411</v>
      </c>
      <c r="C320" t="s">
        <v>74</v>
      </c>
      <c r="D320" t="s">
        <v>74</v>
      </c>
      <c r="E320" t="s">
        <v>74</v>
      </c>
      <c r="F320" t="s">
        <v>6412</v>
      </c>
      <c r="G320" t="s">
        <v>74</v>
      </c>
      <c r="H320" t="s">
        <v>74</v>
      </c>
      <c r="I320" t="s">
        <v>6413</v>
      </c>
      <c r="J320" t="s">
        <v>2213</v>
      </c>
      <c r="K320" t="s">
        <v>74</v>
      </c>
      <c r="L320" t="s">
        <v>74</v>
      </c>
      <c r="M320" t="s">
        <v>78</v>
      </c>
      <c r="N320" t="s">
        <v>79</v>
      </c>
      <c r="O320" t="s">
        <v>74</v>
      </c>
      <c r="P320" t="s">
        <v>74</v>
      </c>
      <c r="Q320" t="s">
        <v>74</v>
      </c>
      <c r="R320" t="s">
        <v>74</v>
      </c>
      <c r="S320" t="s">
        <v>74</v>
      </c>
      <c r="T320" t="s">
        <v>6414</v>
      </c>
      <c r="U320" t="s">
        <v>6415</v>
      </c>
      <c r="V320" t="s">
        <v>6416</v>
      </c>
      <c r="W320" t="s">
        <v>6417</v>
      </c>
      <c r="X320" t="s">
        <v>6418</v>
      </c>
      <c r="Y320" t="s">
        <v>6419</v>
      </c>
      <c r="Z320" t="s">
        <v>6420</v>
      </c>
      <c r="AA320" t="s">
        <v>6421</v>
      </c>
      <c r="AB320" t="s">
        <v>6422</v>
      </c>
      <c r="AC320" t="s">
        <v>6423</v>
      </c>
      <c r="AD320" t="s">
        <v>6424</v>
      </c>
      <c r="AE320" t="s">
        <v>6425</v>
      </c>
      <c r="AF320" t="s">
        <v>74</v>
      </c>
      <c r="AG320">
        <v>38</v>
      </c>
      <c r="AH320">
        <v>0</v>
      </c>
      <c r="AI320">
        <v>0</v>
      </c>
      <c r="AJ320">
        <v>5</v>
      </c>
      <c r="AK320">
        <v>6</v>
      </c>
      <c r="AL320" t="s">
        <v>588</v>
      </c>
      <c r="AM320" t="s">
        <v>589</v>
      </c>
      <c r="AN320" t="s">
        <v>590</v>
      </c>
      <c r="AO320" t="s">
        <v>2226</v>
      </c>
      <c r="AP320" t="s">
        <v>2227</v>
      </c>
      <c r="AQ320" t="s">
        <v>74</v>
      </c>
      <c r="AR320" t="s">
        <v>2228</v>
      </c>
      <c r="AS320" t="s">
        <v>2229</v>
      </c>
      <c r="AT320" t="s">
        <v>6311</v>
      </c>
      <c r="AU320">
        <v>2023</v>
      </c>
      <c r="AV320">
        <v>50</v>
      </c>
      <c r="AW320">
        <v>14</v>
      </c>
      <c r="AX320" t="s">
        <v>74</v>
      </c>
      <c r="AY320" t="s">
        <v>74</v>
      </c>
      <c r="AZ320" t="s">
        <v>74</v>
      </c>
      <c r="BA320" t="s">
        <v>74</v>
      </c>
      <c r="BB320" t="s">
        <v>74</v>
      </c>
      <c r="BC320" t="s">
        <v>74</v>
      </c>
      <c r="BD320" t="s">
        <v>6426</v>
      </c>
      <c r="BE320" t="s">
        <v>6427</v>
      </c>
      <c r="BF320" t="str">
        <f>HYPERLINK("http://dx.doi.org/10.1029/2023GL104357","http://dx.doi.org/10.1029/2023GL104357")</f>
        <v>http://dx.doi.org/10.1029/2023GL104357</v>
      </c>
      <c r="BG320" t="s">
        <v>74</v>
      </c>
      <c r="BH320" t="s">
        <v>74</v>
      </c>
      <c r="BI320">
        <v>10</v>
      </c>
      <c r="BJ320" t="s">
        <v>155</v>
      </c>
      <c r="BK320" t="s">
        <v>104</v>
      </c>
      <c r="BL320" t="s">
        <v>156</v>
      </c>
      <c r="BM320" t="s">
        <v>6428</v>
      </c>
      <c r="BN320" t="s">
        <v>74</v>
      </c>
      <c r="BO320" t="s">
        <v>2670</v>
      </c>
      <c r="BP320" t="s">
        <v>74</v>
      </c>
      <c r="BQ320" t="s">
        <v>74</v>
      </c>
      <c r="BR320" t="s">
        <v>107</v>
      </c>
      <c r="BS320" t="s">
        <v>6429</v>
      </c>
      <c r="BT320" t="str">
        <f>HYPERLINK("https%3A%2F%2Fwww.webofscience.com%2Fwos%2Fwoscc%2Ffull-record%2FWOS:001032473500001","View Full Record in Web of Science")</f>
        <v>View Full Record in Web of Science</v>
      </c>
    </row>
    <row r="321" spans="1:72" x14ac:dyDescent="0.15">
      <c r="A321" t="s">
        <v>72</v>
      </c>
      <c r="B321" t="s">
        <v>6430</v>
      </c>
      <c r="C321" t="s">
        <v>74</v>
      </c>
      <c r="D321" t="s">
        <v>74</v>
      </c>
      <c r="E321" t="s">
        <v>74</v>
      </c>
      <c r="F321" t="s">
        <v>6431</v>
      </c>
      <c r="G321" t="s">
        <v>74</v>
      </c>
      <c r="H321" t="s">
        <v>74</v>
      </c>
      <c r="I321" t="s">
        <v>6432</v>
      </c>
      <c r="J321" t="s">
        <v>2213</v>
      </c>
      <c r="K321" t="s">
        <v>74</v>
      </c>
      <c r="L321" t="s">
        <v>74</v>
      </c>
      <c r="M321" t="s">
        <v>78</v>
      </c>
      <c r="N321" t="s">
        <v>79</v>
      </c>
      <c r="O321" t="s">
        <v>74</v>
      </c>
      <c r="P321" t="s">
        <v>74</v>
      </c>
      <c r="Q321" t="s">
        <v>74</v>
      </c>
      <c r="R321" t="s">
        <v>74</v>
      </c>
      <c r="S321" t="s">
        <v>74</v>
      </c>
      <c r="T321" t="s">
        <v>6433</v>
      </c>
      <c r="U321" t="s">
        <v>6434</v>
      </c>
      <c r="V321" t="s">
        <v>6435</v>
      </c>
      <c r="W321" t="s">
        <v>6436</v>
      </c>
      <c r="X321" t="s">
        <v>6437</v>
      </c>
      <c r="Y321" t="s">
        <v>6438</v>
      </c>
      <c r="Z321" t="s">
        <v>6439</v>
      </c>
      <c r="AA321" t="s">
        <v>6440</v>
      </c>
      <c r="AB321" t="s">
        <v>6441</v>
      </c>
      <c r="AC321" t="s">
        <v>6442</v>
      </c>
      <c r="AD321" t="s">
        <v>6443</v>
      </c>
      <c r="AE321" t="s">
        <v>6444</v>
      </c>
      <c r="AF321" t="s">
        <v>74</v>
      </c>
      <c r="AG321">
        <v>43</v>
      </c>
      <c r="AH321">
        <v>1</v>
      </c>
      <c r="AI321">
        <v>1</v>
      </c>
      <c r="AJ321">
        <v>0</v>
      </c>
      <c r="AK321">
        <v>1</v>
      </c>
      <c r="AL321" t="s">
        <v>588</v>
      </c>
      <c r="AM321" t="s">
        <v>589</v>
      </c>
      <c r="AN321" t="s">
        <v>590</v>
      </c>
      <c r="AO321" t="s">
        <v>2226</v>
      </c>
      <c r="AP321" t="s">
        <v>2227</v>
      </c>
      <c r="AQ321" t="s">
        <v>74</v>
      </c>
      <c r="AR321" t="s">
        <v>2228</v>
      </c>
      <c r="AS321" t="s">
        <v>2229</v>
      </c>
      <c r="AT321" t="s">
        <v>6311</v>
      </c>
      <c r="AU321">
        <v>2023</v>
      </c>
      <c r="AV321">
        <v>50</v>
      </c>
      <c r="AW321">
        <v>14</v>
      </c>
      <c r="AX321" t="s">
        <v>74</v>
      </c>
      <c r="AY321" t="s">
        <v>74</v>
      </c>
      <c r="AZ321" t="s">
        <v>74</v>
      </c>
      <c r="BA321" t="s">
        <v>74</v>
      </c>
      <c r="BB321" t="s">
        <v>74</v>
      </c>
      <c r="BC321" t="s">
        <v>74</v>
      </c>
      <c r="BD321" t="s">
        <v>6445</v>
      </c>
      <c r="BE321" t="s">
        <v>6446</v>
      </c>
      <c r="BF321" t="str">
        <f>HYPERLINK("http://dx.doi.org/10.1029/2023GL102785","http://dx.doi.org/10.1029/2023GL102785")</f>
        <v>http://dx.doi.org/10.1029/2023GL102785</v>
      </c>
      <c r="BG321" t="s">
        <v>74</v>
      </c>
      <c r="BH321" t="s">
        <v>74</v>
      </c>
      <c r="BI321">
        <v>11</v>
      </c>
      <c r="BJ321" t="s">
        <v>155</v>
      </c>
      <c r="BK321" t="s">
        <v>104</v>
      </c>
      <c r="BL321" t="s">
        <v>156</v>
      </c>
      <c r="BM321" t="s">
        <v>6447</v>
      </c>
      <c r="BN321" t="s">
        <v>74</v>
      </c>
      <c r="BO321" t="s">
        <v>2670</v>
      </c>
      <c r="BP321" t="s">
        <v>74</v>
      </c>
      <c r="BQ321" t="s">
        <v>74</v>
      </c>
      <c r="BR321" t="s">
        <v>107</v>
      </c>
      <c r="BS321" t="s">
        <v>6448</v>
      </c>
      <c r="BT321" t="str">
        <f>HYPERLINK("https%3A%2F%2Fwww.webofscience.com%2Fwos%2Fwoscc%2Ffull-record%2FWOS:001031807500001","View Full Record in Web of Science")</f>
        <v>View Full Record in Web of Science</v>
      </c>
    </row>
    <row r="322" spans="1:72" x14ac:dyDescent="0.15">
      <c r="A322" t="s">
        <v>72</v>
      </c>
      <c r="B322" t="s">
        <v>6449</v>
      </c>
      <c r="C322" t="s">
        <v>74</v>
      </c>
      <c r="D322" t="s">
        <v>74</v>
      </c>
      <c r="E322" t="s">
        <v>74</v>
      </c>
      <c r="F322" t="s">
        <v>6450</v>
      </c>
      <c r="G322" t="s">
        <v>74</v>
      </c>
      <c r="H322" t="s">
        <v>74</v>
      </c>
      <c r="I322" t="s">
        <v>6451</v>
      </c>
      <c r="J322" t="s">
        <v>2056</v>
      </c>
      <c r="K322" t="s">
        <v>74</v>
      </c>
      <c r="L322" t="s">
        <v>74</v>
      </c>
      <c r="M322" t="s">
        <v>78</v>
      </c>
      <c r="N322" t="s">
        <v>79</v>
      </c>
      <c r="O322" t="s">
        <v>74</v>
      </c>
      <c r="P322" t="s">
        <v>74</v>
      </c>
      <c r="Q322" t="s">
        <v>74</v>
      </c>
      <c r="R322" t="s">
        <v>74</v>
      </c>
      <c r="S322" t="s">
        <v>74</v>
      </c>
      <c r="T322" t="s">
        <v>74</v>
      </c>
      <c r="U322" t="s">
        <v>6452</v>
      </c>
      <c r="V322" t="s">
        <v>6453</v>
      </c>
      <c r="W322" t="s">
        <v>6454</v>
      </c>
      <c r="X322" t="s">
        <v>6455</v>
      </c>
      <c r="Y322" t="s">
        <v>6456</v>
      </c>
      <c r="Z322" t="s">
        <v>6457</v>
      </c>
      <c r="AA322" t="s">
        <v>6458</v>
      </c>
      <c r="AB322" t="s">
        <v>6459</v>
      </c>
      <c r="AC322" t="s">
        <v>6460</v>
      </c>
      <c r="AD322" t="s">
        <v>6461</v>
      </c>
      <c r="AE322" t="s">
        <v>6462</v>
      </c>
      <c r="AF322" t="s">
        <v>74</v>
      </c>
      <c r="AG322">
        <v>43</v>
      </c>
      <c r="AH322">
        <v>0</v>
      </c>
      <c r="AI322">
        <v>0</v>
      </c>
      <c r="AJ322">
        <v>7</v>
      </c>
      <c r="AK322">
        <v>7</v>
      </c>
      <c r="AL322" t="s">
        <v>2068</v>
      </c>
      <c r="AM322" t="s">
        <v>2069</v>
      </c>
      <c r="AN322" t="s">
        <v>2070</v>
      </c>
      <c r="AO322" t="s">
        <v>2071</v>
      </c>
      <c r="AP322" t="s">
        <v>74</v>
      </c>
      <c r="AQ322" t="s">
        <v>74</v>
      </c>
      <c r="AR322" t="s">
        <v>2056</v>
      </c>
      <c r="AS322" t="s">
        <v>2072</v>
      </c>
      <c r="AT322" t="s">
        <v>6463</v>
      </c>
      <c r="AU322">
        <v>2023</v>
      </c>
      <c r="AV322">
        <v>18</v>
      </c>
      <c r="AW322">
        <v>7</v>
      </c>
      <c r="AX322" t="s">
        <v>74</v>
      </c>
      <c r="AY322" t="s">
        <v>74</v>
      </c>
      <c r="AZ322" t="s">
        <v>74</v>
      </c>
      <c r="BA322" t="s">
        <v>74</v>
      </c>
      <c r="BB322" t="s">
        <v>74</v>
      </c>
      <c r="BC322" t="s">
        <v>74</v>
      </c>
      <c r="BD322" t="s">
        <v>6464</v>
      </c>
      <c r="BE322" t="s">
        <v>6465</v>
      </c>
      <c r="BF322" t="str">
        <f>HYPERLINK("http://dx.doi.org/10.1371/journal.pone.0282550","http://dx.doi.org/10.1371/journal.pone.0282550")</f>
        <v>http://dx.doi.org/10.1371/journal.pone.0282550</v>
      </c>
      <c r="BG322" t="s">
        <v>74</v>
      </c>
      <c r="BH322" t="s">
        <v>74</v>
      </c>
      <c r="BI322">
        <v>11</v>
      </c>
      <c r="BJ322" t="s">
        <v>1881</v>
      </c>
      <c r="BK322" t="s">
        <v>104</v>
      </c>
      <c r="BL322" t="s">
        <v>1882</v>
      </c>
      <c r="BM322" t="s">
        <v>6466</v>
      </c>
      <c r="BN322">
        <v>37498849</v>
      </c>
      <c r="BO322" t="s">
        <v>2934</v>
      </c>
      <c r="BP322" t="s">
        <v>74</v>
      </c>
      <c r="BQ322" t="s">
        <v>74</v>
      </c>
      <c r="BR322" t="s">
        <v>107</v>
      </c>
      <c r="BS322" t="s">
        <v>6467</v>
      </c>
      <c r="BT322" t="str">
        <f>HYPERLINK("https%3A%2F%2Fwww.webofscience.com%2Fwos%2Fwoscc%2Ffull-record%2FWOS:001066222400006","View Full Record in Web of Science")</f>
        <v>View Full Record in Web of Science</v>
      </c>
    </row>
    <row r="323" spans="1:72" x14ac:dyDescent="0.15">
      <c r="A323" t="s">
        <v>72</v>
      </c>
      <c r="B323" t="s">
        <v>6468</v>
      </c>
      <c r="C323" t="s">
        <v>74</v>
      </c>
      <c r="D323" t="s">
        <v>74</v>
      </c>
      <c r="E323" t="s">
        <v>74</v>
      </c>
      <c r="F323" t="s">
        <v>6469</v>
      </c>
      <c r="G323" t="s">
        <v>74</v>
      </c>
      <c r="H323" t="s">
        <v>74</v>
      </c>
      <c r="I323" t="s">
        <v>6470</v>
      </c>
      <c r="J323" t="s">
        <v>983</v>
      </c>
      <c r="K323" t="s">
        <v>74</v>
      </c>
      <c r="L323" t="s">
        <v>74</v>
      </c>
      <c r="M323" t="s">
        <v>78</v>
      </c>
      <c r="N323" t="s">
        <v>79</v>
      </c>
      <c r="O323" t="s">
        <v>74</v>
      </c>
      <c r="P323" t="s">
        <v>74</v>
      </c>
      <c r="Q323" t="s">
        <v>74</v>
      </c>
      <c r="R323" t="s">
        <v>74</v>
      </c>
      <c r="S323" t="s">
        <v>74</v>
      </c>
      <c r="T323" t="s">
        <v>6471</v>
      </c>
      <c r="U323" t="s">
        <v>6472</v>
      </c>
      <c r="V323" t="s">
        <v>6473</v>
      </c>
      <c r="W323" t="s">
        <v>6474</v>
      </c>
      <c r="X323" t="s">
        <v>6475</v>
      </c>
      <c r="Y323" t="s">
        <v>6476</v>
      </c>
      <c r="Z323" t="s">
        <v>6477</v>
      </c>
      <c r="AA323" t="s">
        <v>6478</v>
      </c>
      <c r="AB323" t="s">
        <v>6479</v>
      </c>
      <c r="AC323" t="s">
        <v>6480</v>
      </c>
      <c r="AD323" t="s">
        <v>6481</v>
      </c>
      <c r="AE323" t="s">
        <v>6482</v>
      </c>
      <c r="AF323" t="s">
        <v>74</v>
      </c>
      <c r="AG323">
        <v>75</v>
      </c>
      <c r="AH323">
        <v>0</v>
      </c>
      <c r="AI323">
        <v>0</v>
      </c>
      <c r="AJ323">
        <v>3</v>
      </c>
      <c r="AK323">
        <v>7</v>
      </c>
      <c r="AL323" t="s">
        <v>994</v>
      </c>
      <c r="AM323" t="s">
        <v>995</v>
      </c>
      <c r="AN323" t="s">
        <v>996</v>
      </c>
      <c r="AO323" t="s">
        <v>74</v>
      </c>
      <c r="AP323" t="s">
        <v>997</v>
      </c>
      <c r="AQ323" t="s">
        <v>74</v>
      </c>
      <c r="AR323" t="s">
        <v>998</v>
      </c>
      <c r="AS323" t="s">
        <v>999</v>
      </c>
      <c r="AT323" t="s">
        <v>6463</v>
      </c>
      <c r="AU323">
        <v>2023</v>
      </c>
      <c r="AV323">
        <v>10</v>
      </c>
      <c r="AW323" t="s">
        <v>74</v>
      </c>
      <c r="AX323" t="s">
        <v>74</v>
      </c>
      <c r="AY323" t="s">
        <v>74</v>
      </c>
      <c r="AZ323" t="s">
        <v>74</v>
      </c>
      <c r="BA323" t="s">
        <v>74</v>
      </c>
      <c r="BB323" t="s">
        <v>74</v>
      </c>
      <c r="BC323" t="s">
        <v>74</v>
      </c>
      <c r="BD323">
        <v>1186403</v>
      </c>
      <c r="BE323" t="s">
        <v>6483</v>
      </c>
      <c r="BF323" t="str">
        <f>HYPERLINK("http://dx.doi.org/10.3389/fmars.2023.1186403","http://dx.doi.org/10.3389/fmars.2023.1186403")</f>
        <v>http://dx.doi.org/10.3389/fmars.2023.1186403</v>
      </c>
      <c r="BG323" t="s">
        <v>74</v>
      </c>
      <c r="BH323" t="s">
        <v>74</v>
      </c>
      <c r="BI323">
        <v>17</v>
      </c>
      <c r="BJ323" t="s">
        <v>1001</v>
      </c>
      <c r="BK323" t="s">
        <v>104</v>
      </c>
      <c r="BL323" t="s">
        <v>1002</v>
      </c>
      <c r="BM323" t="s">
        <v>6484</v>
      </c>
      <c r="BN323" t="s">
        <v>74</v>
      </c>
      <c r="BO323" t="s">
        <v>2934</v>
      </c>
      <c r="BP323" t="s">
        <v>74</v>
      </c>
      <c r="BQ323" t="s">
        <v>74</v>
      </c>
      <c r="BR323" t="s">
        <v>107</v>
      </c>
      <c r="BS323" t="s">
        <v>6485</v>
      </c>
      <c r="BT323" t="str">
        <f>HYPERLINK("https%3A%2F%2Fwww.webofscience.com%2Fwos%2Fwoscc%2Ffull-record%2FWOS:001047914400001","View Full Record in Web of Science")</f>
        <v>View Full Record in Web of Science</v>
      </c>
    </row>
    <row r="324" spans="1:72" x14ac:dyDescent="0.15">
      <c r="A324" t="s">
        <v>72</v>
      </c>
      <c r="B324" t="s">
        <v>6486</v>
      </c>
      <c r="C324" t="s">
        <v>74</v>
      </c>
      <c r="D324" t="s">
        <v>74</v>
      </c>
      <c r="E324" t="s">
        <v>74</v>
      </c>
      <c r="F324" t="s">
        <v>6487</v>
      </c>
      <c r="G324" t="s">
        <v>74</v>
      </c>
      <c r="H324" t="s">
        <v>74</v>
      </c>
      <c r="I324" t="s">
        <v>6488</v>
      </c>
      <c r="J324" t="s">
        <v>4005</v>
      </c>
      <c r="K324" t="s">
        <v>74</v>
      </c>
      <c r="L324" t="s">
        <v>74</v>
      </c>
      <c r="M324" t="s">
        <v>78</v>
      </c>
      <c r="N324" t="s">
        <v>79</v>
      </c>
      <c r="O324" t="s">
        <v>74</v>
      </c>
      <c r="P324" t="s">
        <v>74</v>
      </c>
      <c r="Q324" t="s">
        <v>74</v>
      </c>
      <c r="R324" t="s">
        <v>74</v>
      </c>
      <c r="S324" t="s">
        <v>74</v>
      </c>
      <c r="T324" t="s">
        <v>6489</v>
      </c>
      <c r="U324" t="s">
        <v>6490</v>
      </c>
      <c r="V324" t="s">
        <v>6491</v>
      </c>
      <c r="W324" t="s">
        <v>6492</v>
      </c>
      <c r="X324" t="s">
        <v>6493</v>
      </c>
      <c r="Y324" t="s">
        <v>6494</v>
      </c>
      <c r="Z324" t="s">
        <v>6495</v>
      </c>
      <c r="AA324" t="s">
        <v>6496</v>
      </c>
      <c r="AB324" t="s">
        <v>6497</v>
      </c>
      <c r="AC324" t="s">
        <v>6498</v>
      </c>
      <c r="AD324" t="s">
        <v>6499</v>
      </c>
      <c r="AE324" t="s">
        <v>6500</v>
      </c>
      <c r="AF324" t="s">
        <v>74</v>
      </c>
      <c r="AG324">
        <v>47</v>
      </c>
      <c r="AH324">
        <v>0</v>
      </c>
      <c r="AI324">
        <v>0</v>
      </c>
      <c r="AJ324">
        <v>4</v>
      </c>
      <c r="AK324">
        <v>7</v>
      </c>
      <c r="AL324" t="s">
        <v>4017</v>
      </c>
      <c r="AM324" t="s">
        <v>4018</v>
      </c>
      <c r="AN324" t="s">
        <v>4019</v>
      </c>
      <c r="AO324" t="s">
        <v>4020</v>
      </c>
      <c r="AP324" t="s">
        <v>4021</v>
      </c>
      <c r="AQ324" t="s">
        <v>74</v>
      </c>
      <c r="AR324" t="s">
        <v>4022</v>
      </c>
      <c r="AS324" t="s">
        <v>4023</v>
      </c>
      <c r="AT324" t="s">
        <v>6463</v>
      </c>
      <c r="AU324">
        <v>2023</v>
      </c>
      <c r="AV324">
        <v>715</v>
      </c>
      <c r="AW324" t="s">
        <v>74</v>
      </c>
      <c r="AX324" t="s">
        <v>74</v>
      </c>
      <c r="AY324" t="s">
        <v>74</v>
      </c>
      <c r="AZ324" t="s">
        <v>74</v>
      </c>
      <c r="BA324" t="s">
        <v>74</v>
      </c>
      <c r="BB324">
        <v>27</v>
      </c>
      <c r="BC324">
        <v>39</v>
      </c>
      <c r="BD324" t="s">
        <v>74</v>
      </c>
      <c r="BE324" t="s">
        <v>6501</v>
      </c>
      <c r="BF324" t="str">
        <f>HYPERLINK("http://dx.doi.org/10.3354/meps14355","http://dx.doi.org/10.3354/meps14355")</f>
        <v>http://dx.doi.org/10.3354/meps14355</v>
      </c>
      <c r="BG324" t="s">
        <v>74</v>
      </c>
      <c r="BH324" t="s">
        <v>74</v>
      </c>
      <c r="BI324">
        <v>13</v>
      </c>
      <c r="BJ324" t="s">
        <v>4026</v>
      </c>
      <c r="BK324" t="s">
        <v>104</v>
      </c>
      <c r="BL324" t="s">
        <v>4027</v>
      </c>
      <c r="BM324" t="s">
        <v>6502</v>
      </c>
      <c r="BN324" t="s">
        <v>74</v>
      </c>
      <c r="BO324" t="s">
        <v>74</v>
      </c>
      <c r="BP324" t="s">
        <v>74</v>
      </c>
      <c r="BQ324" t="s">
        <v>74</v>
      </c>
      <c r="BR324" t="s">
        <v>107</v>
      </c>
      <c r="BS324" t="s">
        <v>6503</v>
      </c>
      <c r="BT324" t="str">
        <f>HYPERLINK("https%3A%2F%2Fwww.webofscience.com%2Fwos%2Fwoscc%2Ffull-record%2FWOS:001053531600002","View Full Record in Web of Science")</f>
        <v>View Full Record in Web of Science</v>
      </c>
    </row>
    <row r="325" spans="1:72" x14ac:dyDescent="0.15">
      <c r="A325" t="s">
        <v>72</v>
      </c>
      <c r="B325" t="s">
        <v>6504</v>
      </c>
      <c r="C325" t="s">
        <v>74</v>
      </c>
      <c r="D325" t="s">
        <v>74</v>
      </c>
      <c r="E325" t="s">
        <v>74</v>
      </c>
      <c r="F325" t="s">
        <v>6505</v>
      </c>
      <c r="G325" t="s">
        <v>74</v>
      </c>
      <c r="H325" t="s">
        <v>74</v>
      </c>
      <c r="I325" t="s">
        <v>6506</v>
      </c>
      <c r="J325" t="s">
        <v>6507</v>
      </c>
      <c r="K325" t="s">
        <v>74</v>
      </c>
      <c r="L325" t="s">
        <v>74</v>
      </c>
      <c r="M325" t="s">
        <v>78</v>
      </c>
      <c r="N325" t="s">
        <v>79</v>
      </c>
      <c r="O325" t="s">
        <v>74</v>
      </c>
      <c r="P325" t="s">
        <v>74</v>
      </c>
      <c r="Q325" t="s">
        <v>74</v>
      </c>
      <c r="R325" t="s">
        <v>74</v>
      </c>
      <c r="S325" t="s">
        <v>74</v>
      </c>
      <c r="T325" t="s">
        <v>6508</v>
      </c>
      <c r="U325" t="s">
        <v>6509</v>
      </c>
      <c r="V325" t="s">
        <v>6510</v>
      </c>
      <c r="W325" t="s">
        <v>6511</v>
      </c>
      <c r="X325" t="s">
        <v>6512</v>
      </c>
      <c r="Y325" t="s">
        <v>6513</v>
      </c>
      <c r="Z325" t="s">
        <v>6514</v>
      </c>
      <c r="AA325" t="s">
        <v>74</v>
      </c>
      <c r="AB325" t="s">
        <v>6515</v>
      </c>
      <c r="AC325" t="s">
        <v>6516</v>
      </c>
      <c r="AD325" t="s">
        <v>6517</v>
      </c>
      <c r="AE325" t="s">
        <v>6518</v>
      </c>
      <c r="AF325" t="s">
        <v>74</v>
      </c>
      <c r="AG325">
        <v>33</v>
      </c>
      <c r="AH325">
        <v>0</v>
      </c>
      <c r="AI325">
        <v>0</v>
      </c>
      <c r="AJ325">
        <v>1</v>
      </c>
      <c r="AK325">
        <v>4</v>
      </c>
      <c r="AL325" t="s">
        <v>537</v>
      </c>
      <c r="AM325" t="s">
        <v>538</v>
      </c>
      <c r="AN325" t="s">
        <v>539</v>
      </c>
      <c r="AO325" t="s">
        <v>6519</v>
      </c>
      <c r="AP325" t="s">
        <v>6520</v>
      </c>
      <c r="AQ325" t="s">
        <v>74</v>
      </c>
      <c r="AR325" t="s">
        <v>6521</v>
      </c>
      <c r="AS325" t="s">
        <v>6522</v>
      </c>
      <c r="AT325" t="s">
        <v>6463</v>
      </c>
      <c r="AU325">
        <v>2023</v>
      </c>
      <c r="AV325">
        <v>235</v>
      </c>
      <c r="AW325">
        <v>2</v>
      </c>
      <c r="AX325" t="s">
        <v>74</v>
      </c>
      <c r="AY325" t="s">
        <v>74</v>
      </c>
      <c r="AZ325" t="s">
        <v>74</v>
      </c>
      <c r="BA325" t="s">
        <v>74</v>
      </c>
      <c r="BB325">
        <v>1325</v>
      </c>
      <c r="BC325">
        <v>1338</v>
      </c>
      <c r="BD325" t="s">
        <v>74</v>
      </c>
      <c r="BE325" t="s">
        <v>6523</v>
      </c>
      <c r="BF325" t="str">
        <f>HYPERLINK("http://dx.doi.org/10.1093/gji/ggad306","http://dx.doi.org/10.1093/gji/ggad306")</f>
        <v>http://dx.doi.org/10.1093/gji/ggad306</v>
      </c>
      <c r="BG325" t="s">
        <v>74</v>
      </c>
      <c r="BH325" t="s">
        <v>74</v>
      </c>
      <c r="BI325">
        <v>14</v>
      </c>
      <c r="BJ325" t="s">
        <v>597</v>
      </c>
      <c r="BK325" t="s">
        <v>104</v>
      </c>
      <c r="BL325" t="s">
        <v>597</v>
      </c>
      <c r="BM325" t="s">
        <v>6524</v>
      </c>
      <c r="BN325" t="s">
        <v>74</v>
      </c>
      <c r="BO325" t="s">
        <v>74</v>
      </c>
      <c r="BP325" t="s">
        <v>74</v>
      </c>
      <c r="BQ325" t="s">
        <v>74</v>
      </c>
      <c r="BR325" t="s">
        <v>107</v>
      </c>
      <c r="BS325" t="s">
        <v>6525</v>
      </c>
      <c r="BT325" t="str">
        <f>HYPERLINK("https%3A%2F%2Fwww.webofscience.com%2Fwos%2Fwoscc%2Ffull-record%2FWOS:001044653100002","View Full Record in Web of Science")</f>
        <v>View Full Record in Web of Science</v>
      </c>
    </row>
    <row r="326" spans="1:72" x14ac:dyDescent="0.15">
      <c r="A326" t="s">
        <v>72</v>
      </c>
      <c r="B326" t="s">
        <v>6526</v>
      </c>
      <c r="C326" t="s">
        <v>74</v>
      </c>
      <c r="D326" t="s">
        <v>74</v>
      </c>
      <c r="E326" t="s">
        <v>74</v>
      </c>
      <c r="F326" t="s">
        <v>6527</v>
      </c>
      <c r="G326" t="s">
        <v>74</v>
      </c>
      <c r="H326" t="s">
        <v>74</v>
      </c>
      <c r="I326" t="s">
        <v>6528</v>
      </c>
      <c r="J326" t="s">
        <v>2493</v>
      </c>
      <c r="K326" t="s">
        <v>74</v>
      </c>
      <c r="L326" t="s">
        <v>74</v>
      </c>
      <c r="M326" t="s">
        <v>78</v>
      </c>
      <c r="N326" t="s">
        <v>79</v>
      </c>
      <c r="O326" t="s">
        <v>74</v>
      </c>
      <c r="P326" t="s">
        <v>74</v>
      </c>
      <c r="Q326" t="s">
        <v>74</v>
      </c>
      <c r="R326" t="s">
        <v>74</v>
      </c>
      <c r="S326" t="s">
        <v>74</v>
      </c>
      <c r="T326" t="s">
        <v>74</v>
      </c>
      <c r="U326" t="s">
        <v>6529</v>
      </c>
      <c r="V326" t="s">
        <v>6530</v>
      </c>
      <c r="W326" t="s">
        <v>6531</v>
      </c>
      <c r="X326" t="s">
        <v>6532</v>
      </c>
      <c r="Y326" t="s">
        <v>6533</v>
      </c>
      <c r="Z326" t="s">
        <v>6534</v>
      </c>
      <c r="AA326" t="s">
        <v>6535</v>
      </c>
      <c r="AB326" t="s">
        <v>6536</v>
      </c>
      <c r="AC326" t="s">
        <v>6537</v>
      </c>
      <c r="AD326" t="s">
        <v>6538</v>
      </c>
      <c r="AE326" t="s">
        <v>6539</v>
      </c>
      <c r="AF326" t="s">
        <v>74</v>
      </c>
      <c r="AG326">
        <v>74</v>
      </c>
      <c r="AH326">
        <v>2</v>
      </c>
      <c r="AI326">
        <v>2</v>
      </c>
      <c r="AJ326">
        <v>1</v>
      </c>
      <c r="AK326">
        <v>3</v>
      </c>
      <c r="AL326" t="s">
        <v>1775</v>
      </c>
      <c r="AM326" t="s">
        <v>1776</v>
      </c>
      <c r="AN326" t="s">
        <v>1777</v>
      </c>
      <c r="AO326" t="s">
        <v>2505</v>
      </c>
      <c r="AP326" t="s">
        <v>2506</v>
      </c>
      <c r="AQ326" t="s">
        <v>74</v>
      </c>
      <c r="AR326" t="s">
        <v>2493</v>
      </c>
      <c r="AS326" t="s">
        <v>2507</v>
      </c>
      <c r="AT326" t="s">
        <v>6540</v>
      </c>
      <c r="AU326">
        <v>2023</v>
      </c>
      <c r="AV326">
        <v>20</v>
      </c>
      <c r="AW326">
        <v>14</v>
      </c>
      <c r="AX326" t="s">
        <v>74</v>
      </c>
      <c r="AY326" t="s">
        <v>74</v>
      </c>
      <c r="AZ326" t="s">
        <v>74</v>
      </c>
      <c r="BA326" t="s">
        <v>74</v>
      </c>
      <c r="BB326">
        <v>2985</v>
      </c>
      <c r="BC326">
        <v>3009</v>
      </c>
      <c r="BD326" t="s">
        <v>74</v>
      </c>
      <c r="BE326" t="s">
        <v>6541</v>
      </c>
      <c r="BF326" t="str">
        <f>HYPERLINK("http://dx.doi.org/10.5194/bg-20-2985-2023","http://dx.doi.org/10.5194/bg-20-2985-2023")</f>
        <v>http://dx.doi.org/10.5194/bg-20-2985-2023</v>
      </c>
      <c r="BG326" t="s">
        <v>74</v>
      </c>
      <c r="BH326" t="s">
        <v>74</v>
      </c>
      <c r="BI326">
        <v>25</v>
      </c>
      <c r="BJ326" t="s">
        <v>247</v>
      </c>
      <c r="BK326" t="s">
        <v>104</v>
      </c>
      <c r="BL326" t="s">
        <v>248</v>
      </c>
      <c r="BM326" t="s">
        <v>6542</v>
      </c>
      <c r="BN326" t="s">
        <v>74</v>
      </c>
      <c r="BO326" t="s">
        <v>206</v>
      </c>
      <c r="BP326" t="s">
        <v>74</v>
      </c>
      <c r="BQ326" t="s">
        <v>74</v>
      </c>
      <c r="BR326" t="s">
        <v>107</v>
      </c>
      <c r="BS326" t="s">
        <v>6543</v>
      </c>
      <c r="BT326" t="str">
        <f>HYPERLINK("https%3A%2F%2Fwww.webofscience.com%2Fwos%2Fwoscc%2Ffull-record%2FWOS:001047928800001","View Full Record in Web of Science")</f>
        <v>View Full Record in Web of Science</v>
      </c>
    </row>
    <row r="327" spans="1:72" x14ac:dyDescent="0.15">
      <c r="A327" t="s">
        <v>72</v>
      </c>
      <c r="B327" t="s">
        <v>6544</v>
      </c>
      <c r="C327" t="s">
        <v>74</v>
      </c>
      <c r="D327" t="s">
        <v>74</v>
      </c>
      <c r="E327" t="s">
        <v>74</v>
      </c>
      <c r="F327" t="s">
        <v>6545</v>
      </c>
      <c r="G327" t="s">
        <v>74</v>
      </c>
      <c r="H327" t="s">
        <v>74</v>
      </c>
      <c r="I327" t="s">
        <v>6546</v>
      </c>
      <c r="J327" t="s">
        <v>6547</v>
      </c>
      <c r="K327" t="s">
        <v>74</v>
      </c>
      <c r="L327" t="s">
        <v>74</v>
      </c>
      <c r="M327" t="s">
        <v>78</v>
      </c>
      <c r="N327" t="s">
        <v>79</v>
      </c>
      <c r="O327" t="s">
        <v>74</v>
      </c>
      <c r="P327" t="s">
        <v>74</v>
      </c>
      <c r="Q327" t="s">
        <v>74</v>
      </c>
      <c r="R327" t="s">
        <v>74</v>
      </c>
      <c r="S327" t="s">
        <v>74</v>
      </c>
      <c r="T327" t="s">
        <v>6548</v>
      </c>
      <c r="U327" t="s">
        <v>6549</v>
      </c>
      <c r="V327" t="s">
        <v>6550</v>
      </c>
      <c r="W327" t="s">
        <v>6551</v>
      </c>
      <c r="X327" t="s">
        <v>6552</v>
      </c>
      <c r="Y327" t="s">
        <v>6553</v>
      </c>
      <c r="Z327" t="s">
        <v>6554</v>
      </c>
      <c r="AA327" t="s">
        <v>74</v>
      </c>
      <c r="AB327" t="s">
        <v>6555</v>
      </c>
      <c r="AC327" t="s">
        <v>6556</v>
      </c>
      <c r="AD327" t="s">
        <v>6557</v>
      </c>
      <c r="AE327" t="s">
        <v>6558</v>
      </c>
      <c r="AF327" t="s">
        <v>74</v>
      </c>
      <c r="AG327">
        <v>74</v>
      </c>
      <c r="AH327">
        <v>0</v>
      </c>
      <c r="AI327">
        <v>0</v>
      </c>
      <c r="AJ327">
        <v>4</v>
      </c>
      <c r="AK327">
        <v>4</v>
      </c>
      <c r="AL327" t="s">
        <v>172</v>
      </c>
      <c r="AM327" t="s">
        <v>173</v>
      </c>
      <c r="AN327" t="s">
        <v>174</v>
      </c>
      <c r="AO327" t="s">
        <v>6559</v>
      </c>
      <c r="AP327" t="s">
        <v>6560</v>
      </c>
      <c r="AQ327" t="s">
        <v>74</v>
      </c>
      <c r="AR327" t="s">
        <v>6561</v>
      </c>
      <c r="AS327" t="s">
        <v>6562</v>
      </c>
      <c r="AT327" t="s">
        <v>97</v>
      </c>
      <c r="AU327">
        <v>2023</v>
      </c>
      <c r="AV327">
        <v>228</v>
      </c>
      <c r="AW327" t="s">
        <v>74</v>
      </c>
      <c r="AX327" t="s">
        <v>74</v>
      </c>
      <c r="AY327" t="s">
        <v>74</v>
      </c>
      <c r="AZ327" t="s">
        <v>74</v>
      </c>
      <c r="BA327" t="s">
        <v>74</v>
      </c>
      <c r="BB327" t="s">
        <v>74</v>
      </c>
      <c r="BC327" t="s">
        <v>74</v>
      </c>
      <c r="BD327">
        <v>104193</v>
      </c>
      <c r="BE327" t="s">
        <v>6563</v>
      </c>
      <c r="BF327" t="str">
        <f>HYPERLINK("http://dx.doi.org/10.1016/j.gloplacha.2023.104193","http://dx.doi.org/10.1016/j.gloplacha.2023.104193")</f>
        <v>http://dx.doi.org/10.1016/j.gloplacha.2023.104193</v>
      </c>
      <c r="BG327" t="s">
        <v>74</v>
      </c>
      <c r="BH327" t="s">
        <v>6115</v>
      </c>
      <c r="BI327">
        <v>10</v>
      </c>
      <c r="BJ327" t="s">
        <v>1783</v>
      </c>
      <c r="BK327" t="s">
        <v>104</v>
      </c>
      <c r="BL327" t="s">
        <v>1784</v>
      </c>
      <c r="BM327" t="s">
        <v>6564</v>
      </c>
      <c r="BN327" t="s">
        <v>74</v>
      </c>
      <c r="BO327" t="s">
        <v>74</v>
      </c>
      <c r="BP327" t="s">
        <v>74</v>
      </c>
      <c r="BQ327" t="s">
        <v>74</v>
      </c>
      <c r="BR327" t="s">
        <v>107</v>
      </c>
      <c r="BS327" t="s">
        <v>6565</v>
      </c>
      <c r="BT327" t="str">
        <f>HYPERLINK("https%3A%2F%2Fwww.webofscience.com%2Fwos%2Fwoscc%2Ffull-record%2FWOS:001050310500001","View Full Record in Web of Science")</f>
        <v>View Full Record in Web of Science</v>
      </c>
    </row>
    <row r="328" spans="1:72" x14ac:dyDescent="0.15">
      <c r="A328" t="s">
        <v>72</v>
      </c>
      <c r="B328" t="s">
        <v>6566</v>
      </c>
      <c r="C328" t="s">
        <v>74</v>
      </c>
      <c r="D328" t="s">
        <v>74</v>
      </c>
      <c r="E328" t="s">
        <v>74</v>
      </c>
      <c r="F328" t="s">
        <v>6567</v>
      </c>
      <c r="G328" t="s">
        <v>74</v>
      </c>
      <c r="H328" t="s">
        <v>74</v>
      </c>
      <c r="I328" t="s">
        <v>6568</v>
      </c>
      <c r="J328" t="s">
        <v>2193</v>
      </c>
      <c r="K328" t="s">
        <v>74</v>
      </c>
      <c r="L328" t="s">
        <v>74</v>
      </c>
      <c r="M328" t="s">
        <v>78</v>
      </c>
      <c r="N328" t="s">
        <v>79</v>
      </c>
      <c r="O328" t="s">
        <v>74</v>
      </c>
      <c r="P328" t="s">
        <v>74</v>
      </c>
      <c r="Q328" t="s">
        <v>74</v>
      </c>
      <c r="R328" t="s">
        <v>74</v>
      </c>
      <c r="S328" t="s">
        <v>74</v>
      </c>
      <c r="T328" t="s">
        <v>74</v>
      </c>
      <c r="U328" t="s">
        <v>6569</v>
      </c>
      <c r="V328" t="s">
        <v>6570</v>
      </c>
      <c r="W328" t="s">
        <v>6571</v>
      </c>
      <c r="X328" t="s">
        <v>6572</v>
      </c>
      <c r="Y328" t="s">
        <v>6573</v>
      </c>
      <c r="Z328" t="s">
        <v>6574</v>
      </c>
      <c r="AA328" t="s">
        <v>6575</v>
      </c>
      <c r="AB328" t="s">
        <v>6576</v>
      </c>
      <c r="AC328" t="s">
        <v>6577</v>
      </c>
      <c r="AD328" t="s">
        <v>6578</v>
      </c>
      <c r="AE328" t="s">
        <v>6579</v>
      </c>
      <c r="AF328" t="s">
        <v>74</v>
      </c>
      <c r="AG328">
        <v>89</v>
      </c>
      <c r="AH328">
        <v>2</v>
      </c>
      <c r="AI328">
        <v>2</v>
      </c>
      <c r="AJ328">
        <v>1</v>
      </c>
      <c r="AK328">
        <v>1</v>
      </c>
      <c r="AL328" t="s">
        <v>146</v>
      </c>
      <c r="AM328" t="s">
        <v>147</v>
      </c>
      <c r="AN328" t="s">
        <v>148</v>
      </c>
      <c r="AO328" t="s">
        <v>2204</v>
      </c>
      <c r="AP328" t="s">
        <v>74</v>
      </c>
      <c r="AQ328" t="s">
        <v>74</v>
      </c>
      <c r="AR328" t="s">
        <v>2205</v>
      </c>
      <c r="AS328" t="s">
        <v>2206</v>
      </c>
      <c r="AT328" t="s">
        <v>6540</v>
      </c>
      <c r="AU328">
        <v>2023</v>
      </c>
      <c r="AV328">
        <v>13</v>
      </c>
      <c r="AW328">
        <v>1</v>
      </c>
      <c r="AX328" t="s">
        <v>74</v>
      </c>
      <c r="AY328" t="s">
        <v>74</v>
      </c>
      <c r="AZ328" t="s">
        <v>74</v>
      </c>
      <c r="BA328" t="s">
        <v>74</v>
      </c>
      <c r="BB328" t="s">
        <v>74</v>
      </c>
      <c r="BC328" t="s">
        <v>74</v>
      </c>
      <c r="BD328">
        <v>12081</v>
      </c>
      <c r="BE328" t="s">
        <v>6580</v>
      </c>
      <c r="BF328" t="str">
        <f>HYPERLINK("http://dx.doi.org/10.1038/s41598-023-39315-y","http://dx.doi.org/10.1038/s41598-023-39315-y")</f>
        <v>http://dx.doi.org/10.1038/s41598-023-39315-y</v>
      </c>
      <c r="BG328" t="s">
        <v>74</v>
      </c>
      <c r="BH328" t="s">
        <v>74</v>
      </c>
      <c r="BI328">
        <v>13</v>
      </c>
      <c r="BJ328" t="s">
        <v>1881</v>
      </c>
      <c r="BK328" t="s">
        <v>104</v>
      </c>
      <c r="BL328" t="s">
        <v>1882</v>
      </c>
      <c r="BM328" t="s">
        <v>6581</v>
      </c>
      <c r="BN328">
        <v>37495664</v>
      </c>
      <c r="BO328" t="s">
        <v>821</v>
      </c>
      <c r="BP328" t="s">
        <v>74</v>
      </c>
      <c r="BQ328" t="s">
        <v>74</v>
      </c>
      <c r="BR328" t="s">
        <v>107</v>
      </c>
      <c r="BS328" t="s">
        <v>6582</v>
      </c>
      <c r="BT328" t="str">
        <f>HYPERLINK("https%3A%2F%2Fwww.webofscience.com%2Fwos%2Fwoscc%2Ffull-record%2FWOS:001038693100004","View Full Record in Web of Science")</f>
        <v>View Full Record in Web of Science</v>
      </c>
    </row>
    <row r="329" spans="1:72" x14ac:dyDescent="0.15">
      <c r="A329" t="s">
        <v>72</v>
      </c>
      <c r="B329" t="s">
        <v>6583</v>
      </c>
      <c r="C329" t="s">
        <v>74</v>
      </c>
      <c r="D329" t="s">
        <v>74</v>
      </c>
      <c r="E329" t="s">
        <v>74</v>
      </c>
      <c r="F329" t="s">
        <v>6584</v>
      </c>
      <c r="G329" t="s">
        <v>74</v>
      </c>
      <c r="H329" t="s">
        <v>74</v>
      </c>
      <c r="I329" t="s">
        <v>6585</v>
      </c>
      <c r="J329" t="s">
        <v>2193</v>
      </c>
      <c r="K329" t="s">
        <v>74</v>
      </c>
      <c r="L329" t="s">
        <v>74</v>
      </c>
      <c r="M329" t="s">
        <v>78</v>
      </c>
      <c r="N329" t="s">
        <v>79</v>
      </c>
      <c r="O329" t="s">
        <v>74</v>
      </c>
      <c r="P329" t="s">
        <v>74</v>
      </c>
      <c r="Q329" t="s">
        <v>74</v>
      </c>
      <c r="R329" t="s">
        <v>74</v>
      </c>
      <c r="S329" t="s">
        <v>74</v>
      </c>
      <c r="T329" t="s">
        <v>74</v>
      </c>
      <c r="U329" t="s">
        <v>6586</v>
      </c>
      <c r="V329" t="s">
        <v>6587</v>
      </c>
      <c r="W329" t="s">
        <v>6588</v>
      </c>
      <c r="X329" t="s">
        <v>6589</v>
      </c>
      <c r="Y329" t="s">
        <v>6590</v>
      </c>
      <c r="Z329" t="s">
        <v>6591</v>
      </c>
      <c r="AA329" t="s">
        <v>74</v>
      </c>
      <c r="AB329" t="s">
        <v>6592</v>
      </c>
      <c r="AC329" t="s">
        <v>6593</v>
      </c>
      <c r="AD329" t="s">
        <v>6594</v>
      </c>
      <c r="AE329" t="s">
        <v>6595</v>
      </c>
      <c r="AF329" t="s">
        <v>74</v>
      </c>
      <c r="AG329">
        <v>116</v>
      </c>
      <c r="AH329">
        <v>1</v>
      </c>
      <c r="AI329">
        <v>1</v>
      </c>
      <c r="AJ329">
        <v>4</v>
      </c>
      <c r="AK329">
        <v>6</v>
      </c>
      <c r="AL329" t="s">
        <v>146</v>
      </c>
      <c r="AM329" t="s">
        <v>147</v>
      </c>
      <c r="AN329" t="s">
        <v>148</v>
      </c>
      <c r="AO329" t="s">
        <v>2204</v>
      </c>
      <c r="AP329" t="s">
        <v>74</v>
      </c>
      <c r="AQ329" t="s">
        <v>74</v>
      </c>
      <c r="AR329" t="s">
        <v>2205</v>
      </c>
      <c r="AS329" t="s">
        <v>2206</v>
      </c>
      <c r="AT329" t="s">
        <v>6540</v>
      </c>
      <c r="AU329">
        <v>2023</v>
      </c>
      <c r="AV329">
        <v>13</v>
      </c>
      <c r="AW329">
        <v>1</v>
      </c>
      <c r="AX329" t="s">
        <v>74</v>
      </c>
      <c r="AY329" t="s">
        <v>74</v>
      </c>
      <c r="AZ329" t="s">
        <v>74</v>
      </c>
      <c r="BA329" t="s">
        <v>74</v>
      </c>
      <c r="BB329" t="s">
        <v>74</v>
      </c>
      <c r="BC329" t="s">
        <v>74</v>
      </c>
      <c r="BD329">
        <v>12072</v>
      </c>
      <c r="BE329" t="s">
        <v>6596</v>
      </c>
      <c r="BF329" t="str">
        <f>HYPERLINK("http://dx.doi.org/10.1038/s41598-023-39105-6","http://dx.doi.org/10.1038/s41598-023-39105-6")</f>
        <v>http://dx.doi.org/10.1038/s41598-023-39105-6</v>
      </c>
      <c r="BG329" t="s">
        <v>74</v>
      </c>
      <c r="BH329" t="s">
        <v>74</v>
      </c>
      <c r="BI329">
        <v>15</v>
      </c>
      <c r="BJ329" t="s">
        <v>1881</v>
      </c>
      <c r="BK329" t="s">
        <v>104</v>
      </c>
      <c r="BL329" t="s">
        <v>1882</v>
      </c>
      <c r="BM329" t="s">
        <v>6581</v>
      </c>
      <c r="BN329">
        <v>37495764</v>
      </c>
      <c r="BO329" t="s">
        <v>181</v>
      </c>
      <c r="BP329" t="s">
        <v>74</v>
      </c>
      <c r="BQ329" t="s">
        <v>74</v>
      </c>
      <c r="BR329" t="s">
        <v>107</v>
      </c>
      <c r="BS329" t="s">
        <v>6597</v>
      </c>
      <c r="BT329" t="str">
        <f>HYPERLINK("https%3A%2F%2Fwww.webofscience.com%2Fwos%2Fwoscc%2Ffull-record%2FWOS:001038693100024","View Full Record in Web of Science")</f>
        <v>View Full Record in Web of Science</v>
      </c>
    </row>
    <row r="330" spans="1:72" x14ac:dyDescent="0.15">
      <c r="A330" t="s">
        <v>72</v>
      </c>
      <c r="B330" t="s">
        <v>6598</v>
      </c>
      <c r="C330" t="s">
        <v>74</v>
      </c>
      <c r="D330" t="s">
        <v>74</v>
      </c>
      <c r="E330" t="s">
        <v>74</v>
      </c>
      <c r="F330" t="s">
        <v>6599</v>
      </c>
      <c r="G330" t="s">
        <v>74</v>
      </c>
      <c r="H330" t="s">
        <v>74</v>
      </c>
      <c r="I330" t="s">
        <v>6600</v>
      </c>
      <c r="J330" t="s">
        <v>4120</v>
      </c>
      <c r="K330" t="s">
        <v>74</v>
      </c>
      <c r="L330" t="s">
        <v>74</v>
      </c>
      <c r="M330" t="s">
        <v>78</v>
      </c>
      <c r="N330" t="s">
        <v>3197</v>
      </c>
      <c r="O330" t="s">
        <v>74</v>
      </c>
      <c r="P330" t="s">
        <v>74</v>
      </c>
      <c r="Q330" t="s">
        <v>74</v>
      </c>
      <c r="R330" t="s">
        <v>74</v>
      </c>
      <c r="S330" t="s">
        <v>74</v>
      </c>
      <c r="T330" t="s">
        <v>74</v>
      </c>
      <c r="U330" t="s">
        <v>6601</v>
      </c>
      <c r="V330" t="s">
        <v>6602</v>
      </c>
      <c r="W330" t="s">
        <v>6603</v>
      </c>
      <c r="X330" t="s">
        <v>6604</v>
      </c>
      <c r="Y330" t="s">
        <v>6605</v>
      </c>
      <c r="Z330" t="s">
        <v>6606</v>
      </c>
      <c r="AA330" t="s">
        <v>6607</v>
      </c>
      <c r="AB330" t="s">
        <v>6608</v>
      </c>
      <c r="AC330" t="s">
        <v>6609</v>
      </c>
      <c r="AD330" t="s">
        <v>6610</v>
      </c>
      <c r="AE330" t="s">
        <v>6611</v>
      </c>
      <c r="AF330" t="s">
        <v>74</v>
      </c>
      <c r="AG330">
        <v>57</v>
      </c>
      <c r="AH330">
        <v>0</v>
      </c>
      <c r="AI330">
        <v>0</v>
      </c>
      <c r="AJ330">
        <v>6</v>
      </c>
      <c r="AK330">
        <v>8</v>
      </c>
      <c r="AL330" t="s">
        <v>1775</v>
      </c>
      <c r="AM330" t="s">
        <v>1776</v>
      </c>
      <c r="AN330" t="s">
        <v>1777</v>
      </c>
      <c r="AO330" t="s">
        <v>4132</v>
      </c>
      <c r="AP330" t="s">
        <v>4133</v>
      </c>
      <c r="AQ330" t="s">
        <v>74</v>
      </c>
      <c r="AR330" t="s">
        <v>4134</v>
      </c>
      <c r="AS330" t="s">
        <v>4135</v>
      </c>
      <c r="AT330" t="s">
        <v>6540</v>
      </c>
      <c r="AU330">
        <v>2023</v>
      </c>
      <c r="AV330">
        <v>15</v>
      </c>
      <c r="AW330">
        <v>7</v>
      </c>
      <c r="AX330" t="s">
        <v>74</v>
      </c>
      <c r="AY330" t="s">
        <v>74</v>
      </c>
      <c r="AZ330" t="s">
        <v>74</v>
      </c>
      <c r="BA330" t="s">
        <v>74</v>
      </c>
      <c r="BB330">
        <v>3223</v>
      </c>
      <c r="BC330">
        <v>3242</v>
      </c>
      <c r="BD330" t="s">
        <v>74</v>
      </c>
      <c r="BE330" t="s">
        <v>6612</v>
      </c>
      <c r="BF330" t="str">
        <f>HYPERLINK("http://dx.doi.org/10.5194/essd-15-3223-2023","http://dx.doi.org/10.5194/essd-15-3223-2023")</f>
        <v>http://dx.doi.org/10.5194/essd-15-3223-2023</v>
      </c>
      <c r="BG330" t="s">
        <v>74</v>
      </c>
      <c r="BH330" t="s">
        <v>74</v>
      </c>
      <c r="BI330">
        <v>20</v>
      </c>
      <c r="BJ330" t="s">
        <v>3351</v>
      </c>
      <c r="BK330" t="s">
        <v>104</v>
      </c>
      <c r="BL330" t="s">
        <v>3352</v>
      </c>
      <c r="BM330" t="s">
        <v>6613</v>
      </c>
      <c r="BN330" t="s">
        <v>74</v>
      </c>
      <c r="BO330" t="s">
        <v>771</v>
      </c>
      <c r="BP330" t="s">
        <v>74</v>
      </c>
      <c r="BQ330" t="s">
        <v>74</v>
      </c>
      <c r="BR330" t="s">
        <v>107</v>
      </c>
      <c r="BS330" t="s">
        <v>6614</v>
      </c>
      <c r="BT330" t="str">
        <f>HYPERLINK("https%3A%2F%2Fwww.webofscience.com%2Fwos%2Fwoscc%2Ffull-record%2FWOS:001037013600001","View Full Record in Web of Science")</f>
        <v>View Full Record in Web of Science</v>
      </c>
    </row>
    <row r="331" spans="1:72" x14ac:dyDescent="0.15">
      <c r="A331" t="s">
        <v>72</v>
      </c>
      <c r="B331" t="s">
        <v>6615</v>
      </c>
      <c r="C331" t="s">
        <v>74</v>
      </c>
      <c r="D331" t="s">
        <v>74</v>
      </c>
      <c r="E331" t="s">
        <v>74</v>
      </c>
      <c r="F331" t="s">
        <v>6616</v>
      </c>
      <c r="G331" t="s">
        <v>74</v>
      </c>
      <c r="H331" t="s">
        <v>74</v>
      </c>
      <c r="I331" t="s">
        <v>6617</v>
      </c>
      <c r="J331" t="s">
        <v>6100</v>
      </c>
      <c r="K331" t="s">
        <v>74</v>
      </c>
      <c r="L331" t="s">
        <v>74</v>
      </c>
      <c r="M331" t="s">
        <v>78</v>
      </c>
      <c r="N331" t="s">
        <v>79</v>
      </c>
      <c r="O331" t="s">
        <v>74</v>
      </c>
      <c r="P331" t="s">
        <v>74</v>
      </c>
      <c r="Q331" t="s">
        <v>74</v>
      </c>
      <c r="R331" t="s">
        <v>74</v>
      </c>
      <c r="S331" t="s">
        <v>74</v>
      </c>
      <c r="T331" t="s">
        <v>6618</v>
      </c>
      <c r="U331" t="s">
        <v>6619</v>
      </c>
      <c r="V331" t="s">
        <v>6620</v>
      </c>
      <c r="W331" t="s">
        <v>6621</v>
      </c>
      <c r="X331" t="s">
        <v>6622</v>
      </c>
      <c r="Y331" t="s">
        <v>6623</v>
      </c>
      <c r="Z331" t="s">
        <v>6624</v>
      </c>
      <c r="AA331" t="s">
        <v>74</v>
      </c>
      <c r="AB331" t="s">
        <v>6625</v>
      </c>
      <c r="AC331" t="s">
        <v>6626</v>
      </c>
      <c r="AD331" t="s">
        <v>6627</v>
      </c>
      <c r="AE331" t="s">
        <v>6628</v>
      </c>
      <c r="AF331" t="s">
        <v>74</v>
      </c>
      <c r="AG331">
        <v>127</v>
      </c>
      <c r="AH331">
        <v>0</v>
      </c>
      <c r="AI331">
        <v>0</v>
      </c>
      <c r="AJ331">
        <v>1</v>
      </c>
      <c r="AK331">
        <v>5</v>
      </c>
      <c r="AL331" t="s">
        <v>2305</v>
      </c>
      <c r="AM331" t="s">
        <v>538</v>
      </c>
      <c r="AN331" t="s">
        <v>2306</v>
      </c>
      <c r="AO331" t="s">
        <v>6110</v>
      </c>
      <c r="AP331" t="s">
        <v>6111</v>
      </c>
      <c r="AQ331" t="s">
        <v>74</v>
      </c>
      <c r="AR331" t="s">
        <v>6112</v>
      </c>
      <c r="AS331" t="s">
        <v>6113</v>
      </c>
      <c r="AT331" t="s">
        <v>97</v>
      </c>
      <c r="AU331">
        <v>2023</v>
      </c>
      <c r="AV331">
        <v>199</v>
      </c>
      <c r="AW331" t="s">
        <v>74</v>
      </c>
      <c r="AX331" t="s">
        <v>74</v>
      </c>
      <c r="AY331" t="s">
        <v>74</v>
      </c>
      <c r="AZ331" t="s">
        <v>74</v>
      </c>
      <c r="BA331" t="s">
        <v>74</v>
      </c>
      <c r="BB331" t="s">
        <v>74</v>
      </c>
      <c r="BC331" t="s">
        <v>74</v>
      </c>
      <c r="BD331">
        <v>104109</v>
      </c>
      <c r="BE331" t="s">
        <v>6629</v>
      </c>
      <c r="BF331" t="str">
        <f>HYPERLINK("http://dx.doi.org/10.1016/j.dsr.2023.104109","http://dx.doi.org/10.1016/j.dsr.2023.104109")</f>
        <v>http://dx.doi.org/10.1016/j.dsr.2023.104109</v>
      </c>
      <c r="BG331" t="s">
        <v>74</v>
      </c>
      <c r="BH331" t="s">
        <v>6115</v>
      </c>
      <c r="BI331">
        <v>15</v>
      </c>
      <c r="BJ331" t="s">
        <v>306</v>
      </c>
      <c r="BK331" t="s">
        <v>104</v>
      </c>
      <c r="BL331" t="s">
        <v>306</v>
      </c>
      <c r="BM331" t="s">
        <v>6630</v>
      </c>
      <c r="BN331" t="s">
        <v>74</v>
      </c>
      <c r="BO331" t="s">
        <v>74</v>
      </c>
      <c r="BP331" t="s">
        <v>74</v>
      </c>
      <c r="BQ331" t="s">
        <v>74</v>
      </c>
      <c r="BR331" t="s">
        <v>107</v>
      </c>
      <c r="BS331" t="s">
        <v>6631</v>
      </c>
      <c r="BT331" t="str">
        <f>HYPERLINK("https%3A%2F%2Fwww.webofscience.com%2Fwos%2Fwoscc%2Ffull-record%2FWOS:001055378200001","View Full Record in Web of Science")</f>
        <v>View Full Record in Web of Science</v>
      </c>
    </row>
    <row r="332" spans="1:72" x14ac:dyDescent="0.15">
      <c r="A332" t="s">
        <v>72</v>
      </c>
      <c r="B332" t="s">
        <v>6632</v>
      </c>
      <c r="C332" t="s">
        <v>74</v>
      </c>
      <c r="D332" t="s">
        <v>74</v>
      </c>
      <c r="E332" t="s">
        <v>74</v>
      </c>
      <c r="F332" t="s">
        <v>6633</v>
      </c>
      <c r="G332" t="s">
        <v>74</v>
      </c>
      <c r="H332" t="s">
        <v>74</v>
      </c>
      <c r="I332" t="s">
        <v>6634</v>
      </c>
      <c r="J332" t="s">
        <v>6635</v>
      </c>
      <c r="K332" t="s">
        <v>74</v>
      </c>
      <c r="L332" t="s">
        <v>74</v>
      </c>
      <c r="M332" t="s">
        <v>78</v>
      </c>
      <c r="N332" t="s">
        <v>79</v>
      </c>
      <c r="O332" t="s">
        <v>74</v>
      </c>
      <c r="P332" t="s">
        <v>74</v>
      </c>
      <c r="Q332" t="s">
        <v>74</v>
      </c>
      <c r="R332" t="s">
        <v>74</v>
      </c>
      <c r="S332" t="s">
        <v>74</v>
      </c>
      <c r="T332" t="s">
        <v>6636</v>
      </c>
      <c r="U332" t="s">
        <v>6637</v>
      </c>
      <c r="V332" t="s">
        <v>6638</v>
      </c>
      <c r="W332" t="s">
        <v>6639</v>
      </c>
      <c r="X332" t="s">
        <v>6640</v>
      </c>
      <c r="Y332" t="s">
        <v>6641</v>
      </c>
      <c r="Z332" t="s">
        <v>6642</v>
      </c>
      <c r="AA332" t="s">
        <v>6643</v>
      </c>
      <c r="AB332" t="s">
        <v>6644</v>
      </c>
      <c r="AC332" t="s">
        <v>6645</v>
      </c>
      <c r="AD332" t="s">
        <v>6646</v>
      </c>
      <c r="AE332" t="s">
        <v>6647</v>
      </c>
      <c r="AF332" t="s">
        <v>74</v>
      </c>
      <c r="AG332">
        <v>56</v>
      </c>
      <c r="AH332">
        <v>6</v>
      </c>
      <c r="AI332">
        <v>6</v>
      </c>
      <c r="AJ332">
        <v>4</v>
      </c>
      <c r="AK332">
        <v>13</v>
      </c>
      <c r="AL332" t="s">
        <v>6648</v>
      </c>
      <c r="AM332" t="s">
        <v>589</v>
      </c>
      <c r="AN332" t="s">
        <v>6649</v>
      </c>
      <c r="AO332" t="s">
        <v>6650</v>
      </c>
      <c r="AP332" t="s">
        <v>6651</v>
      </c>
      <c r="AQ332" t="s">
        <v>74</v>
      </c>
      <c r="AR332" t="s">
        <v>6652</v>
      </c>
      <c r="AS332" t="s">
        <v>6653</v>
      </c>
      <c r="AT332" t="s">
        <v>6654</v>
      </c>
      <c r="AU332">
        <v>2023</v>
      </c>
      <c r="AV332">
        <v>120</v>
      </c>
      <c r="AW332">
        <v>30</v>
      </c>
      <c r="AX332" t="s">
        <v>74</v>
      </c>
      <c r="AY332" t="s">
        <v>74</v>
      </c>
      <c r="AZ332" t="s">
        <v>74</v>
      </c>
      <c r="BA332" t="s">
        <v>74</v>
      </c>
      <c r="BB332" t="s">
        <v>74</v>
      </c>
      <c r="BC332" t="s">
        <v>74</v>
      </c>
      <c r="BD332" t="s">
        <v>6655</v>
      </c>
      <c r="BE332" t="s">
        <v>6656</v>
      </c>
      <c r="BF332" t="str">
        <f>HYPERLINK("http://dx.doi.org/10.1073/pnas.2300881120","http://dx.doi.org/10.1073/pnas.2300881120")</f>
        <v>http://dx.doi.org/10.1073/pnas.2300881120</v>
      </c>
      <c r="BG332" t="s">
        <v>74</v>
      </c>
      <c r="BH332" t="s">
        <v>74</v>
      </c>
      <c r="BI332">
        <v>10</v>
      </c>
      <c r="BJ332" t="s">
        <v>1881</v>
      </c>
      <c r="BK332" t="s">
        <v>104</v>
      </c>
      <c r="BL332" t="s">
        <v>1882</v>
      </c>
      <c r="BM332" t="s">
        <v>6657</v>
      </c>
      <c r="BN332">
        <v>37459536</v>
      </c>
      <c r="BO332" t="s">
        <v>1217</v>
      </c>
      <c r="BP332" t="s">
        <v>74</v>
      </c>
      <c r="BQ332" t="s">
        <v>74</v>
      </c>
      <c r="BR332" t="s">
        <v>107</v>
      </c>
      <c r="BS332" t="s">
        <v>6658</v>
      </c>
      <c r="BT332" t="str">
        <f>HYPERLINK("https%3A%2F%2Fwww.webofscience.com%2Fwos%2Fwoscc%2Ffull-record%2FWOS:001051851000001","View Full Record in Web of Science")</f>
        <v>View Full Record in Web of Science</v>
      </c>
    </row>
    <row r="333" spans="1:72" x14ac:dyDescent="0.15">
      <c r="A333" t="s">
        <v>72</v>
      </c>
      <c r="B333" t="s">
        <v>6659</v>
      </c>
      <c r="C333" t="s">
        <v>74</v>
      </c>
      <c r="D333" t="s">
        <v>74</v>
      </c>
      <c r="E333" t="s">
        <v>74</v>
      </c>
      <c r="F333" t="s">
        <v>6660</v>
      </c>
      <c r="G333" t="s">
        <v>74</v>
      </c>
      <c r="H333" t="s">
        <v>74</v>
      </c>
      <c r="I333" t="s">
        <v>6661</v>
      </c>
      <c r="J333" t="s">
        <v>912</v>
      </c>
      <c r="K333" t="s">
        <v>74</v>
      </c>
      <c r="L333" t="s">
        <v>74</v>
      </c>
      <c r="M333" t="s">
        <v>78</v>
      </c>
      <c r="N333" t="s">
        <v>79</v>
      </c>
      <c r="O333" t="s">
        <v>74</v>
      </c>
      <c r="P333" t="s">
        <v>74</v>
      </c>
      <c r="Q333" t="s">
        <v>74</v>
      </c>
      <c r="R333" t="s">
        <v>74</v>
      </c>
      <c r="S333" t="s">
        <v>74</v>
      </c>
      <c r="T333" t="s">
        <v>6662</v>
      </c>
      <c r="U333" t="s">
        <v>6663</v>
      </c>
      <c r="V333" t="s">
        <v>6664</v>
      </c>
      <c r="W333" t="s">
        <v>6665</v>
      </c>
      <c r="X333" t="s">
        <v>6666</v>
      </c>
      <c r="Y333" t="s">
        <v>6667</v>
      </c>
      <c r="Z333" t="s">
        <v>6668</v>
      </c>
      <c r="AA333" t="s">
        <v>6669</v>
      </c>
      <c r="AB333" t="s">
        <v>6670</v>
      </c>
      <c r="AC333" t="s">
        <v>6671</v>
      </c>
      <c r="AD333" t="s">
        <v>6672</v>
      </c>
      <c r="AE333" t="s">
        <v>6673</v>
      </c>
      <c r="AF333" t="s">
        <v>74</v>
      </c>
      <c r="AG333">
        <v>57</v>
      </c>
      <c r="AH333">
        <v>1</v>
      </c>
      <c r="AI333">
        <v>1</v>
      </c>
      <c r="AJ333">
        <v>7</v>
      </c>
      <c r="AK333">
        <v>20</v>
      </c>
      <c r="AL333" t="s">
        <v>924</v>
      </c>
      <c r="AM333" t="s">
        <v>299</v>
      </c>
      <c r="AN333" t="s">
        <v>925</v>
      </c>
      <c r="AO333" t="s">
        <v>926</v>
      </c>
      <c r="AP333" t="s">
        <v>927</v>
      </c>
      <c r="AQ333" t="s">
        <v>74</v>
      </c>
      <c r="AR333" t="s">
        <v>928</v>
      </c>
      <c r="AS333" t="s">
        <v>929</v>
      </c>
      <c r="AT333" t="s">
        <v>3171</v>
      </c>
      <c r="AU333">
        <v>2023</v>
      </c>
      <c r="AV333">
        <v>296</v>
      </c>
      <c r="AW333" t="s">
        <v>74</v>
      </c>
      <c r="AX333" t="s">
        <v>74</v>
      </c>
      <c r="AY333" t="s">
        <v>74</v>
      </c>
      <c r="AZ333" t="s">
        <v>74</v>
      </c>
      <c r="BA333" t="s">
        <v>74</v>
      </c>
      <c r="BB333" t="s">
        <v>74</v>
      </c>
      <c r="BC333" t="s">
        <v>74</v>
      </c>
      <c r="BD333">
        <v>113726</v>
      </c>
      <c r="BE333" t="s">
        <v>6674</v>
      </c>
      <c r="BF333" t="str">
        <f>HYPERLINK("http://dx.doi.org/10.1016/j.rse.2023.113726","http://dx.doi.org/10.1016/j.rse.2023.113726")</f>
        <v>http://dx.doi.org/10.1016/j.rse.2023.113726</v>
      </c>
      <c r="BG333" t="s">
        <v>74</v>
      </c>
      <c r="BH333" t="s">
        <v>6115</v>
      </c>
      <c r="BI333">
        <v>21</v>
      </c>
      <c r="BJ333" t="s">
        <v>933</v>
      </c>
      <c r="BK333" t="s">
        <v>104</v>
      </c>
      <c r="BL333" t="s">
        <v>934</v>
      </c>
      <c r="BM333" t="s">
        <v>6675</v>
      </c>
      <c r="BN333" t="s">
        <v>74</v>
      </c>
      <c r="BO333" t="s">
        <v>74</v>
      </c>
      <c r="BP333" t="s">
        <v>74</v>
      </c>
      <c r="BQ333" t="s">
        <v>74</v>
      </c>
      <c r="BR333" t="s">
        <v>107</v>
      </c>
      <c r="BS333" t="s">
        <v>6676</v>
      </c>
      <c r="BT333" t="str">
        <f>HYPERLINK("https%3A%2F%2Fwww.webofscience.com%2Fwos%2Fwoscc%2Ffull-record%2FWOS:001047351600001","View Full Record in Web of Science")</f>
        <v>View Full Record in Web of Science</v>
      </c>
    </row>
    <row r="334" spans="1:72" x14ac:dyDescent="0.15">
      <c r="A334" t="s">
        <v>72</v>
      </c>
      <c r="B334" t="s">
        <v>6677</v>
      </c>
      <c r="C334" t="s">
        <v>74</v>
      </c>
      <c r="D334" t="s">
        <v>74</v>
      </c>
      <c r="E334" t="s">
        <v>74</v>
      </c>
      <c r="F334" t="s">
        <v>6678</v>
      </c>
      <c r="G334" t="s">
        <v>74</v>
      </c>
      <c r="H334" t="s">
        <v>74</v>
      </c>
      <c r="I334" t="s">
        <v>6679</v>
      </c>
      <c r="J334" t="s">
        <v>912</v>
      </c>
      <c r="K334" t="s">
        <v>74</v>
      </c>
      <c r="L334" t="s">
        <v>74</v>
      </c>
      <c r="M334" t="s">
        <v>78</v>
      </c>
      <c r="N334" t="s">
        <v>79</v>
      </c>
      <c r="O334" t="s">
        <v>74</v>
      </c>
      <c r="P334" t="s">
        <v>74</v>
      </c>
      <c r="Q334" t="s">
        <v>74</v>
      </c>
      <c r="R334" t="s">
        <v>74</v>
      </c>
      <c r="S334" t="s">
        <v>74</v>
      </c>
      <c r="T334" t="s">
        <v>6680</v>
      </c>
      <c r="U334" t="s">
        <v>6681</v>
      </c>
      <c r="V334" t="s">
        <v>6682</v>
      </c>
      <c r="W334" t="s">
        <v>6683</v>
      </c>
      <c r="X334" t="s">
        <v>6684</v>
      </c>
      <c r="Y334" t="s">
        <v>6667</v>
      </c>
      <c r="Z334" t="s">
        <v>6668</v>
      </c>
      <c r="AA334" t="s">
        <v>6685</v>
      </c>
      <c r="AB334" t="s">
        <v>6686</v>
      </c>
      <c r="AC334" t="s">
        <v>6671</v>
      </c>
      <c r="AD334" t="s">
        <v>6672</v>
      </c>
      <c r="AE334" t="s">
        <v>6687</v>
      </c>
      <c r="AF334" t="s">
        <v>74</v>
      </c>
      <c r="AG334">
        <v>60</v>
      </c>
      <c r="AH334">
        <v>5</v>
      </c>
      <c r="AI334">
        <v>5</v>
      </c>
      <c r="AJ334">
        <v>16</v>
      </c>
      <c r="AK334">
        <v>28</v>
      </c>
      <c r="AL334" t="s">
        <v>924</v>
      </c>
      <c r="AM334" t="s">
        <v>299</v>
      </c>
      <c r="AN334" t="s">
        <v>925</v>
      </c>
      <c r="AO334" t="s">
        <v>926</v>
      </c>
      <c r="AP334" t="s">
        <v>927</v>
      </c>
      <c r="AQ334" t="s">
        <v>74</v>
      </c>
      <c r="AR334" t="s">
        <v>928</v>
      </c>
      <c r="AS334" t="s">
        <v>929</v>
      </c>
      <c r="AT334" t="s">
        <v>3171</v>
      </c>
      <c r="AU334">
        <v>2023</v>
      </c>
      <c r="AV334">
        <v>296</v>
      </c>
      <c r="AW334" t="s">
        <v>74</v>
      </c>
      <c r="AX334" t="s">
        <v>74</v>
      </c>
      <c r="AY334" t="s">
        <v>74</v>
      </c>
      <c r="AZ334" t="s">
        <v>74</v>
      </c>
      <c r="BA334" t="s">
        <v>74</v>
      </c>
      <c r="BB334" t="s">
        <v>74</v>
      </c>
      <c r="BC334" t="s">
        <v>74</v>
      </c>
      <c r="BD334">
        <v>113731</v>
      </c>
      <c r="BE334" t="s">
        <v>6688</v>
      </c>
      <c r="BF334" t="str">
        <f>HYPERLINK("http://dx.doi.org/10.1016/j.rse.2023.113731","http://dx.doi.org/10.1016/j.rse.2023.113731")</f>
        <v>http://dx.doi.org/10.1016/j.rse.2023.113731</v>
      </c>
      <c r="BG334" t="s">
        <v>74</v>
      </c>
      <c r="BH334" t="s">
        <v>6115</v>
      </c>
      <c r="BI334">
        <v>16</v>
      </c>
      <c r="BJ334" t="s">
        <v>933</v>
      </c>
      <c r="BK334" t="s">
        <v>104</v>
      </c>
      <c r="BL334" t="s">
        <v>934</v>
      </c>
      <c r="BM334" t="s">
        <v>6689</v>
      </c>
      <c r="BN334" t="s">
        <v>74</v>
      </c>
      <c r="BO334" t="s">
        <v>74</v>
      </c>
      <c r="BP334" t="s">
        <v>74</v>
      </c>
      <c r="BQ334" t="s">
        <v>74</v>
      </c>
      <c r="BR334" t="s">
        <v>107</v>
      </c>
      <c r="BS334" t="s">
        <v>6690</v>
      </c>
      <c r="BT334" t="str">
        <f>HYPERLINK("https%3A%2F%2Fwww.webofscience.com%2Fwos%2Fwoscc%2Ffull-record%2FWOS:001047414400001","View Full Record in Web of Science")</f>
        <v>View Full Record in Web of Science</v>
      </c>
    </row>
    <row r="335" spans="1:72" x14ac:dyDescent="0.15">
      <c r="A335" t="s">
        <v>72</v>
      </c>
      <c r="B335" t="s">
        <v>6691</v>
      </c>
      <c r="C335" t="s">
        <v>74</v>
      </c>
      <c r="D335" t="s">
        <v>74</v>
      </c>
      <c r="E335" t="s">
        <v>74</v>
      </c>
      <c r="F335" t="s">
        <v>6692</v>
      </c>
      <c r="G335" t="s">
        <v>74</v>
      </c>
      <c r="H335" t="s">
        <v>74</v>
      </c>
      <c r="I335" t="s">
        <v>6693</v>
      </c>
      <c r="J335" t="s">
        <v>2629</v>
      </c>
      <c r="K335" t="s">
        <v>74</v>
      </c>
      <c r="L335" t="s">
        <v>74</v>
      </c>
      <c r="M335" t="s">
        <v>78</v>
      </c>
      <c r="N335" t="s">
        <v>79</v>
      </c>
      <c r="O335" t="s">
        <v>74</v>
      </c>
      <c r="P335" t="s">
        <v>74</v>
      </c>
      <c r="Q335" t="s">
        <v>74</v>
      </c>
      <c r="R335" t="s">
        <v>74</v>
      </c>
      <c r="S335" t="s">
        <v>74</v>
      </c>
      <c r="T335" t="s">
        <v>74</v>
      </c>
      <c r="U335" t="s">
        <v>6694</v>
      </c>
      <c r="V335" t="s">
        <v>6695</v>
      </c>
      <c r="W335" t="s">
        <v>6696</v>
      </c>
      <c r="X335" t="s">
        <v>6697</v>
      </c>
      <c r="Y335" t="s">
        <v>6698</v>
      </c>
      <c r="Z335" t="s">
        <v>6699</v>
      </c>
      <c r="AA335" t="s">
        <v>74</v>
      </c>
      <c r="AB335" t="s">
        <v>6700</v>
      </c>
      <c r="AC335" t="s">
        <v>6701</v>
      </c>
      <c r="AD335" t="s">
        <v>6701</v>
      </c>
      <c r="AE335" t="s">
        <v>6702</v>
      </c>
      <c r="AF335" t="s">
        <v>74</v>
      </c>
      <c r="AG335">
        <v>41</v>
      </c>
      <c r="AH335">
        <v>0</v>
      </c>
      <c r="AI335">
        <v>0</v>
      </c>
      <c r="AJ335">
        <v>7</v>
      </c>
      <c r="AK335">
        <v>12</v>
      </c>
      <c r="AL335" t="s">
        <v>172</v>
      </c>
      <c r="AM335" t="s">
        <v>173</v>
      </c>
      <c r="AN335" t="s">
        <v>174</v>
      </c>
      <c r="AO335" t="s">
        <v>2640</v>
      </c>
      <c r="AP335" t="s">
        <v>74</v>
      </c>
      <c r="AQ335" t="s">
        <v>74</v>
      </c>
      <c r="AR335" t="s">
        <v>2641</v>
      </c>
      <c r="AS335" t="s">
        <v>2642</v>
      </c>
      <c r="AT335" t="s">
        <v>3437</v>
      </c>
      <c r="AU335">
        <v>2023</v>
      </c>
      <c r="AV335">
        <v>65</v>
      </c>
      <c r="AW335" t="s">
        <v>74</v>
      </c>
      <c r="AX335" t="s">
        <v>74</v>
      </c>
      <c r="AY335" t="s">
        <v>74</v>
      </c>
      <c r="AZ335" t="s">
        <v>74</v>
      </c>
      <c r="BA335" t="s">
        <v>74</v>
      </c>
      <c r="BB335" t="s">
        <v>74</v>
      </c>
      <c r="BC335" t="s">
        <v>74</v>
      </c>
      <c r="BD335">
        <v>103095</v>
      </c>
      <c r="BE335" t="s">
        <v>6703</v>
      </c>
      <c r="BF335" t="str">
        <f>HYPERLINK("http://dx.doi.org/10.1016/j.rsma.2023.103095","http://dx.doi.org/10.1016/j.rsma.2023.103095")</f>
        <v>http://dx.doi.org/10.1016/j.rsma.2023.103095</v>
      </c>
      <c r="BG335" t="s">
        <v>74</v>
      </c>
      <c r="BH335" t="s">
        <v>6115</v>
      </c>
      <c r="BI335">
        <v>13</v>
      </c>
      <c r="BJ335" t="s">
        <v>1707</v>
      </c>
      <c r="BK335" t="s">
        <v>104</v>
      </c>
      <c r="BL335" t="s">
        <v>1002</v>
      </c>
      <c r="BM335" t="s">
        <v>6704</v>
      </c>
      <c r="BN335" t="s">
        <v>74</v>
      </c>
      <c r="BO335" t="s">
        <v>74</v>
      </c>
      <c r="BP335" t="s">
        <v>74</v>
      </c>
      <c r="BQ335" t="s">
        <v>74</v>
      </c>
      <c r="BR335" t="s">
        <v>107</v>
      </c>
      <c r="BS335" t="s">
        <v>6705</v>
      </c>
      <c r="BT335" t="str">
        <f>HYPERLINK("https%3A%2F%2Fwww.webofscience.com%2Fwos%2Fwoscc%2Ffull-record%2FWOS:001047208300001","View Full Record in Web of Science")</f>
        <v>View Full Record in Web of Science</v>
      </c>
    </row>
    <row r="336" spans="1:72" x14ac:dyDescent="0.15">
      <c r="A336" t="s">
        <v>72</v>
      </c>
      <c r="B336" t="s">
        <v>6706</v>
      </c>
      <c r="C336" t="s">
        <v>74</v>
      </c>
      <c r="D336" t="s">
        <v>74</v>
      </c>
      <c r="E336" t="s">
        <v>74</v>
      </c>
      <c r="F336" t="s">
        <v>6707</v>
      </c>
      <c r="G336" t="s">
        <v>74</v>
      </c>
      <c r="H336" t="s">
        <v>74</v>
      </c>
      <c r="I336" t="s">
        <v>6708</v>
      </c>
      <c r="J336" t="s">
        <v>983</v>
      </c>
      <c r="K336" t="s">
        <v>74</v>
      </c>
      <c r="L336" t="s">
        <v>74</v>
      </c>
      <c r="M336" t="s">
        <v>78</v>
      </c>
      <c r="N336" t="s">
        <v>79</v>
      </c>
      <c r="O336" t="s">
        <v>74</v>
      </c>
      <c r="P336" t="s">
        <v>74</v>
      </c>
      <c r="Q336" t="s">
        <v>74</v>
      </c>
      <c r="R336" t="s">
        <v>74</v>
      </c>
      <c r="S336" t="s">
        <v>74</v>
      </c>
      <c r="T336" t="s">
        <v>6709</v>
      </c>
      <c r="U336" t="s">
        <v>6710</v>
      </c>
      <c r="V336" t="s">
        <v>6711</v>
      </c>
      <c r="W336" t="s">
        <v>6712</v>
      </c>
      <c r="X336" t="s">
        <v>6713</v>
      </c>
      <c r="Y336" t="s">
        <v>6714</v>
      </c>
      <c r="Z336" t="s">
        <v>6715</v>
      </c>
      <c r="AA336" t="s">
        <v>6716</v>
      </c>
      <c r="AB336" t="s">
        <v>6717</v>
      </c>
      <c r="AC336" t="s">
        <v>6718</v>
      </c>
      <c r="AD336" t="s">
        <v>6719</v>
      </c>
      <c r="AE336" t="s">
        <v>6720</v>
      </c>
      <c r="AF336" t="s">
        <v>74</v>
      </c>
      <c r="AG336">
        <v>79</v>
      </c>
      <c r="AH336">
        <v>2</v>
      </c>
      <c r="AI336">
        <v>2</v>
      </c>
      <c r="AJ336">
        <v>1</v>
      </c>
      <c r="AK336">
        <v>3</v>
      </c>
      <c r="AL336" t="s">
        <v>994</v>
      </c>
      <c r="AM336" t="s">
        <v>995</v>
      </c>
      <c r="AN336" t="s">
        <v>996</v>
      </c>
      <c r="AO336" t="s">
        <v>74</v>
      </c>
      <c r="AP336" t="s">
        <v>997</v>
      </c>
      <c r="AQ336" t="s">
        <v>74</v>
      </c>
      <c r="AR336" t="s">
        <v>998</v>
      </c>
      <c r="AS336" t="s">
        <v>999</v>
      </c>
      <c r="AT336" t="s">
        <v>6654</v>
      </c>
      <c r="AU336">
        <v>2023</v>
      </c>
      <c r="AV336">
        <v>10</v>
      </c>
      <c r="AW336" t="s">
        <v>74</v>
      </c>
      <c r="AX336" t="s">
        <v>74</v>
      </c>
      <c r="AY336" t="s">
        <v>74</v>
      </c>
      <c r="AZ336" t="s">
        <v>74</v>
      </c>
      <c r="BA336" t="s">
        <v>74</v>
      </c>
      <c r="BB336" t="s">
        <v>74</v>
      </c>
      <c r="BC336" t="s">
        <v>74</v>
      </c>
      <c r="BD336">
        <v>1231953</v>
      </c>
      <c r="BE336" t="s">
        <v>6721</v>
      </c>
      <c r="BF336" t="str">
        <f>HYPERLINK("http://dx.doi.org/10.3389/fmars.2023.1231953","http://dx.doi.org/10.3389/fmars.2023.1231953")</f>
        <v>http://dx.doi.org/10.3389/fmars.2023.1231953</v>
      </c>
      <c r="BG336" t="s">
        <v>74</v>
      </c>
      <c r="BH336" t="s">
        <v>74</v>
      </c>
      <c r="BI336">
        <v>16</v>
      </c>
      <c r="BJ336" t="s">
        <v>1001</v>
      </c>
      <c r="BK336" t="s">
        <v>104</v>
      </c>
      <c r="BL336" t="s">
        <v>1002</v>
      </c>
      <c r="BM336" t="s">
        <v>6722</v>
      </c>
      <c r="BN336" t="s">
        <v>74</v>
      </c>
      <c r="BO336" t="s">
        <v>206</v>
      </c>
      <c r="BP336" t="s">
        <v>74</v>
      </c>
      <c r="BQ336" t="s">
        <v>74</v>
      </c>
      <c r="BR336" t="s">
        <v>107</v>
      </c>
      <c r="BS336" t="s">
        <v>6723</v>
      </c>
      <c r="BT336" t="str">
        <f>HYPERLINK("https%3A%2F%2Fwww.webofscience.com%2Fwos%2Fwoscc%2Ffull-record%2FWOS:001044015500001","View Full Record in Web of Science")</f>
        <v>View Full Record in Web of Science</v>
      </c>
    </row>
    <row r="337" spans="1:72" x14ac:dyDescent="0.15">
      <c r="A337" t="s">
        <v>72</v>
      </c>
      <c r="B337" t="s">
        <v>6724</v>
      </c>
      <c r="C337" t="s">
        <v>74</v>
      </c>
      <c r="D337" t="s">
        <v>74</v>
      </c>
      <c r="E337" t="s">
        <v>74</v>
      </c>
      <c r="F337" t="s">
        <v>6725</v>
      </c>
      <c r="G337" t="s">
        <v>74</v>
      </c>
      <c r="H337" t="s">
        <v>74</v>
      </c>
      <c r="I337" t="s">
        <v>6726</v>
      </c>
      <c r="J337" t="s">
        <v>983</v>
      </c>
      <c r="K337" t="s">
        <v>74</v>
      </c>
      <c r="L337" t="s">
        <v>74</v>
      </c>
      <c r="M337" t="s">
        <v>78</v>
      </c>
      <c r="N337" t="s">
        <v>79</v>
      </c>
      <c r="O337" t="s">
        <v>74</v>
      </c>
      <c r="P337" t="s">
        <v>74</v>
      </c>
      <c r="Q337" t="s">
        <v>74</v>
      </c>
      <c r="R337" t="s">
        <v>74</v>
      </c>
      <c r="S337" t="s">
        <v>74</v>
      </c>
      <c r="T337" t="s">
        <v>6727</v>
      </c>
      <c r="U337" t="s">
        <v>6728</v>
      </c>
      <c r="V337" t="s">
        <v>6729</v>
      </c>
      <c r="W337" t="s">
        <v>6730</v>
      </c>
      <c r="X337" t="s">
        <v>6731</v>
      </c>
      <c r="Y337" t="s">
        <v>6732</v>
      </c>
      <c r="Z337" t="s">
        <v>6733</v>
      </c>
      <c r="AA337" t="s">
        <v>6734</v>
      </c>
      <c r="AB337" t="s">
        <v>6735</v>
      </c>
      <c r="AC337" t="s">
        <v>74</v>
      </c>
      <c r="AD337" t="s">
        <v>74</v>
      </c>
      <c r="AE337" t="s">
        <v>74</v>
      </c>
      <c r="AF337" t="s">
        <v>74</v>
      </c>
      <c r="AG337">
        <v>107</v>
      </c>
      <c r="AH337">
        <v>0</v>
      </c>
      <c r="AI337">
        <v>0</v>
      </c>
      <c r="AJ337">
        <v>1</v>
      </c>
      <c r="AK337">
        <v>1</v>
      </c>
      <c r="AL337" t="s">
        <v>994</v>
      </c>
      <c r="AM337" t="s">
        <v>995</v>
      </c>
      <c r="AN337" t="s">
        <v>996</v>
      </c>
      <c r="AO337" t="s">
        <v>74</v>
      </c>
      <c r="AP337" t="s">
        <v>997</v>
      </c>
      <c r="AQ337" t="s">
        <v>74</v>
      </c>
      <c r="AR337" t="s">
        <v>998</v>
      </c>
      <c r="AS337" t="s">
        <v>999</v>
      </c>
      <c r="AT337" t="s">
        <v>6654</v>
      </c>
      <c r="AU337">
        <v>2023</v>
      </c>
      <c r="AV337">
        <v>10</v>
      </c>
      <c r="AW337" t="s">
        <v>74</v>
      </c>
      <c r="AX337" t="s">
        <v>74</v>
      </c>
      <c r="AY337" t="s">
        <v>74</v>
      </c>
      <c r="AZ337" t="s">
        <v>74</v>
      </c>
      <c r="BA337" t="s">
        <v>74</v>
      </c>
      <c r="BB337" t="s">
        <v>74</v>
      </c>
      <c r="BC337" t="s">
        <v>74</v>
      </c>
      <c r="BD337">
        <v>1218003</v>
      </c>
      <c r="BE337" t="s">
        <v>6736</v>
      </c>
      <c r="BF337" t="str">
        <f>HYPERLINK("http://dx.doi.org/10.3389/fmars.2023.1218003","http://dx.doi.org/10.3389/fmars.2023.1218003")</f>
        <v>http://dx.doi.org/10.3389/fmars.2023.1218003</v>
      </c>
      <c r="BG337" t="s">
        <v>74</v>
      </c>
      <c r="BH337" t="s">
        <v>74</v>
      </c>
      <c r="BI337">
        <v>18</v>
      </c>
      <c r="BJ337" t="s">
        <v>1001</v>
      </c>
      <c r="BK337" t="s">
        <v>104</v>
      </c>
      <c r="BL337" t="s">
        <v>1002</v>
      </c>
      <c r="BM337" t="s">
        <v>6737</v>
      </c>
      <c r="BN337" t="s">
        <v>74</v>
      </c>
      <c r="BO337" t="s">
        <v>206</v>
      </c>
      <c r="BP337" t="s">
        <v>74</v>
      </c>
      <c r="BQ337" t="s">
        <v>74</v>
      </c>
      <c r="BR337" t="s">
        <v>107</v>
      </c>
      <c r="BS337" t="s">
        <v>6738</v>
      </c>
      <c r="BT337" t="str">
        <f>HYPERLINK("https%3A%2F%2Fwww.webofscience.com%2Fwos%2Fwoscc%2Ffull-record%2FWOS:001043893700001","View Full Record in Web of Science")</f>
        <v>View Full Record in Web of Science</v>
      </c>
    </row>
    <row r="338" spans="1:72" x14ac:dyDescent="0.15">
      <c r="A338" t="s">
        <v>72</v>
      </c>
      <c r="B338" t="s">
        <v>6739</v>
      </c>
      <c r="C338" t="s">
        <v>74</v>
      </c>
      <c r="D338" t="s">
        <v>74</v>
      </c>
      <c r="E338" t="s">
        <v>74</v>
      </c>
      <c r="F338" t="s">
        <v>6740</v>
      </c>
      <c r="G338" t="s">
        <v>74</v>
      </c>
      <c r="H338" t="s">
        <v>74</v>
      </c>
      <c r="I338" t="s">
        <v>6741</v>
      </c>
      <c r="J338" t="s">
        <v>1763</v>
      </c>
      <c r="K338" t="s">
        <v>74</v>
      </c>
      <c r="L338" t="s">
        <v>74</v>
      </c>
      <c r="M338" t="s">
        <v>78</v>
      </c>
      <c r="N338" t="s">
        <v>79</v>
      </c>
      <c r="O338" t="s">
        <v>74</v>
      </c>
      <c r="P338" t="s">
        <v>74</v>
      </c>
      <c r="Q338" t="s">
        <v>74</v>
      </c>
      <c r="R338" t="s">
        <v>74</v>
      </c>
      <c r="S338" t="s">
        <v>74</v>
      </c>
      <c r="T338" t="s">
        <v>74</v>
      </c>
      <c r="U338" t="s">
        <v>6742</v>
      </c>
      <c r="V338" t="s">
        <v>6743</v>
      </c>
      <c r="W338" t="s">
        <v>6744</v>
      </c>
      <c r="X338" t="s">
        <v>6745</v>
      </c>
      <c r="Y338" t="s">
        <v>6746</v>
      </c>
      <c r="Z338" t="s">
        <v>6747</v>
      </c>
      <c r="AA338" t="s">
        <v>6748</v>
      </c>
      <c r="AB338" t="s">
        <v>6749</v>
      </c>
      <c r="AC338" t="s">
        <v>6750</v>
      </c>
      <c r="AD338" t="s">
        <v>74</v>
      </c>
      <c r="AE338" t="s">
        <v>6751</v>
      </c>
      <c r="AF338" t="s">
        <v>74</v>
      </c>
      <c r="AG338">
        <v>107</v>
      </c>
      <c r="AH338">
        <v>0</v>
      </c>
      <c r="AI338">
        <v>0</v>
      </c>
      <c r="AJ338">
        <v>2</v>
      </c>
      <c r="AK338">
        <v>3</v>
      </c>
      <c r="AL338" t="s">
        <v>1775</v>
      </c>
      <c r="AM338" t="s">
        <v>1776</v>
      </c>
      <c r="AN338" t="s">
        <v>1777</v>
      </c>
      <c r="AO338" t="s">
        <v>1778</v>
      </c>
      <c r="AP338" t="s">
        <v>1779</v>
      </c>
      <c r="AQ338" t="s">
        <v>74</v>
      </c>
      <c r="AR338" t="s">
        <v>1763</v>
      </c>
      <c r="AS338" t="s">
        <v>1780</v>
      </c>
      <c r="AT338" t="s">
        <v>6654</v>
      </c>
      <c r="AU338">
        <v>2023</v>
      </c>
      <c r="AV338">
        <v>17</v>
      </c>
      <c r="AW338">
        <v>7</v>
      </c>
      <c r="AX338" t="s">
        <v>74</v>
      </c>
      <c r="AY338" t="s">
        <v>74</v>
      </c>
      <c r="AZ338" t="s">
        <v>74</v>
      </c>
      <c r="BA338" t="s">
        <v>74</v>
      </c>
      <c r="BB338">
        <v>3041</v>
      </c>
      <c r="BC338">
        <v>3062</v>
      </c>
      <c r="BD338" t="s">
        <v>74</v>
      </c>
      <c r="BE338" t="s">
        <v>6752</v>
      </c>
      <c r="BF338" t="str">
        <f>HYPERLINK("http://dx.doi.org/10.5194/tc-17-3041-2023","http://dx.doi.org/10.5194/tc-17-3041-2023")</f>
        <v>http://dx.doi.org/10.5194/tc-17-3041-2023</v>
      </c>
      <c r="BG338" t="s">
        <v>74</v>
      </c>
      <c r="BH338" t="s">
        <v>74</v>
      </c>
      <c r="BI338">
        <v>22</v>
      </c>
      <c r="BJ338" t="s">
        <v>1783</v>
      </c>
      <c r="BK338" t="s">
        <v>104</v>
      </c>
      <c r="BL338" t="s">
        <v>1784</v>
      </c>
      <c r="BM338" t="s">
        <v>6753</v>
      </c>
      <c r="BN338" t="s">
        <v>74</v>
      </c>
      <c r="BO338" t="s">
        <v>6754</v>
      </c>
      <c r="BP338" t="s">
        <v>74</v>
      </c>
      <c r="BQ338" t="s">
        <v>74</v>
      </c>
      <c r="BR338" t="s">
        <v>107</v>
      </c>
      <c r="BS338" t="s">
        <v>6755</v>
      </c>
      <c r="BT338" t="str">
        <f>HYPERLINK("https%3A%2F%2Fwww.webofscience.com%2Fwos%2Fwoscc%2Ffull-record%2FWOS:001033660400001","View Full Record in Web of Science")</f>
        <v>View Full Record in Web of Science</v>
      </c>
    </row>
    <row r="339" spans="1:72" x14ac:dyDescent="0.15">
      <c r="A339" t="s">
        <v>72</v>
      </c>
      <c r="B339" t="s">
        <v>6756</v>
      </c>
      <c r="C339" t="s">
        <v>74</v>
      </c>
      <c r="D339" t="s">
        <v>74</v>
      </c>
      <c r="E339" t="s">
        <v>74</v>
      </c>
      <c r="F339" t="s">
        <v>6757</v>
      </c>
      <c r="G339" t="s">
        <v>74</v>
      </c>
      <c r="H339" t="s">
        <v>74</v>
      </c>
      <c r="I339" t="s">
        <v>6758</v>
      </c>
      <c r="J339" t="s">
        <v>6759</v>
      </c>
      <c r="K339" t="s">
        <v>74</v>
      </c>
      <c r="L339" t="s">
        <v>74</v>
      </c>
      <c r="M339" t="s">
        <v>78</v>
      </c>
      <c r="N339" t="s">
        <v>79</v>
      </c>
      <c r="O339" t="s">
        <v>74</v>
      </c>
      <c r="P339" t="s">
        <v>74</v>
      </c>
      <c r="Q339" t="s">
        <v>74</v>
      </c>
      <c r="R339" t="s">
        <v>74</v>
      </c>
      <c r="S339" t="s">
        <v>74</v>
      </c>
      <c r="T339" t="s">
        <v>6760</v>
      </c>
      <c r="U339" t="s">
        <v>6761</v>
      </c>
      <c r="V339" t="s">
        <v>6762</v>
      </c>
      <c r="W339" t="s">
        <v>6763</v>
      </c>
      <c r="X339" t="s">
        <v>6764</v>
      </c>
      <c r="Y339" t="s">
        <v>6765</v>
      </c>
      <c r="Z339" t="s">
        <v>6766</v>
      </c>
      <c r="AA339" t="s">
        <v>74</v>
      </c>
      <c r="AB339" t="s">
        <v>6767</v>
      </c>
      <c r="AC339" t="s">
        <v>74</v>
      </c>
      <c r="AD339" t="s">
        <v>74</v>
      </c>
      <c r="AE339" t="s">
        <v>74</v>
      </c>
      <c r="AF339" t="s">
        <v>74</v>
      </c>
      <c r="AG339">
        <v>40</v>
      </c>
      <c r="AH339">
        <v>0</v>
      </c>
      <c r="AI339">
        <v>0</v>
      </c>
      <c r="AJ339">
        <v>0</v>
      </c>
      <c r="AK339">
        <v>2</v>
      </c>
      <c r="AL339" t="s">
        <v>6768</v>
      </c>
      <c r="AM339" t="s">
        <v>6769</v>
      </c>
      <c r="AN339" t="s">
        <v>6770</v>
      </c>
      <c r="AO339" t="s">
        <v>6771</v>
      </c>
      <c r="AP339" t="s">
        <v>6772</v>
      </c>
      <c r="AQ339" t="s">
        <v>74</v>
      </c>
      <c r="AR339" t="s">
        <v>6773</v>
      </c>
      <c r="AS339" t="s">
        <v>6774</v>
      </c>
      <c r="AT339" t="s">
        <v>97</v>
      </c>
      <c r="AU339">
        <v>2023</v>
      </c>
      <c r="AV339">
        <v>11</v>
      </c>
      <c r="AW339">
        <v>3</v>
      </c>
      <c r="AX339" t="s">
        <v>74</v>
      </c>
      <c r="AY339" t="s">
        <v>74</v>
      </c>
      <c r="AZ339" t="s">
        <v>74</v>
      </c>
      <c r="BA339" t="s">
        <v>74</v>
      </c>
      <c r="BB339">
        <v>8</v>
      </c>
      <c r="BC339">
        <v>20</v>
      </c>
      <c r="BD339" t="s">
        <v>74</v>
      </c>
      <c r="BE339" t="s">
        <v>6775</v>
      </c>
      <c r="BF339" t="str">
        <f>HYPERLINK("http://dx.doi.org/10.1109/MGRS.2023.3294708","http://dx.doi.org/10.1109/MGRS.2023.3294708")</f>
        <v>http://dx.doi.org/10.1109/MGRS.2023.3294708</v>
      </c>
      <c r="BG339" t="s">
        <v>74</v>
      </c>
      <c r="BH339" t="s">
        <v>6115</v>
      </c>
      <c r="BI339">
        <v>13</v>
      </c>
      <c r="BJ339" t="s">
        <v>6776</v>
      </c>
      <c r="BK339" t="s">
        <v>104</v>
      </c>
      <c r="BL339" t="s">
        <v>6776</v>
      </c>
      <c r="BM339" t="s">
        <v>6777</v>
      </c>
      <c r="BN339" t="s">
        <v>74</v>
      </c>
      <c r="BO339" t="s">
        <v>74</v>
      </c>
      <c r="BP339" t="s">
        <v>74</v>
      </c>
      <c r="BQ339" t="s">
        <v>74</v>
      </c>
      <c r="BR339" t="s">
        <v>107</v>
      </c>
      <c r="BS339" t="s">
        <v>6778</v>
      </c>
      <c r="BT339" t="str">
        <f>HYPERLINK("https%3A%2F%2Fwww.webofscience.com%2Fwos%2Fwoscc%2Ffull-record%2FWOS:001040663300001","View Full Record in Web of Science")</f>
        <v>View Full Record in Web of Science</v>
      </c>
    </row>
    <row r="340" spans="1:72" x14ac:dyDescent="0.15">
      <c r="A340" t="s">
        <v>72</v>
      </c>
      <c r="B340" t="s">
        <v>6779</v>
      </c>
      <c r="C340" t="s">
        <v>74</v>
      </c>
      <c r="D340" t="s">
        <v>74</v>
      </c>
      <c r="E340" t="s">
        <v>74</v>
      </c>
      <c r="F340" t="s">
        <v>6780</v>
      </c>
      <c r="G340" t="s">
        <v>74</v>
      </c>
      <c r="H340" t="s">
        <v>74</v>
      </c>
      <c r="I340" t="s">
        <v>6781</v>
      </c>
      <c r="J340" t="s">
        <v>6275</v>
      </c>
      <c r="K340" t="s">
        <v>74</v>
      </c>
      <c r="L340" t="s">
        <v>74</v>
      </c>
      <c r="M340" t="s">
        <v>78</v>
      </c>
      <c r="N340" t="s">
        <v>79</v>
      </c>
      <c r="O340" t="s">
        <v>74</v>
      </c>
      <c r="P340" t="s">
        <v>74</v>
      </c>
      <c r="Q340" t="s">
        <v>74</v>
      </c>
      <c r="R340" t="s">
        <v>74</v>
      </c>
      <c r="S340" t="s">
        <v>74</v>
      </c>
      <c r="T340" t="s">
        <v>6782</v>
      </c>
      <c r="U340" t="s">
        <v>6783</v>
      </c>
      <c r="V340" t="s">
        <v>6784</v>
      </c>
      <c r="W340" t="s">
        <v>6785</v>
      </c>
      <c r="X340" t="s">
        <v>6786</v>
      </c>
      <c r="Y340" t="s">
        <v>6787</v>
      </c>
      <c r="Z340" t="s">
        <v>6788</v>
      </c>
      <c r="AA340" t="s">
        <v>6789</v>
      </c>
      <c r="AB340" t="s">
        <v>6790</v>
      </c>
      <c r="AC340" t="s">
        <v>6791</v>
      </c>
      <c r="AD340" t="s">
        <v>6792</v>
      </c>
      <c r="AE340" t="s">
        <v>6793</v>
      </c>
      <c r="AF340" t="s">
        <v>74</v>
      </c>
      <c r="AG340">
        <v>38</v>
      </c>
      <c r="AH340">
        <v>0</v>
      </c>
      <c r="AI340">
        <v>0</v>
      </c>
      <c r="AJ340">
        <v>4</v>
      </c>
      <c r="AK340">
        <v>8</v>
      </c>
      <c r="AL340" t="s">
        <v>298</v>
      </c>
      <c r="AM340" t="s">
        <v>299</v>
      </c>
      <c r="AN340" t="s">
        <v>300</v>
      </c>
      <c r="AO340" t="s">
        <v>6289</v>
      </c>
      <c r="AP340" t="s">
        <v>74</v>
      </c>
      <c r="AQ340" t="s">
        <v>74</v>
      </c>
      <c r="AR340" t="s">
        <v>6290</v>
      </c>
      <c r="AS340" t="s">
        <v>6291</v>
      </c>
      <c r="AT340" t="s">
        <v>6654</v>
      </c>
      <c r="AU340">
        <v>2023</v>
      </c>
      <c r="AV340">
        <v>10</v>
      </c>
      <c r="AW340">
        <v>1</v>
      </c>
      <c r="AX340" t="s">
        <v>74</v>
      </c>
      <c r="AY340" t="s">
        <v>74</v>
      </c>
      <c r="AZ340" t="s">
        <v>74</v>
      </c>
      <c r="BA340" t="s">
        <v>74</v>
      </c>
      <c r="BB340" t="s">
        <v>74</v>
      </c>
      <c r="BC340" t="s">
        <v>74</v>
      </c>
      <c r="BD340">
        <v>32</v>
      </c>
      <c r="BE340" t="s">
        <v>6794</v>
      </c>
      <c r="BF340" t="str">
        <f>HYPERLINK("http://dx.doi.org/10.1186/s40562-023-00288-5","http://dx.doi.org/10.1186/s40562-023-00288-5")</f>
        <v>http://dx.doi.org/10.1186/s40562-023-00288-5</v>
      </c>
      <c r="BG340" t="s">
        <v>74</v>
      </c>
      <c r="BH340" t="s">
        <v>74</v>
      </c>
      <c r="BI340">
        <v>10</v>
      </c>
      <c r="BJ340" t="s">
        <v>3351</v>
      </c>
      <c r="BK340" t="s">
        <v>104</v>
      </c>
      <c r="BL340" t="s">
        <v>3352</v>
      </c>
      <c r="BM340" t="s">
        <v>6795</v>
      </c>
      <c r="BN340" t="s">
        <v>74</v>
      </c>
      <c r="BO340" t="s">
        <v>206</v>
      </c>
      <c r="BP340" t="s">
        <v>74</v>
      </c>
      <c r="BQ340" t="s">
        <v>74</v>
      </c>
      <c r="BR340" t="s">
        <v>107</v>
      </c>
      <c r="BS340" t="s">
        <v>6796</v>
      </c>
      <c r="BT340" t="str">
        <f>HYPERLINK("https%3A%2F%2Fwww.webofscience.com%2Fwos%2Fwoscc%2Ffull-record%2FWOS:001036801600001","View Full Record in Web of Science")</f>
        <v>View Full Record in Web of Science</v>
      </c>
    </row>
    <row r="341" spans="1:72" x14ac:dyDescent="0.15">
      <c r="A341" t="s">
        <v>72</v>
      </c>
      <c r="B341" t="s">
        <v>6797</v>
      </c>
      <c r="C341" t="s">
        <v>74</v>
      </c>
      <c r="D341" t="s">
        <v>74</v>
      </c>
      <c r="E341" t="s">
        <v>74</v>
      </c>
      <c r="F341" t="s">
        <v>6798</v>
      </c>
      <c r="G341" t="s">
        <v>74</v>
      </c>
      <c r="H341" t="s">
        <v>74</v>
      </c>
      <c r="I341" t="s">
        <v>6799</v>
      </c>
      <c r="J341" t="s">
        <v>6800</v>
      </c>
      <c r="K341" t="s">
        <v>74</v>
      </c>
      <c r="L341" t="s">
        <v>74</v>
      </c>
      <c r="M341" t="s">
        <v>78</v>
      </c>
      <c r="N341" t="s">
        <v>6276</v>
      </c>
      <c r="O341" t="s">
        <v>74</v>
      </c>
      <c r="P341" t="s">
        <v>74</v>
      </c>
      <c r="Q341" t="s">
        <v>74</v>
      </c>
      <c r="R341" t="s">
        <v>74</v>
      </c>
      <c r="S341" t="s">
        <v>74</v>
      </c>
      <c r="T341" t="s">
        <v>6801</v>
      </c>
      <c r="U341" t="s">
        <v>6802</v>
      </c>
      <c r="V341" t="s">
        <v>6803</v>
      </c>
      <c r="W341" t="s">
        <v>6804</v>
      </c>
      <c r="X341" t="s">
        <v>4502</v>
      </c>
      <c r="Y341" t="s">
        <v>6805</v>
      </c>
      <c r="Z341" t="s">
        <v>6806</v>
      </c>
      <c r="AA341" t="s">
        <v>6807</v>
      </c>
      <c r="AB341" t="s">
        <v>74</v>
      </c>
      <c r="AC341" t="s">
        <v>74</v>
      </c>
      <c r="AD341" t="s">
        <v>74</v>
      </c>
      <c r="AE341" t="s">
        <v>74</v>
      </c>
      <c r="AF341" t="s">
        <v>74</v>
      </c>
      <c r="AG341">
        <v>48</v>
      </c>
      <c r="AH341">
        <v>0</v>
      </c>
      <c r="AI341">
        <v>0</v>
      </c>
      <c r="AJ341">
        <v>1</v>
      </c>
      <c r="AK341">
        <v>3</v>
      </c>
      <c r="AL341" t="s">
        <v>537</v>
      </c>
      <c r="AM341" t="s">
        <v>538</v>
      </c>
      <c r="AN341" t="s">
        <v>539</v>
      </c>
      <c r="AO341" t="s">
        <v>6808</v>
      </c>
      <c r="AP341" t="s">
        <v>6809</v>
      </c>
      <c r="AQ341" t="s">
        <v>74</v>
      </c>
      <c r="AR341" t="s">
        <v>6810</v>
      </c>
      <c r="AS341" t="s">
        <v>6811</v>
      </c>
      <c r="AT341" t="s">
        <v>3885</v>
      </c>
      <c r="AU341">
        <v>2023</v>
      </c>
      <c r="AV341">
        <v>80</v>
      </c>
      <c r="AW341">
        <v>6</v>
      </c>
      <c r="AX341" t="s">
        <v>74</v>
      </c>
      <c r="AY341" t="s">
        <v>74</v>
      </c>
      <c r="AZ341" t="s">
        <v>74</v>
      </c>
      <c r="BA341" t="s">
        <v>74</v>
      </c>
      <c r="BB341">
        <v>1820</v>
      </c>
      <c r="BC341">
        <v>1826</v>
      </c>
      <c r="BD341" t="s">
        <v>6812</v>
      </c>
      <c r="BE341" t="s">
        <v>6813</v>
      </c>
      <c r="BF341" t="str">
        <f>HYPERLINK("http://dx.doi.org/10.1093/icesjms/fsad119","http://dx.doi.org/10.1093/icesjms/fsad119")</f>
        <v>http://dx.doi.org/10.1093/icesjms/fsad119</v>
      </c>
      <c r="BG341" t="s">
        <v>74</v>
      </c>
      <c r="BH341" t="s">
        <v>6115</v>
      </c>
      <c r="BI341">
        <v>7</v>
      </c>
      <c r="BJ341" t="s">
        <v>2771</v>
      </c>
      <c r="BK341" t="s">
        <v>104</v>
      </c>
      <c r="BL341" t="s">
        <v>2771</v>
      </c>
      <c r="BM341" t="s">
        <v>6814</v>
      </c>
      <c r="BN341" t="s">
        <v>74</v>
      </c>
      <c r="BO341" t="s">
        <v>206</v>
      </c>
      <c r="BP341" t="s">
        <v>74</v>
      </c>
      <c r="BQ341" t="s">
        <v>74</v>
      </c>
      <c r="BR341" t="s">
        <v>107</v>
      </c>
      <c r="BS341" t="s">
        <v>6815</v>
      </c>
      <c r="BT341" t="str">
        <f>HYPERLINK("https%3A%2F%2Fwww.webofscience.com%2Fwos%2Fwoscc%2Ffull-record%2FWOS:001036133900001","View Full Record in Web of Science")</f>
        <v>View Full Record in Web of Science</v>
      </c>
    </row>
    <row r="342" spans="1:72" x14ac:dyDescent="0.15">
      <c r="A342" t="s">
        <v>72</v>
      </c>
      <c r="B342" t="s">
        <v>6816</v>
      </c>
      <c r="C342" t="s">
        <v>74</v>
      </c>
      <c r="D342" t="s">
        <v>74</v>
      </c>
      <c r="E342" t="s">
        <v>74</v>
      </c>
      <c r="F342" t="s">
        <v>6817</v>
      </c>
      <c r="G342" t="s">
        <v>74</v>
      </c>
      <c r="H342" t="s">
        <v>74</v>
      </c>
      <c r="I342" t="s">
        <v>6818</v>
      </c>
      <c r="J342" t="s">
        <v>6819</v>
      </c>
      <c r="K342" t="s">
        <v>74</v>
      </c>
      <c r="L342" t="s">
        <v>74</v>
      </c>
      <c r="M342" t="s">
        <v>78</v>
      </c>
      <c r="N342" t="s">
        <v>79</v>
      </c>
      <c r="O342" t="s">
        <v>74</v>
      </c>
      <c r="P342" t="s">
        <v>74</v>
      </c>
      <c r="Q342" t="s">
        <v>74</v>
      </c>
      <c r="R342" t="s">
        <v>74</v>
      </c>
      <c r="S342" t="s">
        <v>74</v>
      </c>
      <c r="T342" t="s">
        <v>6820</v>
      </c>
      <c r="U342" t="s">
        <v>6821</v>
      </c>
      <c r="V342" t="s">
        <v>6822</v>
      </c>
      <c r="W342" t="s">
        <v>6823</v>
      </c>
      <c r="X342" t="s">
        <v>6824</v>
      </c>
      <c r="Y342" t="s">
        <v>6825</v>
      </c>
      <c r="Z342" t="s">
        <v>6826</v>
      </c>
      <c r="AA342" t="s">
        <v>6827</v>
      </c>
      <c r="AB342" t="s">
        <v>6828</v>
      </c>
      <c r="AC342" t="s">
        <v>6829</v>
      </c>
      <c r="AD342" t="s">
        <v>6830</v>
      </c>
      <c r="AE342" t="s">
        <v>6831</v>
      </c>
      <c r="AF342" t="s">
        <v>74</v>
      </c>
      <c r="AG342">
        <v>92</v>
      </c>
      <c r="AH342">
        <v>1</v>
      </c>
      <c r="AI342">
        <v>1</v>
      </c>
      <c r="AJ342">
        <v>3</v>
      </c>
      <c r="AK342">
        <v>5</v>
      </c>
      <c r="AL342" t="s">
        <v>460</v>
      </c>
      <c r="AM342" t="s">
        <v>461</v>
      </c>
      <c r="AN342" t="s">
        <v>6832</v>
      </c>
      <c r="AO342" t="s">
        <v>74</v>
      </c>
      <c r="AP342" t="s">
        <v>6833</v>
      </c>
      <c r="AQ342" t="s">
        <v>74</v>
      </c>
      <c r="AR342" t="s">
        <v>6834</v>
      </c>
      <c r="AS342" t="s">
        <v>6835</v>
      </c>
      <c r="AT342" t="s">
        <v>4781</v>
      </c>
      <c r="AU342">
        <v>2024</v>
      </c>
      <c r="AV342">
        <v>10</v>
      </c>
      <c r="AW342">
        <v>1</v>
      </c>
      <c r="AX342" t="s">
        <v>74</v>
      </c>
      <c r="AY342" t="s">
        <v>74</v>
      </c>
      <c r="AZ342" t="s">
        <v>74</v>
      </c>
      <c r="BA342" t="s">
        <v>74</v>
      </c>
      <c r="BB342">
        <v>72</v>
      </c>
      <c r="BC342">
        <v>90</v>
      </c>
      <c r="BD342" t="s">
        <v>74</v>
      </c>
      <c r="BE342" t="s">
        <v>6836</v>
      </c>
      <c r="BF342" t="str">
        <f>HYPERLINK("http://dx.doi.org/10.1002/rse2.358","http://dx.doi.org/10.1002/rse2.358")</f>
        <v>http://dx.doi.org/10.1002/rse2.358</v>
      </c>
      <c r="BG342" t="s">
        <v>74</v>
      </c>
      <c r="BH342" t="s">
        <v>6115</v>
      </c>
      <c r="BI342">
        <v>19</v>
      </c>
      <c r="BJ342" t="s">
        <v>6837</v>
      </c>
      <c r="BK342" t="s">
        <v>104</v>
      </c>
      <c r="BL342" t="s">
        <v>6838</v>
      </c>
      <c r="BM342" t="s">
        <v>6839</v>
      </c>
      <c r="BN342" t="s">
        <v>74</v>
      </c>
      <c r="BO342" t="s">
        <v>821</v>
      </c>
      <c r="BP342" t="s">
        <v>74</v>
      </c>
      <c r="BQ342" t="s">
        <v>74</v>
      </c>
      <c r="BR342" t="s">
        <v>107</v>
      </c>
      <c r="BS342" t="s">
        <v>6840</v>
      </c>
      <c r="BT342" t="str">
        <f>HYPERLINK("https%3A%2F%2Fwww.webofscience.com%2Fwos%2Fwoscc%2Ffull-record%2FWOS:001035267800001","View Full Record in Web of Science")</f>
        <v>View Full Record in Web of Science</v>
      </c>
    </row>
    <row r="343" spans="1:72" x14ac:dyDescent="0.15">
      <c r="A343" t="s">
        <v>72</v>
      </c>
      <c r="B343" t="s">
        <v>6841</v>
      </c>
      <c r="C343" t="s">
        <v>74</v>
      </c>
      <c r="D343" t="s">
        <v>74</v>
      </c>
      <c r="E343" t="s">
        <v>74</v>
      </c>
      <c r="F343" t="s">
        <v>6842</v>
      </c>
      <c r="G343" t="s">
        <v>74</v>
      </c>
      <c r="H343" t="s">
        <v>74</v>
      </c>
      <c r="I343" t="s">
        <v>6843</v>
      </c>
      <c r="J343" t="s">
        <v>6844</v>
      </c>
      <c r="K343" t="s">
        <v>74</v>
      </c>
      <c r="L343" t="s">
        <v>74</v>
      </c>
      <c r="M343" t="s">
        <v>78</v>
      </c>
      <c r="N343" t="s">
        <v>79</v>
      </c>
      <c r="O343" t="s">
        <v>74</v>
      </c>
      <c r="P343" t="s">
        <v>74</v>
      </c>
      <c r="Q343" t="s">
        <v>74</v>
      </c>
      <c r="R343" t="s">
        <v>74</v>
      </c>
      <c r="S343" t="s">
        <v>74</v>
      </c>
      <c r="T343" t="s">
        <v>6845</v>
      </c>
      <c r="U343" t="s">
        <v>6846</v>
      </c>
      <c r="V343" t="s">
        <v>6847</v>
      </c>
      <c r="W343" t="s">
        <v>6848</v>
      </c>
      <c r="X343" t="s">
        <v>6849</v>
      </c>
      <c r="Y343" t="s">
        <v>6850</v>
      </c>
      <c r="Z343" t="s">
        <v>6851</v>
      </c>
      <c r="AA343" t="s">
        <v>74</v>
      </c>
      <c r="AB343" t="s">
        <v>6852</v>
      </c>
      <c r="AC343" t="s">
        <v>6853</v>
      </c>
      <c r="AD343" t="s">
        <v>6853</v>
      </c>
      <c r="AE343" t="s">
        <v>6854</v>
      </c>
      <c r="AF343" t="s">
        <v>74</v>
      </c>
      <c r="AG343">
        <v>63</v>
      </c>
      <c r="AH343">
        <v>0</v>
      </c>
      <c r="AI343">
        <v>0</v>
      </c>
      <c r="AJ343">
        <v>5</v>
      </c>
      <c r="AK343">
        <v>6</v>
      </c>
      <c r="AL343" t="s">
        <v>3672</v>
      </c>
      <c r="AM343" t="s">
        <v>538</v>
      </c>
      <c r="AN343" t="s">
        <v>3673</v>
      </c>
      <c r="AO343" t="s">
        <v>6855</v>
      </c>
      <c r="AP343" t="s">
        <v>6856</v>
      </c>
      <c r="AQ343" t="s">
        <v>74</v>
      </c>
      <c r="AR343" t="s">
        <v>6857</v>
      </c>
      <c r="AS343" t="s">
        <v>6858</v>
      </c>
      <c r="AT343" t="s">
        <v>97</v>
      </c>
      <c r="AU343">
        <v>2023</v>
      </c>
      <c r="AV343">
        <v>155</v>
      </c>
      <c r="AW343" t="s">
        <v>74</v>
      </c>
      <c r="AX343" t="s">
        <v>74</v>
      </c>
      <c r="AY343" t="s">
        <v>74</v>
      </c>
      <c r="AZ343" t="s">
        <v>74</v>
      </c>
      <c r="BA343" t="s">
        <v>74</v>
      </c>
      <c r="BB343" t="s">
        <v>74</v>
      </c>
      <c r="BC343" t="s">
        <v>74</v>
      </c>
      <c r="BD343">
        <v>105776</v>
      </c>
      <c r="BE343" t="s">
        <v>6859</v>
      </c>
      <c r="BF343" t="str">
        <f>HYPERLINK("http://dx.doi.org/10.1016/j.marpol.2023.105776","http://dx.doi.org/10.1016/j.marpol.2023.105776")</f>
        <v>http://dx.doi.org/10.1016/j.marpol.2023.105776</v>
      </c>
      <c r="BG343" t="s">
        <v>74</v>
      </c>
      <c r="BH343" t="s">
        <v>6115</v>
      </c>
      <c r="BI343">
        <v>14</v>
      </c>
      <c r="BJ343" t="s">
        <v>6860</v>
      </c>
      <c r="BK343" t="s">
        <v>6861</v>
      </c>
      <c r="BL343" t="s">
        <v>6862</v>
      </c>
      <c r="BM343" t="s">
        <v>6863</v>
      </c>
      <c r="BN343" t="s">
        <v>74</v>
      </c>
      <c r="BO343" t="s">
        <v>549</v>
      </c>
      <c r="BP343" t="s">
        <v>74</v>
      </c>
      <c r="BQ343" t="s">
        <v>74</v>
      </c>
      <c r="BR343" t="s">
        <v>107</v>
      </c>
      <c r="BS343" t="s">
        <v>6864</v>
      </c>
      <c r="BT343" t="str">
        <f>HYPERLINK("https%3A%2F%2Fwww.webofscience.com%2Fwos%2Fwoscc%2Ffull-record%2FWOS:001048944000001","View Full Record in Web of Science")</f>
        <v>View Full Record in Web of Science</v>
      </c>
    </row>
    <row r="344" spans="1:72" x14ac:dyDescent="0.15">
      <c r="A344" t="s">
        <v>72</v>
      </c>
      <c r="B344" t="s">
        <v>6865</v>
      </c>
      <c r="C344" t="s">
        <v>74</v>
      </c>
      <c r="D344" t="s">
        <v>74</v>
      </c>
      <c r="E344" t="s">
        <v>74</v>
      </c>
      <c r="F344" t="s">
        <v>6866</v>
      </c>
      <c r="G344" t="s">
        <v>74</v>
      </c>
      <c r="H344" t="s">
        <v>74</v>
      </c>
      <c r="I344" t="s">
        <v>6867</v>
      </c>
      <c r="J344" t="s">
        <v>1820</v>
      </c>
      <c r="K344" t="s">
        <v>74</v>
      </c>
      <c r="L344" t="s">
        <v>74</v>
      </c>
      <c r="M344" t="s">
        <v>78</v>
      </c>
      <c r="N344" t="s">
        <v>79</v>
      </c>
      <c r="O344" t="s">
        <v>74</v>
      </c>
      <c r="P344" t="s">
        <v>74</v>
      </c>
      <c r="Q344" t="s">
        <v>74</v>
      </c>
      <c r="R344" t="s">
        <v>74</v>
      </c>
      <c r="S344" t="s">
        <v>74</v>
      </c>
      <c r="T344" t="s">
        <v>6868</v>
      </c>
      <c r="U344" t="s">
        <v>6869</v>
      </c>
      <c r="V344" t="s">
        <v>6870</v>
      </c>
      <c r="W344" t="s">
        <v>6871</v>
      </c>
      <c r="X344" t="s">
        <v>6872</v>
      </c>
      <c r="Y344" t="s">
        <v>6873</v>
      </c>
      <c r="Z344" t="s">
        <v>6874</v>
      </c>
      <c r="AA344" t="s">
        <v>74</v>
      </c>
      <c r="AB344" t="s">
        <v>6875</v>
      </c>
      <c r="AC344" t="s">
        <v>6876</v>
      </c>
      <c r="AD344" t="s">
        <v>6877</v>
      </c>
      <c r="AE344" t="s">
        <v>6878</v>
      </c>
      <c r="AF344" t="s">
        <v>74</v>
      </c>
      <c r="AG344">
        <v>104</v>
      </c>
      <c r="AH344">
        <v>2</v>
      </c>
      <c r="AI344">
        <v>2</v>
      </c>
      <c r="AJ344">
        <v>9</v>
      </c>
      <c r="AK344">
        <v>14</v>
      </c>
      <c r="AL344" t="s">
        <v>994</v>
      </c>
      <c r="AM344" t="s">
        <v>995</v>
      </c>
      <c r="AN344" t="s">
        <v>996</v>
      </c>
      <c r="AO344" t="s">
        <v>74</v>
      </c>
      <c r="AP344" t="s">
        <v>1833</v>
      </c>
      <c r="AQ344" t="s">
        <v>74</v>
      </c>
      <c r="AR344" t="s">
        <v>1834</v>
      </c>
      <c r="AS344" t="s">
        <v>1835</v>
      </c>
      <c r="AT344" t="s">
        <v>6879</v>
      </c>
      <c r="AU344">
        <v>2023</v>
      </c>
      <c r="AV344">
        <v>14</v>
      </c>
      <c r="AW344" t="s">
        <v>74</v>
      </c>
      <c r="AX344" t="s">
        <v>74</v>
      </c>
      <c r="AY344" t="s">
        <v>74</v>
      </c>
      <c r="AZ344" t="s">
        <v>74</v>
      </c>
      <c r="BA344" t="s">
        <v>74</v>
      </c>
      <c r="BB344" t="s">
        <v>74</v>
      </c>
      <c r="BC344" t="s">
        <v>74</v>
      </c>
      <c r="BD344">
        <v>1203216</v>
      </c>
      <c r="BE344" t="s">
        <v>6880</v>
      </c>
      <c r="BF344" t="str">
        <f>HYPERLINK("http://dx.doi.org/10.3389/fmicb.2023.1203216","http://dx.doi.org/10.3389/fmicb.2023.1203216")</f>
        <v>http://dx.doi.org/10.3389/fmicb.2023.1203216</v>
      </c>
      <c r="BG344" t="s">
        <v>74</v>
      </c>
      <c r="BH344" t="s">
        <v>74</v>
      </c>
      <c r="BI344">
        <v>14</v>
      </c>
      <c r="BJ344" t="s">
        <v>702</v>
      </c>
      <c r="BK344" t="s">
        <v>104</v>
      </c>
      <c r="BL344" t="s">
        <v>702</v>
      </c>
      <c r="BM344" t="s">
        <v>6881</v>
      </c>
      <c r="BN344">
        <v>37555066</v>
      </c>
      <c r="BO344" t="s">
        <v>821</v>
      </c>
      <c r="BP344" t="s">
        <v>74</v>
      </c>
      <c r="BQ344" t="s">
        <v>74</v>
      </c>
      <c r="BR344" t="s">
        <v>107</v>
      </c>
      <c r="BS344" t="s">
        <v>6882</v>
      </c>
      <c r="BT344" t="str">
        <f>HYPERLINK("https%3A%2F%2Fwww.webofscience.com%2Fwos%2Fwoscc%2Ffull-record%2FWOS:001043401100001","View Full Record in Web of Science")</f>
        <v>View Full Record in Web of Science</v>
      </c>
    </row>
    <row r="345" spans="1:72" x14ac:dyDescent="0.15">
      <c r="A345" t="s">
        <v>72</v>
      </c>
      <c r="B345" t="s">
        <v>6883</v>
      </c>
      <c r="C345" t="s">
        <v>74</v>
      </c>
      <c r="D345" t="s">
        <v>74</v>
      </c>
      <c r="E345" t="s">
        <v>74</v>
      </c>
      <c r="F345" t="s">
        <v>6884</v>
      </c>
      <c r="G345" t="s">
        <v>74</v>
      </c>
      <c r="H345" t="s">
        <v>74</v>
      </c>
      <c r="I345" t="s">
        <v>6885</v>
      </c>
      <c r="J345" t="s">
        <v>6886</v>
      </c>
      <c r="K345" t="s">
        <v>74</v>
      </c>
      <c r="L345" t="s">
        <v>74</v>
      </c>
      <c r="M345" t="s">
        <v>78</v>
      </c>
      <c r="N345" t="s">
        <v>79</v>
      </c>
      <c r="O345" t="s">
        <v>74</v>
      </c>
      <c r="P345" t="s">
        <v>74</v>
      </c>
      <c r="Q345" t="s">
        <v>74</v>
      </c>
      <c r="R345" t="s">
        <v>74</v>
      </c>
      <c r="S345" t="s">
        <v>74</v>
      </c>
      <c r="T345" t="s">
        <v>74</v>
      </c>
      <c r="U345" t="s">
        <v>6887</v>
      </c>
      <c r="V345" t="s">
        <v>6888</v>
      </c>
      <c r="W345" t="s">
        <v>6889</v>
      </c>
      <c r="X345" t="s">
        <v>6890</v>
      </c>
      <c r="Y345" t="s">
        <v>6891</v>
      </c>
      <c r="Z345" t="s">
        <v>6892</v>
      </c>
      <c r="AA345" t="s">
        <v>6893</v>
      </c>
      <c r="AB345" t="s">
        <v>6894</v>
      </c>
      <c r="AC345" t="s">
        <v>6895</v>
      </c>
      <c r="AD345" t="s">
        <v>6896</v>
      </c>
      <c r="AE345" t="s">
        <v>6897</v>
      </c>
      <c r="AF345" t="s">
        <v>74</v>
      </c>
      <c r="AG345">
        <v>43</v>
      </c>
      <c r="AH345">
        <v>8</v>
      </c>
      <c r="AI345">
        <v>9</v>
      </c>
      <c r="AJ345">
        <v>47</v>
      </c>
      <c r="AK345">
        <v>80</v>
      </c>
      <c r="AL345" t="s">
        <v>146</v>
      </c>
      <c r="AM345" t="s">
        <v>147</v>
      </c>
      <c r="AN345" t="s">
        <v>148</v>
      </c>
      <c r="AO345" t="s">
        <v>6898</v>
      </c>
      <c r="AP345" t="s">
        <v>74</v>
      </c>
      <c r="AQ345" t="s">
        <v>74</v>
      </c>
      <c r="AR345" t="s">
        <v>6899</v>
      </c>
      <c r="AS345" t="s">
        <v>6900</v>
      </c>
      <c r="AT345" t="s">
        <v>4689</v>
      </c>
      <c r="AU345">
        <v>2023</v>
      </c>
      <c r="AV345">
        <v>8</v>
      </c>
      <c r="AW345">
        <v>8</v>
      </c>
      <c r="AX345" t="s">
        <v>74</v>
      </c>
      <c r="AY345" t="s">
        <v>74</v>
      </c>
      <c r="AZ345" t="s">
        <v>74</v>
      </c>
      <c r="BA345" t="s">
        <v>74</v>
      </c>
      <c r="BB345">
        <v>870</v>
      </c>
      <c r="BC345">
        <v>880</v>
      </c>
      <c r="BD345" t="s">
        <v>74</v>
      </c>
      <c r="BE345" t="s">
        <v>6901</v>
      </c>
      <c r="BF345" t="str">
        <f>HYPERLINK("http://dx.doi.org/10.1038/s41560-023-01304-w","http://dx.doi.org/10.1038/s41560-023-01304-w")</f>
        <v>http://dx.doi.org/10.1038/s41560-023-01304-w</v>
      </c>
      <c r="BG345" t="s">
        <v>74</v>
      </c>
      <c r="BH345" t="s">
        <v>6115</v>
      </c>
      <c r="BI345">
        <v>11</v>
      </c>
      <c r="BJ345" t="s">
        <v>6902</v>
      </c>
      <c r="BK345" t="s">
        <v>104</v>
      </c>
      <c r="BL345" t="s">
        <v>6903</v>
      </c>
      <c r="BM345" t="s">
        <v>6904</v>
      </c>
      <c r="BN345" t="s">
        <v>74</v>
      </c>
      <c r="BO345" t="s">
        <v>1217</v>
      </c>
      <c r="BP345" t="s">
        <v>74</v>
      </c>
      <c r="BQ345" t="s">
        <v>74</v>
      </c>
      <c r="BR345" t="s">
        <v>107</v>
      </c>
      <c r="BS345" t="s">
        <v>6905</v>
      </c>
      <c r="BT345" t="str">
        <f>HYPERLINK("https%3A%2F%2Fwww.webofscience.com%2Fwos%2Fwoscc%2Ffull-record%2FWOS:001034458400001","View Full Record in Web of Science")</f>
        <v>View Full Record in Web of Science</v>
      </c>
    </row>
    <row r="346" spans="1:72" x14ac:dyDescent="0.15">
      <c r="A346" t="s">
        <v>72</v>
      </c>
      <c r="B346" t="s">
        <v>6906</v>
      </c>
      <c r="C346" t="s">
        <v>74</v>
      </c>
      <c r="D346" t="s">
        <v>74</v>
      </c>
      <c r="E346" t="s">
        <v>74</v>
      </c>
      <c r="F346" t="s">
        <v>6907</v>
      </c>
      <c r="G346" t="s">
        <v>74</v>
      </c>
      <c r="H346" t="s">
        <v>74</v>
      </c>
      <c r="I346" t="s">
        <v>6908</v>
      </c>
      <c r="J346" t="s">
        <v>6909</v>
      </c>
      <c r="K346" t="s">
        <v>74</v>
      </c>
      <c r="L346" t="s">
        <v>74</v>
      </c>
      <c r="M346" t="s">
        <v>78</v>
      </c>
      <c r="N346" t="s">
        <v>79</v>
      </c>
      <c r="O346" t="s">
        <v>74</v>
      </c>
      <c r="P346" t="s">
        <v>74</v>
      </c>
      <c r="Q346" t="s">
        <v>74</v>
      </c>
      <c r="R346" t="s">
        <v>74</v>
      </c>
      <c r="S346" t="s">
        <v>74</v>
      </c>
      <c r="T346" t="s">
        <v>6910</v>
      </c>
      <c r="U346" t="s">
        <v>6911</v>
      </c>
      <c r="V346" t="s">
        <v>6912</v>
      </c>
      <c r="W346" t="s">
        <v>6913</v>
      </c>
      <c r="X346" t="s">
        <v>6914</v>
      </c>
      <c r="Y346" t="s">
        <v>6915</v>
      </c>
      <c r="Z346" t="s">
        <v>6916</v>
      </c>
      <c r="AA346" t="s">
        <v>6917</v>
      </c>
      <c r="AB346" t="s">
        <v>6918</v>
      </c>
      <c r="AC346" t="s">
        <v>6919</v>
      </c>
      <c r="AD346" t="s">
        <v>6920</v>
      </c>
      <c r="AE346" t="s">
        <v>6921</v>
      </c>
      <c r="AF346" t="s">
        <v>74</v>
      </c>
      <c r="AG346">
        <v>62</v>
      </c>
      <c r="AH346">
        <v>0</v>
      </c>
      <c r="AI346">
        <v>0</v>
      </c>
      <c r="AJ346">
        <v>0</v>
      </c>
      <c r="AK346">
        <v>1</v>
      </c>
      <c r="AL346" t="s">
        <v>460</v>
      </c>
      <c r="AM346" t="s">
        <v>461</v>
      </c>
      <c r="AN346" t="s">
        <v>462</v>
      </c>
      <c r="AO346" t="s">
        <v>6922</v>
      </c>
      <c r="AP346" t="s">
        <v>6923</v>
      </c>
      <c r="AQ346" t="s">
        <v>74</v>
      </c>
      <c r="AR346" t="s">
        <v>6924</v>
      </c>
      <c r="AS346" t="s">
        <v>6925</v>
      </c>
      <c r="AT346" t="s">
        <v>3082</v>
      </c>
      <c r="AU346">
        <v>2023</v>
      </c>
      <c r="AV346">
        <v>103</v>
      </c>
      <c r="AW346">
        <v>5</v>
      </c>
      <c r="AX346" t="s">
        <v>74</v>
      </c>
      <c r="AY346" t="s">
        <v>74</v>
      </c>
      <c r="AZ346" t="s">
        <v>74</v>
      </c>
      <c r="BA346" t="s">
        <v>74</v>
      </c>
      <c r="BB346">
        <v>1003</v>
      </c>
      <c r="BC346">
        <v>1014</v>
      </c>
      <c r="BD346" t="s">
        <v>74</v>
      </c>
      <c r="BE346" t="s">
        <v>6926</v>
      </c>
      <c r="BF346" t="str">
        <f>HYPERLINK("http://dx.doi.org/10.1111/jfb.15499","http://dx.doi.org/10.1111/jfb.15499")</f>
        <v>http://dx.doi.org/10.1111/jfb.15499</v>
      </c>
      <c r="BG346" t="s">
        <v>74</v>
      </c>
      <c r="BH346" t="s">
        <v>6115</v>
      </c>
      <c r="BI346">
        <v>12</v>
      </c>
      <c r="BJ346" t="s">
        <v>1757</v>
      </c>
      <c r="BK346" t="s">
        <v>104</v>
      </c>
      <c r="BL346" t="s">
        <v>1757</v>
      </c>
      <c r="BM346" t="s">
        <v>6927</v>
      </c>
      <c r="BN346">
        <v>37410553</v>
      </c>
      <c r="BO346" t="s">
        <v>549</v>
      </c>
      <c r="BP346" t="s">
        <v>74</v>
      </c>
      <c r="BQ346" t="s">
        <v>74</v>
      </c>
      <c r="BR346" t="s">
        <v>107</v>
      </c>
      <c r="BS346" t="s">
        <v>6928</v>
      </c>
      <c r="BT346" t="str">
        <f>HYPERLINK("https%3A%2F%2Fwww.webofscience.com%2Fwos%2Fwoscc%2Ffull-record%2FWOS:001035689400001","View Full Record in Web of Science")</f>
        <v>View Full Record in Web of Science</v>
      </c>
    </row>
    <row r="347" spans="1:72" x14ac:dyDescent="0.15">
      <c r="A347" t="s">
        <v>72</v>
      </c>
      <c r="B347" t="s">
        <v>6929</v>
      </c>
      <c r="C347" t="s">
        <v>74</v>
      </c>
      <c r="D347" t="s">
        <v>74</v>
      </c>
      <c r="E347" t="s">
        <v>74</v>
      </c>
      <c r="F347" t="s">
        <v>6930</v>
      </c>
      <c r="G347" t="s">
        <v>74</v>
      </c>
      <c r="H347" t="s">
        <v>74</v>
      </c>
      <c r="I347" t="s">
        <v>6931</v>
      </c>
      <c r="J347" t="s">
        <v>2193</v>
      </c>
      <c r="K347" t="s">
        <v>74</v>
      </c>
      <c r="L347" t="s">
        <v>74</v>
      </c>
      <c r="M347" t="s">
        <v>78</v>
      </c>
      <c r="N347" t="s">
        <v>79</v>
      </c>
      <c r="O347" t="s">
        <v>74</v>
      </c>
      <c r="P347" t="s">
        <v>74</v>
      </c>
      <c r="Q347" t="s">
        <v>74</v>
      </c>
      <c r="R347" t="s">
        <v>74</v>
      </c>
      <c r="S347" t="s">
        <v>74</v>
      </c>
      <c r="T347" t="s">
        <v>74</v>
      </c>
      <c r="U347" t="s">
        <v>6932</v>
      </c>
      <c r="V347" t="s">
        <v>6933</v>
      </c>
      <c r="W347" t="s">
        <v>6934</v>
      </c>
      <c r="X347" t="s">
        <v>6935</v>
      </c>
      <c r="Y347" t="s">
        <v>6936</v>
      </c>
      <c r="Z347" t="s">
        <v>6937</v>
      </c>
      <c r="AA347" t="s">
        <v>74</v>
      </c>
      <c r="AB347" t="s">
        <v>74</v>
      </c>
      <c r="AC347" t="s">
        <v>6938</v>
      </c>
      <c r="AD347" t="s">
        <v>6939</v>
      </c>
      <c r="AE347" t="s">
        <v>6940</v>
      </c>
      <c r="AF347" t="s">
        <v>74</v>
      </c>
      <c r="AG347">
        <v>70</v>
      </c>
      <c r="AH347">
        <v>1</v>
      </c>
      <c r="AI347">
        <v>1</v>
      </c>
      <c r="AJ347">
        <v>0</v>
      </c>
      <c r="AK347">
        <v>0</v>
      </c>
      <c r="AL347" t="s">
        <v>146</v>
      </c>
      <c r="AM347" t="s">
        <v>147</v>
      </c>
      <c r="AN347" t="s">
        <v>148</v>
      </c>
      <c r="AO347" t="s">
        <v>2204</v>
      </c>
      <c r="AP347" t="s">
        <v>74</v>
      </c>
      <c r="AQ347" t="s">
        <v>74</v>
      </c>
      <c r="AR347" t="s">
        <v>2205</v>
      </c>
      <c r="AS347" t="s">
        <v>2206</v>
      </c>
      <c r="AT347" t="s">
        <v>6941</v>
      </c>
      <c r="AU347">
        <v>2023</v>
      </c>
      <c r="AV347">
        <v>13</v>
      </c>
      <c r="AW347">
        <v>1</v>
      </c>
      <c r="AX347" t="s">
        <v>74</v>
      </c>
      <c r="AY347" t="s">
        <v>74</v>
      </c>
      <c r="AZ347" t="s">
        <v>74</v>
      </c>
      <c r="BA347" t="s">
        <v>74</v>
      </c>
      <c r="BB347" t="s">
        <v>74</v>
      </c>
      <c r="BC347" t="s">
        <v>74</v>
      </c>
      <c r="BD347">
        <v>11861</v>
      </c>
      <c r="BE347" t="s">
        <v>6942</v>
      </c>
      <c r="BF347" t="str">
        <f>HYPERLINK("http://dx.doi.org/10.1038/s41598-023-38793-4","http://dx.doi.org/10.1038/s41598-023-38793-4")</f>
        <v>http://dx.doi.org/10.1038/s41598-023-38793-4</v>
      </c>
      <c r="BG347" t="s">
        <v>74</v>
      </c>
      <c r="BH347" t="s">
        <v>74</v>
      </c>
      <c r="BI347">
        <v>12</v>
      </c>
      <c r="BJ347" t="s">
        <v>1881</v>
      </c>
      <c r="BK347" t="s">
        <v>104</v>
      </c>
      <c r="BL347" t="s">
        <v>1882</v>
      </c>
      <c r="BM347" t="s">
        <v>6943</v>
      </c>
      <c r="BN347">
        <v>37481630</v>
      </c>
      <c r="BO347" t="s">
        <v>821</v>
      </c>
      <c r="BP347" t="s">
        <v>74</v>
      </c>
      <c r="BQ347" t="s">
        <v>74</v>
      </c>
      <c r="BR347" t="s">
        <v>107</v>
      </c>
      <c r="BS347" t="s">
        <v>6944</v>
      </c>
      <c r="BT347" t="str">
        <f>HYPERLINK("https%3A%2F%2Fwww.webofscience.com%2Fwos%2Fwoscc%2Ffull-record%2FWOS:001178658600017","View Full Record in Web of Science")</f>
        <v>View Full Record in Web of Science</v>
      </c>
    </row>
    <row r="348" spans="1:72" x14ac:dyDescent="0.15">
      <c r="A348" t="s">
        <v>72</v>
      </c>
      <c r="B348" t="s">
        <v>6945</v>
      </c>
      <c r="C348" t="s">
        <v>74</v>
      </c>
      <c r="D348" t="s">
        <v>74</v>
      </c>
      <c r="E348" t="s">
        <v>74</v>
      </c>
      <c r="F348" t="s">
        <v>6946</v>
      </c>
      <c r="G348" t="s">
        <v>74</v>
      </c>
      <c r="H348" t="s">
        <v>74</v>
      </c>
      <c r="I348" t="s">
        <v>6947</v>
      </c>
      <c r="J348" t="s">
        <v>6948</v>
      </c>
      <c r="K348" t="s">
        <v>74</v>
      </c>
      <c r="L348" t="s">
        <v>74</v>
      </c>
      <c r="M348" t="s">
        <v>78</v>
      </c>
      <c r="N348" t="s">
        <v>79</v>
      </c>
      <c r="O348" t="s">
        <v>74</v>
      </c>
      <c r="P348" t="s">
        <v>74</v>
      </c>
      <c r="Q348" t="s">
        <v>74</v>
      </c>
      <c r="R348" t="s">
        <v>74</v>
      </c>
      <c r="S348" t="s">
        <v>74</v>
      </c>
      <c r="T348" t="s">
        <v>6949</v>
      </c>
      <c r="U348" t="s">
        <v>6950</v>
      </c>
      <c r="V348" t="s">
        <v>6951</v>
      </c>
      <c r="W348" t="s">
        <v>6952</v>
      </c>
      <c r="X348" t="s">
        <v>6953</v>
      </c>
      <c r="Y348" t="s">
        <v>6954</v>
      </c>
      <c r="Z348" t="s">
        <v>6955</v>
      </c>
      <c r="AA348" t="s">
        <v>74</v>
      </c>
      <c r="AB348" t="s">
        <v>74</v>
      </c>
      <c r="AC348" t="s">
        <v>6956</v>
      </c>
      <c r="AD348" t="s">
        <v>6957</v>
      </c>
      <c r="AE348" t="s">
        <v>6958</v>
      </c>
      <c r="AF348" t="s">
        <v>74</v>
      </c>
      <c r="AG348">
        <v>3</v>
      </c>
      <c r="AH348">
        <v>0</v>
      </c>
      <c r="AI348">
        <v>0</v>
      </c>
      <c r="AJ348">
        <v>4</v>
      </c>
      <c r="AK348">
        <v>4</v>
      </c>
      <c r="AL348" t="s">
        <v>2305</v>
      </c>
      <c r="AM348" t="s">
        <v>538</v>
      </c>
      <c r="AN348" t="s">
        <v>2306</v>
      </c>
      <c r="AO348" t="s">
        <v>6959</v>
      </c>
      <c r="AP348" t="s">
        <v>6960</v>
      </c>
      <c r="AQ348" t="s">
        <v>74</v>
      </c>
      <c r="AR348" t="s">
        <v>6961</v>
      </c>
      <c r="AS348" t="s">
        <v>6962</v>
      </c>
      <c r="AT348" t="s">
        <v>97</v>
      </c>
      <c r="AU348">
        <v>2023</v>
      </c>
      <c r="AV348">
        <v>250</v>
      </c>
      <c r="AW348" t="s">
        <v>74</v>
      </c>
      <c r="AX348" t="s">
        <v>74</v>
      </c>
      <c r="AY348" t="s">
        <v>74</v>
      </c>
      <c r="AZ348" t="s">
        <v>74</v>
      </c>
      <c r="BA348" t="s">
        <v>74</v>
      </c>
      <c r="BB348" t="s">
        <v>74</v>
      </c>
      <c r="BC348" t="s">
        <v>74</v>
      </c>
      <c r="BD348">
        <v>106119</v>
      </c>
      <c r="BE348" t="s">
        <v>6963</v>
      </c>
      <c r="BF348" t="str">
        <f>HYPERLINK("http://dx.doi.org/10.1016/j.jastp.2023.106119","http://dx.doi.org/10.1016/j.jastp.2023.106119")</f>
        <v>http://dx.doi.org/10.1016/j.jastp.2023.106119</v>
      </c>
      <c r="BG348" t="s">
        <v>74</v>
      </c>
      <c r="BH348" t="s">
        <v>6115</v>
      </c>
      <c r="BI348">
        <v>6</v>
      </c>
      <c r="BJ348" t="s">
        <v>6964</v>
      </c>
      <c r="BK348" t="s">
        <v>104</v>
      </c>
      <c r="BL348" t="s">
        <v>6964</v>
      </c>
      <c r="BM348" t="s">
        <v>6965</v>
      </c>
      <c r="BN348" t="s">
        <v>74</v>
      </c>
      <c r="BO348" t="s">
        <v>549</v>
      </c>
      <c r="BP348" t="s">
        <v>74</v>
      </c>
      <c r="BQ348" t="s">
        <v>74</v>
      </c>
      <c r="BR348" t="s">
        <v>107</v>
      </c>
      <c r="BS348" t="s">
        <v>6966</v>
      </c>
      <c r="BT348" t="str">
        <f>HYPERLINK("https%3A%2F%2Fwww.webofscience.com%2Fwos%2Fwoscc%2Ffull-record%2FWOS:001056582100001","View Full Record in Web of Science")</f>
        <v>View Full Record in Web of Science</v>
      </c>
    </row>
    <row r="349" spans="1:72" x14ac:dyDescent="0.15">
      <c r="A349" t="s">
        <v>72</v>
      </c>
      <c r="B349" t="s">
        <v>6967</v>
      </c>
      <c r="C349" t="s">
        <v>74</v>
      </c>
      <c r="D349" t="s">
        <v>74</v>
      </c>
      <c r="E349" t="s">
        <v>74</v>
      </c>
      <c r="F349" t="s">
        <v>6968</v>
      </c>
      <c r="G349" t="s">
        <v>74</v>
      </c>
      <c r="H349" t="s">
        <v>74</v>
      </c>
      <c r="I349" t="s">
        <v>6969</v>
      </c>
      <c r="J349" t="s">
        <v>2193</v>
      </c>
      <c r="K349" t="s">
        <v>74</v>
      </c>
      <c r="L349" t="s">
        <v>74</v>
      </c>
      <c r="M349" t="s">
        <v>78</v>
      </c>
      <c r="N349" t="s">
        <v>79</v>
      </c>
      <c r="O349" t="s">
        <v>74</v>
      </c>
      <c r="P349" t="s">
        <v>74</v>
      </c>
      <c r="Q349" t="s">
        <v>74</v>
      </c>
      <c r="R349" t="s">
        <v>74</v>
      </c>
      <c r="S349" t="s">
        <v>74</v>
      </c>
      <c r="T349" t="s">
        <v>74</v>
      </c>
      <c r="U349" t="s">
        <v>6970</v>
      </c>
      <c r="V349" t="s">
        <v>6971</v>
      </c>
      <c r="W349" t="s">
        <v>6972</v>
      </c>
      <c r="X349" t="s">
        <v>6973</v>
      </c>
      <c r="Y349" t="s">
        <v>6974</v>
      </c>
      <c r="Z349" t="s">
        <v>6975</v>
      </c>
      <c r="AA349" t="s">
        <v>6976</v>
      </c>
      <c r="AB349" t="s">
        <v>6977</v>
      </c>
      <c r="AC349" t="s">
        <v>6978</v>
      </c>
      <c r="AD349" t="s">
        <v>6979</v>
      </c>
      <c r="AE349" t="s">
        <v>6980</v>
      </c>
      <c r="AF349" t="s">
        <v>74</v>
      </c>
      <c r="AG349">
        <v>114</v>
      </c>
      <c r="AH349">
        <v>0</v>
      </c>
      <c r="AI349">
        <v>0</v>
      </c>
      <c r="AJ349">
        <v>2</v>
      </c>
      <c r="AK349">
        <v>2</v>
      </c>
      <c r="AL349" t="s">
        <v>146</v>
      </c>
      <c r="AM349" t="s">
        <v>147</v>
      </c>
      <c r="AN349" t="s">
        <v>148</v>
      </c>
      <c r="AO349" t="s">
        <v>2204</v>
      </c>
      <c r="AP349" t="s">
        <v>74</v>
      </c>
      <c r="AQ349" t="s">
        <v>74</v>
      </c>
      <c r="AR349" t="s">
        <v>2205</v>
      </c>
      <c r="AS349" t="s">
        <v>2206</v>
      </c>
      <c r="AT349" t="s">
        <v>6981</v>
      </c>
      <c r="AU349">
        <v>2023</v>
      </c>
      <c r="AV349">
        <v>13</v>
      </c>
      <c r="AW349">
        <v>1</v>
      </c>
      <c r="AX349" t="s">
        <v>74</v>
      </c>
      <c r="AY349" t="s">
        <v>74</v>
      </c>
      <c r="AZ349" t="s">
        <v>74</v>
      </c>
      <c r="BA349" t="s">
        <v>74</v>
      </c>
      <c r="BB349" t="s">
        <v>74</v>
      </c>
      <c r="BC349" t="s">
        <v>74</v>
      </c>
      <c r="BD349">
        <v>11812</v>
      </c>
      <c r="BE349" t="s">
        <v>6982</v>
      </c>
      <c r="BF349" t="str">
        <f>HYPERLINK("http://dx.doi.org/10.1038/s41598-023-38744-z","http://dx.doi.org/10.1038/s41598-023-38744-z")</f>
        <v>http://dx.doi.org/10.1038/s41598-023-38744-z</v>
      </c>
      <c r="BG349" t="s">
        <v>74</v>
      </c>
      <c r="BH349" t="s">
        <v>74</v>
      </c>
      <c r="BI349">
        <v>22</v>
      </c>
      <c r="BJ349" t="s">
        <v>1881</v>
      </c>
      <c r="BK349" t="s">
        <v>104</v>
      </c>
      <c r="BL349" t="s">
        <v>1882</v>
      </c>
      <c r="BM349" t="s">
        <v>6983</v>
      </c>
      <c r="BN349">
        <v>37479745</v>
      </c>
      <c r="BO349" t="s">
        <v>6754</v>
      </c>
      <c r="BP349" t="s">
        <v>74</v>
      </c>
      <c r="BQ349" t="s">
        <v>74</v>
      </c>
      <c r="BR349" t="s">
        <v>107</v>
      </c>
      <c r="BS349" t="s">
        <v>6984</v>
      </c>
      <c r="BT349" t="str">
        <f>HYPERLINK("https%3A%2F%2Fwww.webofscience.com%2Fwos%2Fwoscc%2Ffull-record%2FWOS:001067878900024","View Full Record in Web of Science")</f>
        <v>View Full Record in Web of Science</v>
      </c>
    </row>
    <row r="350" spans="1:72" x14ac:dyDescent="0.15">
      <c r="A350" t="s">
        <v>72</v>
      </c>
      <c r="B350" t="s">
        <v>6985</v>
      </c>
      <c r="C350" t="s">
        <v>74</v>
      </c>
      <c r="D350" t="s">
        <v>74</v>
      </c>
      <c r="E350" t="s">
        <v>74</v>
      </c>
      <c r="F350" t="s">
        <v>6986</v>
      </c>
      <c r="G350" t="s">
        <v>74</v>
      </c>
      <c r="H350" t="s">
        <v>74</v>
      </c>
      <c r="I350" t="s">
        <v>6987</v>
      </c>
      <c r="J350" t="s">
        <v>4497</v>
      </c>
      <c r="K350" t="s">
        <v>74</v>
      </c>
      <c r="L350" t="s">
        <v>74</v>
      </c>
      <c r="M350" t="s">
        <v>78</v>
      </c>
      <c r="N350" t="s">
        <v>79</v>
      </c>
      <c r="O350" t="s">
        <v>74</v>
      </c>
      <c r="P350" t="s">
        <v>74</v>
      </c>
      <c r="Q350" t="s">
        <v>74</v>
      </c>
      <c r="R350" t="s">
        <v>74</v>
      </c>
      <c r="S350" t="s">
        <v>74</v>
      </c>
      <c r="T350" t="s">
        <v>6988</v>
      </c>
      <c r="U350" t="s">
        <v>6989</v>
      </c>
      <c r="V350" t="s">
        <v>6990</v>
      </c>
      <c r="W350" t="s">
        <v>6991</v>
      </c>
      <c r="X350" t="s">
        <v>6992</v>
      </c>
      <c r="Y350" t="s">
        <v>6993</v>
      </c>
      <c r="Z350" t="s">
        <v>6994</v>
      </c>
      <c r="AA350" t="s">
        <v>74</v>
      </c>
      <c r="AB350" t="s">
        <v>6995</v>
      </c>
      <c r="AC350" t="s">
        <v>6996</v>
      </c>
      <c r="AD350" t="s">
        <v>6997</v>
      </c>
      <c r="AE350" t="s">
        <v>6998</v>
      </c>
      <c r="AF350" t="s">
        <v>74</v>
      </c>
      <c r="AG350">
        <v>52</v>
      </c>
      <c r="AH350">
        <v>0</v>
      </c>
      <c r="AI350">
        <v>0</v>
      </c>
      <c r="AJ350">
        <v>4</v>
      </c>
      <c r="AK350">
        <v>6</v>
      </c>
      <c r="AL350" t="s">
        <v>172</v>
      </c>
      <c r="AM350" t="s">
        <v>173</v>
      </c>
      <c r="AN350" t="s">
        <v>174</v>
      </c>
      <c r="AO350" t="s">
        <v>4506</v>
      </c>
      <c r="AP350" t="s">
        <v>4507</v>
      </c>
      <c r="AQ350" t="s">
        <v>74</v>
      </c>
      <c r="AR350" t="s">
        <v>4497</v>
      </c>
      <c r="AS350" t="s">
        <v>4508</v>
      </c>
      <c r="AT350" t="s">
        <v>2125</v>
      </c>
      <c r="AU350">
        <v>2023</v>
      </c>
      <c r="AV350">
        <v>576</v>
      </c>
      <c r="AW350" t="s">
        <v>74</v>
      </c>
      <c r="AX350" t="s">
        <v>74</v>
      </c>
      <c r="AY350" t="s">
        <v>74</v>
      </c>
      <c r="AZ350" t="s">
        <v>74</v>
      </c>
      <c r="BA350" t="s">
        <v>74</v>
      </c>
      <c r="BB350" t="s">
        <v>74</v>
      </c>
      <c r="BC350" t="s">
        <v>74</v>
      </c>
      <c r="BD350">
        <v>739872</v>
      </c>
      <c r="BE350" t="s">
        <v>6999</v>
      </c>
      <c r="BF350" t="str">
        <f>HYPERLINK("http://dx.doi.org/10.1016/j.aquaculture.2023.739872","http://dx.doi.org/10.1016/j.aquaculture.2023.739872")</f>
        <v>http://dx.doi.org/10.1016/j.aquaculture.2023.739872</v>
      </c>
      <c r="BG350" t="s">
        <v>74</v>
      </c>
      <c r="BH350" t="s">
        <v>6115</v>
      </c>
      <c r="BI350">
        <v>10</v>
      </c>
      <c r="BJ350" t="s">
        <v>1757</v>
      </c>
      <c r="BK350" t="s">
        <v>104</v>
      </c>
      <c r="BL350" t="s">
        <v>1757</v>
      </c>
      <c r="BM350" t="s">
        <v>7000</v>
      </c>
      <c r="BN350" t="s">
        <v>74</v>
      </c>
      <c r="BO350" t="s">
        <v>74</v>
      </c>
      <c r="BP350" t="s">
        <v>74</v>
      </c>
      <c r="BQ350" t="s">
        <v>74</v>
      </c>
      <c r="BR350" t="s">
        <v>107</v>
      </c>
      <c r="BS350" t="s">
        <v>7001</v>
      </c>
      <c r="BT350" t="str">
        <f>HYPERLINK("https%3A%2F%2Fwww.webofscience.com%2Fwos%2Fwoscc%2Ffull-record%2FWOS:001050360700001","View Full Record in Web of Science")</f>
        <v>View Full Record in Web of Science</v>
      </c>
    </row>
    <row r="351" spans="1:72" x14ac:dyDescent="0.15">
      <c r="A351" t="s">
        <v>72</v>
      </c>
      <c r="B351" t="s">
        <v>7002</v>
      </c>
      <c r="C351" t="s">
        <v>74</v>
      </c>
      <c r="D351" t="s">
        <v>74</v>
      </c>
      <c r="E351" t="s">
        <v>74</v>
      </c>
      <c r="F351" t="s">
        <v>7003</v>
      </c>
      <c r="G351" t="s">
        <v>74</v>
      </c>
      <c r="H351" t="s">
        <v>74</v>
      </c>
      <c r="I351" t="s">
        <v>7004</v>
      </c>
      <c r="J351" t="s">
        <v>7005</v>
      </c>
      <c r="K351" t="s">
        <v>74</v>
      </c>
      <c r="L351" t="s">
        <v>74</v>
      </c>
      <c r="M351" t="s">
        <v>78</v>
      </c>
      <c r="N351" t="s">
        <v>79</v>
      </c>
      <c r="O351" t="s">
        <v>74</v>
      </c>
      <c r="P351" t="s">
        <v>74</v>
      </c>
      <c r="Q351" t="s">
        <v>74</v>
      </c>
      <c r="R351" t="s">
        <v>74</v>
      </c>
      <c r="S351" t="s">
        <v>74</v>
      </c>
      <c r="T351" t="s">
        <v>7006</v>
      </c>
      <c r="U351" t="s">
        <v>7007</v>
      </c>
      <c r="V351" t="s">
        <v>7008</v>
      </c>
      <c r="W351" t="s">
        <v>7009</v>
      </c>
      <c r="X351" t="s">
        <v>7010</v>
      </c>
      <c r="Y351" t="s">
        <v>7011</v>
      </c>
      <c r="Z351" t="s">
        <v>7012</v>
      </c>
      <c r="AA351" t="s">
        <v>7013</v>
      </c>
      <c r="AB351" t="s">
        <v>7014</v>
      </c>
      <c r="AC351" t="s">
        <v>7015</v>
      </c>
      <c r="AD351" t="s">
        <v>7016</v>
      </c>
      <c r="AE351" t="s">
        <v>7017</v>
      </c>
      <c r="AF351" t="s">
        <v>74</v>
      </c>
      <c r="AG351">
        <v>115</v>
      </c>
      <c r="AH351">
        <v>0</v>
      </c>
      <c r="AI351">
        <v>0</v>
      </c>
      <c r="AJ351">
        <v>4</v>
      </c>
      <c r="AK351">
        <v>5</v>
      </c>
      <c r="AL351" t="s">
        <v>172</v>
      </c>
      <c r="AM351" t="s">
        <v>173</v>
      </c>
      <c r="AN351" t="s">
        <v>174</v>
      </c>
      <c r="AO351" t="s">
        <v>7018</v>
      </c>
      <c r="AP351" t="s">
        <v>7019</v>
      </c>
      <c r="AQ351" t="s">
        <v>74</v>
      </c>
      <c r="AR351" t="s">
        <v>7020</v>
      </c>
      <c r="AS351" t="s">
        <v>7021</v>
      </c>
      <c r="AT351" t="s">
        <v>544</v>
      </c>
      <c r="AU351">
        <v>2023</v>
      </c>
      <c r="AV351">
        <v>395</v>
      </c>
      <c r="AW351" t="s">
        <v>74</v>
      </c>
      <c r="AX351" t="s">
        <v>74</v>
      </c>
      <c r="AY351" t="s">
        <v>74</v>
      </c>
      <c r="AZ351" t="s">
        <v>74</v>
      </c>
      <c r="BA351" t="s">
        <v>74</v>
      </c>
      <c r="BB351" t="s">
        <v>74</v>
      </c>
      <c r="BC351" t="s">
        <v>74</v>
      </c>
      <c r="BD351">
        <v>107149</v>
      </c>
      <c r="BE351" t="s">
        <v>7022</v>
      </c>
      <c r="BF351" t="str">
        <f>HYPERLINK("http://dx.doi.org/10.1016/j.precamres.2023.107149","http://dx.doi.org/10.1016/j.precamres.2023.107149")</f>
        <v>http://dx.doi.org/10.1016/j.precamres.2023.107149</v>
      </c>
      <c r="BG351" t="s">
        <v>74</v>
      </c>
      <c r="BH351" t="s">
        <v>6115</v>
      </c>
      <c r="BI351">
        <v>25</v>
      </c>
      <c r="BJ351" t="s">
        <v>155</v>
      </c>
      <c r="BK351" t="s">
        <v>104</v>
      </c>
      <c r="BL351" t="s">
        <v>156</v>
      </c>
      <c r="BM351" t="s">
        <v>7023</v>
      </c>
      <c r="BN351" t="s">
        <v>74</v>
      </c>
      <c r="BO351" t="s">
        <v>74</v>
      </c>
      <c r="BP351" t="s">
        <v>74</v>
      </c>
      <c r="BQ351" t="s">
        <v>74</v>
      </c>
      <c r="BR351" t="s">
        <v>107</v>
      </c>
      <c r="BS351" t="s">
        <v>7024</v>
      </c>
      <c r="BT351" t="str">
        <f>HYPERLINK("https%3A%2F%2Fwww.webofscience.com%2Fwos%2Fwoscc%2Ffull-record%2FWOS:001051251900001","View Full Record in Web of Science")</f>
        <v>View Full Record in Web of Science</v>
      </c>
    </row>
    <row r="352" spans="1:72" x14ac:dyDescent="0.15">
      <c r="A352" t="s">
        <v>72</v>
      </c>
      <c r="B352" t="s">
        <v>7025</v>
      </c>
      <c r="C352" t="s">
        <v>74</v>
      </c>
      <c r="D352" t="s">
        <v>74</v>
      </c>
      <c r="E352" t="s">
        <v>74</v>
      </c>
      <c r="F352" t="s">
        <v>7026</v>
      </c>
      <c r="G352" t="s">
        <v>74</v>
      </c>
      <c r="H352" t="s">
        <v>74</v>
      </c>
      <c r="I352" t="s">
        <v>7027</v>
      </c>
      <c r="J352" t="s">
        <v>2539</v>
      </c>
      <c r="K352" t="s">
        <v>74</v>
      </c>
      <c r="L352" t="s">
        <v>74</v>
      </c>
      <c r="M352" t="s">
        <v>78</v>
      </c>
      <c r="N352" t="s">
        <v>79</v>
      </c>
      <c r="O352" t="s">
        <v>74</v>
      </c>
      <c r="P352" t="s">
        <v>74</v>
      </c>
      <c r="Q352" t="s">
        <v>74</v>
      </c>
      <c r="R352" t="s">
        <v>74</v>
      </c>
      <c r="S352" t="s">
        <v>74</v>
      </c>
      <c r="T352" t="s">
        <v>7028</v>
      </c>
      <c r="U352" t="s">
        <v>7029</v>
      </c>
      <c r="V352" t="s">
        <v>7030</v>
      </c>
      <c r="W352" t="s">
        <v>7031</v>
      </c>
      <c r="X352" t="s">
        <v>7032</v>
      </c>
      <c r="Y352" t="s">
        <v>7033</v>
      </c>
      <c r="Z352" t="s">
        <v>7034</v>
      </c>
      <c r="AA352" t="s">
        <v>7035</v>
      </c>
      <c r="AB352" t="s">
        <v>7036</v>
      </c>
      <c r="AC352" t="s">
        <v>7037</v>
      </c>
      <c r="AD352" t="s">
        <v>7038</v>
      </c>
      <c r="AE352" t="s">
        <v>7039</v>
      </c>
      <c r="AF352" t="s">
        <v>74</v>
      </c>
      <c r="AG352">
        <v>23</v>
      </c>
      <c r="AH352">
        <v>1</v>
      </c>
      <c r="AI352">
        <v>1</v>
      </c>
      <c r="AJ352">
        <v>5</v>
      </c>
      <c r="AK352">
        <v>5</v>
      </c>
      <c r="AL352" t="s">
        <v>994</v>
      </c>
      <c r="AM352" t="s">
        <v>995</v>
      </c>
      <c r="AN352" t="s">
        <v>996</v>
      </c>
      <c r="AO352" t="s">
        <v>74</v>
      </c>
      <c r="AP352" t="s">
        <v>2552</v>
      </c>
      <c r="AQ352" t="s">
        <v>74</v>
      </c>
      <c r="AR352" t="s">
        <v>2553</v>
      </c>
      <c r="AS352" t="s">
        <v>2554</v>
      </c>
      <c r="AT352" t="s">
        <v>6981</v>
      </c>
      <c r="AU352">
        <v>2023</v>
      </c>
      <c r="AV352">
        <v>11</v>
      </c>
      <c r="AW352" t="s">
        <v>74</v>
      </c>
      <c r="AX352" t="s">
        <v>74</v>
      </c>
      <c r="AY352" t="s">
        <v>74</v>
      </c>
      <c r="AZ352" t="s">
        <v>74</v>
      </c>
      <c r="BA352" t="s">
        <v>74</v>
      </c>
      <c r="BB352" t="s">
        <v>74</v>
      </c>
      <c r="BC352" t="s">
        <v>74</v>
      </c>
      <c r="BD352">
        <v>1110138</v>
      </c>
      <c r="BE352" t="s">
        <v>7040</v>
      </c>
      <c r="BF352" t="str">
        <f>HYPERLINK("http://dx.doi.org/10.3389/feart.2023.1110138","http://dx.doi.org/10.3389/feart.2023.1110138")</f>
        <v>http://dx.doi.org/10.3389/feart.2023.1110138</v>
      </c>
      <c r="BG352" t="s">
        <v>74</v>
      </c>
      <c r="BH352" t="s">
        <v>74</v>
      </c>
      <c r="BI352">
        <v>18</v>
      </c>
      <c r="BJ352" t="s">
        <v>155</v>
      </c>
      <c r="BK352" t="s">
        <v>104</v>
      </c>
      <c r="BL352" t="s">
        <v>156</v>
      </c>
      <c r="BM352" t="s">
        <v>7041</v>
      </c>
      <c r="BN352" t="s">
        <v>74</v>
      </c>
      <c r="BO352" t="s">
        <v>181</v>
      </c>
      <c r="BP352" t="s">
        <v>74</v>
      </c>
      <c r="BQ352" t="s">
        <v>74</v>
      </c>
      <c r="BR352" t="s">
        <v>107</v>
      </c>
      <c r="BS352" t="s">
        <v>7042</v>
      </c>
      <c r="BT352" t="str">
        <f>HYPERLINK("https%3A%2F%2Fwww.webofscience.com%2Fwos%2Fwoscc%2Ffull-record%2FWOS:001042880100001","View Full Record in Web of Science")</f>
        <v>View Full Record in Web of Science</v>
      </c>
    </row>
    <row r="353" spans="1:72" x14ac:dyDescent="0.15">
      <c r="A353" t="s">
        <v>72</v>
      </c>
      <c r="B353" t="s">
        <v>7043</v>
      </c>
      <c r="C353" t="s">
        <v>74</v>
      </c>
      <c r="D353" t="s">
        <v>74</v>
      </c>
      <c r="E353" t="s">
        <v>74</v>
      </c>
      <c r="F353" t="s">
        <v>7044</v>
      </c>
      <c r="G353" t="s">
        <v>74</v>
      </c>
      <c r="H353" t="s">
        <v>74</v>
      </c>
      <c r="I353" t="s">
        <v>7045</v>
      </c>
      <c r="J353" t="s">
        <v>7046</v>
      </c>
      <c r="K353" t="s">
        <v>74</v>
      </c>
      <c r="L353" t="s">
        <v>74</v>
      </c>
      <c r="M353" t="s">
        <v>78</v>
      </c>
      <c r="N353" t="s">
        <v>79</v>
      </c>
      <c r="O353" t="s">
        <v>74</v>
      </c>
      <c r="P353" t="s">
        <v>74</v>
      </c>
      <c r="Q353" t="s">
        <v>74</v>
      </c>
      <c r="R353" t="s">
        <v>74</v>
      </c>
      <c r="S353" t="s">
        <v>74</v>
      </c>
      <c r="T353" t="s">
        <v>7047</v>
      </c>
      <c r="U353" t="s">
        <v>7048</v>
      </c>
      <c r="V353" t="s">
        <v>7049</v>
      </c>
      <c r="W353" t="s">
        <v>7050</v>
      </c>
      <c r="X353" t="s">
        <v>1718</v>
      </c>
      <c r="Y353" t="s">
        <v>7051</v>
      </c>
      <c r="Z353" t="s">
        <v>7052</v>
      </c>
      <c r="AA353" t="s">
        <v>7053</v>
      </c>
      <c r="AB353" t="s">
        <v>74</v>
      </c>
      <c r="AC353" t="s">
        <v>7054</v>
      </c>
      <c r="AD353" t="s">
        <v>7055</v>
      </c>
      <c r="AE353" t="s">
        <v>7056</v>
      </c>
      <c r="AF353" t="s">
        <v>74</v>
      </c>
      <c r="AG353">
        <v>39</v>
      </c>
      <c r="AH353">
        <v>0</v>
      </c>
      <c r="AI353">
        <v>0</v>
      </c>
      <c r="AJ353">
        <v>13</v>
      </c>
      <c r="AK353">
        <v>31</v>
      </c>
      <c r="AL353" t="s">
        <v>1343</v>
      </c>
      <c r="AM353" t="s">
        <v>589</v>
      </c>
      <c r="AN353" t="s">
        <v>1344</v>
      </c>
      <c r="AO353" t="s">
        <v>7057</v>
      </c>
      <c r="AP353" t="s">
        <v>7058</v>
      </c>
      <c r="AQ353" t="s">
        <v>74</v>
      </c>
      <c r="AR353" t="s">
        <v>7059</v>
      </c>
      <c r="AS353" t="s">
        <v>7060</v>
      </c>
      <c r="AT353" t="s">
        <v>6981</v>
      </c>
      <c r="AU353">
        <v>2023</v>
      </c>
      <c r="AV353">
        <v>71</v>
      </c>
      <c r="AW353">
        <v>30</v>
      </c>
      <c r="AX353" t="s">
        <v>74</v>
      </c>
      <c r="AY353" t="s">
        <v>74</v>
      </c>
      <c r="AZ353" t="s">
        <v>74</v>
      </c>
      <c r="BA353" t="s">
        <v>74</v>
      </c>
      <c r="BB353">
        <v>11751</v>
      </c>
      <c r="BC353">
        <v>11763</v>
      </c>
      <c r="BD353" t="s">
        <v>74</v>
      </c>
      <c r="BE353" t="s">
        <v>7061</v>
      </c>
      <c r="BF353" t="str">
        <f>HYPERLINK("http://dx.doi.org/10.1021/acs.jafc.3c02860","http://dx.doi.org/10.1021/acs.jafc.3c02860")</f>
        <v>http://dx.doi.org/10.1021/acs.jafc.3c02860</v>
      </c>
      <c r="BG353" t="s">
        <v>74</v>
      </c>
      <c r="BH353" t="s">
        <v>6115</v>
      </c>
      <c r="BI353">
        <v>13</v>
      </c>
      <c r="BJ353" t="s">
        <v>7062</v>
      </c>
      <c r="BK353" t="s">
        <v>104</v>
      </c>
      <c r="BL353" t="s">
        <v>7063</v>
      </c>
      <c r="BM353" t="s">
        <v>7064</v>
      </c>
      <c r="BN353">
        <v>37478023</v>
      </c>
      <c r="BO353" t="s">
        <v>74</v>
      </c>
      <c r="BP353" t="s">
        <v>74</v>
      </c>
      <c r="BQ353" t="s">
        <v>74</v>
      </c>
      <c r="BR353" t="s">
        <v>107</v>
      </c>
      <c r="BS353" t="s">
        <v>7065</v>
      </c>
      <c r="BT353" t="str">
        <f>HYPERLINK("https%3A%2F%2Fwww.webofscience.com%2Fwos%2Fwoscc%2Ffull-record%2FWOS:001031748100001","View Full Record in Web of Science")</f>
        <v>View Full Record in Web of Science</v>
      </c>
    </row>
    <row r="354" spans="1:72" x14ac:dyDescent="0.15">
      <c r="A354" t="s">
        <v>72</v>
      </c>
      <c r="B354" t="s">
        <v>7066</v>
      </c>
      <c r="C354" t="s">
        <v>74</v>
      </c>
      <c r="D354" t="s">
        <v>74</v>
      </c>
      <c r="E354" t="s">
        <v>74</v>
      </c>
      <c r="F354" t="s">
        <v>7067</v>
      </c>
      <c r="G354" t="s">
        <v>74</v>
      </c>
      <c r="H354" t="s">
        <v>74</v>
      </c>
      <c r="I354" t="s">
        <v>7068</v>
      </c>
      <c r="J354" t="s">
        <v>2610</v>
      </c>
      <c r="K354" t="s">
        <v>74</v>
      </c>
      <c r="L354" t="s">
        <v>74</v>
      </c>
      <c r="M354" t="s">
        <v>78</v>
      </c>
      <c r="N354" t="s">
        <v>79</v>
      </c>
      <c r="O354" t="s">
        <v>74</v>
      </c>
      <c r="P354" t="s">
        <v>74</v>
      </c>
      <c r="Q354" t="s">
        <v>74</v>
      </c>
      <c r="R354" t="s">
        <v>74</v>
      </c>
      <c r="S354" t="s">
        <v>74</v>
      </c>
      <c r="T354" t="s">
        <v>74</v>
      </c>
      <c r="U354" t="s">
        <v>7069</v>
      </c>
      <c r="V354" t="s">
        <v>7070</v>
      </c>
      <c r="W354" t="s">
        <v>7071</v>
      </c>
      <c r="X354" t="s">
        <v>7072</v>
      </c>
      <c r="Y354" t="s">
        <v>7073</v>
      </c>
      <c r="Z354" t="s">
        <v>7074</v>
      </c>
      <c r="AA354" t="s">
        <v>7075</v>
      </c>
      <c r="AB354" t="s">
        <v>7076</v>
      </c>
      <c r="AC354" t="s">
        <v>7077</v>
      </c>
      <c r="AD354" t="s">
        <v>7078</v>
      </c>
      <c r="AE354" t="s">
        <v>7079</v>
      </c>
      <c r="AF354" t="s">
        <v>74</v>
      </c>
      <c r="AG354">
        <v>64</v>
      </c>
      <c r="AH354">
        <v>2</v>
      </c>
      <c r="AI354">
        <v>2</v>
      </c>
      <c r="AJ354">
        <v>4</v>
      </c>
      <c r="AK354">
        <v>9</v>
      </c>
      <c r="AL354" t="s">
        <v>2617</v>
      </c>
      <c r="AM354" t="s">
        <v>1528</v>
      </c>
      <c r="AN354" t="s">
        <v>2618</v>
      </c>
      <c r="AO354" t="s">
        <v>74</v>
      </c>
      <c r="AP354" t="s">
        <v>2619</v>
      </c>
      <c r="AQ354" t="s">
        <v>74</v>
      </c>
      <c r="AR354" t="s">
        <v>2620</v>
      </c>
      <c r="AS354" t="s">
        <v>2621</v>
      </c>
      <c r="AT354" t="s">
        <v>6981</v>
      </c>
      <c r="AU354">
        <v>2023</v>
      </c>
      <c r="AV354">
        <v>4</v>
      </c>
      <c r="AW354">
        <v>1</v>
      </c>
      <c r="AX354" t="s">
        <v>74</v>
      </c>
      <c r="AY354" t="s">
        <v>74</v>
      </c>
      <c r="AZ354" t="s">
        <v>74</v>
      </c>
      <c r="BA354" t="s">
        <v>74</v>
      </c>
      <c r="BB354" t="s">
        <v>74</v>
      </c>
      <c r="BC354" t="s">
        <v>74</v>
      </c>
      <c r="BD354">
        <v>266</v>
      </c>
      <c r="BE354" t="s">
        <v>7080</v>
      </c>
      <c r="BF354" t="str">
        <f>HYPERLINK("http://dx.doi.org/10.1038/s43247-023-00928-w","http://dx.doi.org/10.1038/s43247-023-00928-w")</f>
        <v>http://dx.doi.org/10.1038/s43247-023-00928-w</v>
      </c>
      <c r="BG354" t="s">
        <v>74</v>
      </c>
      <c r="BH354" t="s">
        <v>74</v>
      </c>
      <c r="BI354">
        <v>10</v>
      </c>
      <c r="BJ354" t="s">
        <v>1214</v>
      </c>
      <c r="BK354" t="s">
        <v>104</v>
      </c>
      <c r="BL354" t="s">
        <v>1215</v>
      </c>
      <c r="BM354" t="s">
        <v>7081</v>
      </c>
      <c r="BN354" t="s">
        <v>74</v>
      </c>
      <c r="BO354" t="s">
        <v>181</v>
      </c>
      <c r="BP354" t="s">
        <v>74</v>
      </c>
      <c r="BQ354" t="s">
        <v>74</v>
      </c>
      <c r="BR354" t="s">
        <v>107</v>
      </c>
      <c r="BS354" t="s">
        <v>7082</v>
      </c>
      <c r="BT354" t="str">
        <f>HYPERLINK("https%3A%2F%2Fwww.webofscience.com%2Fwos%2Fwoscc%2Ffull-record%2FWOS:001034468900002","View Full Record in Web of Science")</f>
        <v>View Full Record in Web of Science</v>
      </c>
    </row>
    <row r="355" spans="1:72" x14ac:dyDescent="0.15">
      <c r="A355" t="s">
        <v>72</v>
      </c>
      <c r="B355" t="s">
        <v>7083</v>
      </c>
      <c r="C355" t="s">
        <v>74</v>
      </c>
      <c r="D355" t="s">
        <v>74</v>
      </c>
      <c r="E355" t="s">
        <v>74</v>
      </c>
      <c r="F355" t="s">
        <v>7084</v>
      </c>
      <c r="G355" t="s">
        <v>74</v>
      </c>
      <c r="H355" t="s">
        <v>74</v>
      </c>
      <c r="I355" t="s">
        <v>7085</v>
      </c>
      <c r="J355" t="s">
        <v>2917</v>
      </c>
      <c r="K355" t="s">
        <v>74</v>
      </c>
      <c r="L355" t="s">
        <v>74</v>
      </c>
      <c r="M355" t="s">
        <v>78</v>
      </c>
      <c r="N355" t="s">
        <v>869</v>
      </c>
      <c r="O355" t="s">
        <v>74</v>
      </c>
      <c r="P355" t="s">
        <v>74</v>
      </c>
      <c r="Q355" t="s">
        <v>74</v>
      </c>
      <c r="R355" t="s">
        <v>74</v>
      </c>
      <c r="S355" t="s">
        <v>74</v>
      </c>
      <c r="T355" t="s">
        <v>74</v>
      </c>
      <c r="U355" t="s">
        <v>7086</v>
      </c>
      <c r="V355" t="s">
        <v>74</v>
      </c>
      <c r="W355" t="s">
        <v>7087</v>
      </c>
      <c r="X355" t="s">
        <v>7088</v>
      </c>
      <c r="Y355" t="s">
        <v>7089</v>
      </c>
      <c r="Z355" t="s">
        <v>7090</v>
      </c>
      <c r="AA355" t="s">
        <v>7091</v>
      </c>
      <c r="AB355" t="s">
        <v>7092</v>
      </c>
      <c r="AC355" t="s">
        <v>74</v>
      </c>
      <c r="AD355" t="s">
        <v>74</v>
      </c>
      <c r="AE355" t="s">
        <v>74</v>
      </c>
      <c r="AF355" t="s">
        <v>74</v>
      </c>
      <c r="AG355">
        <v>18</v>
      </c>
      <c r="AH355">
        <v>0</v>
      </c>
      <c r="AI355">
        <v>0</v>
      </c>
      <c r="AJ355">
        <v>12</v>
      </c>
      <c r="AK355">
        <v>18</v>
      </c>
      <c r="AL355" t="s">
        <v>146</v>
      </c>
      <c r="AM355" t="s">
        <v>147</v>
      </c>
      <c r="AN355" t="s">
        <v>148</v>
      </c>
      <c r="AO355" t="s">
        <v>74</v>
      </c>
      <c r="AP355" t="s">
        <v>2929</v>
      </c>
      <c r="AQ355" t="s">
        <v>74</v>
      </c>
      <c r="AR355" t="s">
        <v>2930</v>
      </c>
      <c r="AS355" t="s">
        <v>2931</v>
      </c>
      <c r="AT355" t="s">
        <v>7093</v>
      </c>
      <c r="AU355">
        <v>2023</v>
      </c>
      <c r="AV355">
        <v>14</v>
      </c>
      <c r="AW355">
        <v>1</v>
      </c>
      <c r="AX355" t="s">
        <v>74</v>
      </c>
      <c r="AY355" t="s">
        <v>74</v>
      </c>
      <c r="AZ355" t="s">
        <v>74</v>
      </c>
      <c r="BA355" t="s">
        <v>74</v>
      </c>
      <c r="BB355" t="s">
        <v>74</v>
      </c>
      <c r="BC355" t="s">
        <v>74</v>
      </c>
      <c r="BD355">
        <v>4340</v>
      </c>
      <c r="BE355" t="s">
        <v>7094</v>
      </c>
      <c r="BF355" t="str">
        <f>HYPERLINK("http://dx.doi.org/10.1038/s41467-023-39927-y","http://dx.doi.org/10.1038/s41467-023-39927-y")</f>
        <v>http://dx.doi.org/10.1038/s41467-023-39927-y</v>
      </c>
      <c r="BG355" t="s">
        <v>74</v>
      </c>
      <c r="BH355" t="s">
        <v>74</v>
      </c>
      <c r="BI355">
        <v>3</v>
      </c>
      <c r="BJ355" t="s">
        <v>1881</v>
      </c>
      <c r="BK355" t="s">
        <v>104</v>
      </c>
      <c r="BL355" t="s">
        <v>1882</v>
      </c>
      <c r="BM355" t="s">
        <v>7095</v>
      </c>
      <c r="BN355">
        <v>37474496</v>
      </c>
      <c r="BO355" t="s">
        <v>821</v>
      </c>
      <c r="BP355" t="s">
        <v>74</v>
      </c>
      <c r="BQ355" t="s">
        <v>74</v>
      </c>
      <c r="BR355" t="s">
        <v>107</v>
      </c>
      <c r="BS355" t="s">
        <v>7096</v>
      </c>
      <c r="BT355" t="str">
        <f>HYPERLINK("https%3A%2F%2Fwww.webofscience.com%2Fwos%2Fwoscc%2Ffull-record%2FWOS:001040020600018","View Full Record in Web of Science")</f>
        <v>View Full Record in Web of Science</v>
      </c>
    </row>
    <row r="356" spans="1:72" x14ac:dyDescent="0.15">
      <c r="A356" t="s">
        <v>72</v>
      </c>
      <c r="B356" t="s">
        <v>7097</v>
      </c>
      <c r="C356" t="s">
        <v>74</v>
      </c>
      <c r="D356" t="s">
        <v>74</v>
      </c>
      <c r="E356" t="s">
        <v>74</v>
      </c>
      <c r="F356" t="s">
        <v>7098</v>
      </c>
      <c r="G356" t="s">
        <v>74</v>
      </c>
      <c r="H356" t="s">
        <v>74</v>
      </c>
      <c r="I356" t="s">
        <v>7099</v>
      </c>
      <c r="J356" t="s">
        <v>2193</v>
      </c>
      <c r="K356" t="s">
        <v>74</v>
      </c>
      <c r="L356" t="s">
        <v>74</v>
      </c>
      <c r="M356" t="s">
        <v>78</v>
      </c>
      <c r="N356" t="s">
        <v>4565</v>
      </c>
      <c r="O356" t="s">
        <v>74</v>
      </c>
      <c r="P356" t="s">
        <v>74</v>
      </c>
      <c r="Q356" t="s">
        <v>74</v>
      </c>
      <c r="R356" t="s">
        <v>74</v>
      </c>
      <c r="S356" t="s">
        <v>74</v>
      </c>
      <c r="T356" t="s">
        <v>74</v>
      </c>
      <c r="U356" t="s">
        <v>74</v>
      </c>
      <c r="V356" t="s">
        <v>74</v>
      </c>
      <c r="W356" t="s">
        <v>74</v>
      </c>
      <c r="X356" t="s">
        <v>74</v>
      </c>
      <c r="Y356" t="s">
        <v>74</v>
      </c>
      <c r="Z356" t="s">
        <v>7100</v>
      </c>
      <c r="AA356" t="s">
        <v>74</v>
      </c>
      <c r="AB356" t="s">
        <v>74</v>
      </c>
      <c r="AC356" t="s">
        <v>74</v>
      </c>
      <c r="AD356" t="s">
        <v>74</v>
      </c>
      <c r="AE356" t="s">
        <v>74</v>
      </c>
      <c r="AF356" t="s">
        <v>74</v>
      </c>
      <c r="AG356">
        <v>1</v>
      </c>
      <c r="AH356">
        <v>0</v>
      </c>
      <c r="AI356">
        <v>0</v>
      </c>
      <c r="AJ356">
        <v>0</v>
      </c>
      <c r="AK356">
        <v>0</v>
      </c>
      <c r="AL356" t="s">
        <v>146</v>
      </c>
      <c r="AM356" t="s">
        <v>147</v>
      </c>
      <c r="AN356" t="s">
        <v>148</v>
      </c>
      <c r="AO356" t="s">
        <v>2204</v>
      </c>
      <c r="AP356" t="s">
        <v>74</v>
      </c>
      <c r="AQ356" t="s">
        <v>74</v>
      </c>
      <c r="AR356" t="s">
        <v>2205</v>
      </c>
      <c r="AS356" t="s">
        <v>2206</v>
      </c>
      <c r="AT356" t="s">
        <v>7093</v>
      </c>
      <c r="AU356">
        <v>2023</v>
      </c>
      <c r="AV356">
        <v>13</v>
      </c>
      <c r="AW356">
        <v>1</v>
      </c>
      <c r="AX356" t="s">
        <v>74</v>
      </c>
      <c r="AY356" t="s">
        <v>74</v>
      </c>
      <c r="AZ356" t="s">
        <v>74</v>
      </c>
      <c r="BA356" t="s">
        <v>74</v>
      </c>
      <c r="BB356" t="s">
        <v>74</v>
      </c>
      <c r="BC356" t="s">
        <v>74</v>
      </c>
      <c r="BD356">
        <v>11743</v>
      </c>
      <c r="BE356" t="s">
        <v>7101</v>
      </c>
      <c r="BF356" t="str">
        <f>HYPERLINK("http://dx.doi.org/10.1038/s41598-023-38908-x","http://dx.doi.org/10.1038/s41598-023-38908-x")</f>
        <v>http://dx.doi.org/10.1038/s41598-023-38908-x</v>
      </c>
      <c r="BG356" t="s">
        <v>74</v>
      </c>
      <c r="BH356" t="s">
        <v>74</v>
      </c>
      <c r="BI356">
        <v>1</v>
      </c>
      <c r="BJ356" t="s">
        <v>1881</v>
      </c>
      <c r="BK356" t="s">
        <v>104</v>
      </c>
      <c r="BL356" t="s">
        <v>1882</v>
      </c>
      <c r="BM356" t="s">
        <v>7102</v>
      </c>
      <c r="BN356">
        <v>37474598</v>
      </c>
      <c r="BO356" t="s">
        <v>821</v>
      </c>
      <c r="BP356" t="s">
        <v>74</v>
      </c>
      <c r="BQ356" t="s">
        <v>74</v>
      </c>
      <c r="BR356" t="s">
        <v>107</v>
      </c>
      <c r="BS356" t="s">
        <v>7103</v>
      </c>
      <c r="BT356" t="str">
        <f>HYPERLINK("https%3A%2F%2Fwww.webofscience.com%2Fwos%2Fwoscc%2Ffull-record%2FWOS:001034058100079","View Full Record in Web of Science")</f>
        <v>View Full Record in Web of Science</v>
      </c>
    </row>
    <row r="357" spans="1:72" x14ac:dyDescent="0.15">
      <c r="A357" t="s">
        <v>72</v>
      </c>
      <c r="B357" t="s">
        <v>7104</v>
      </c>
      <c r="C357" t="s">
        <v>74</v>
      </c>
      <c r="D357" t="s">
        <v>74</v>
      </c>
      <c r="E357" t="s">
        <v>74</v>
      </c>
      <c r="F357" t="s">
        <v>7105</v>
      </c>
      <c r="G357" t="s">
        <v>74</v>
      </c>
      <c r="H357" t="s">
        <v>74</v>
      </c>
      <c r="I357" t="s">
        <v>7106</v>
      </c>
      <c r="J357" t="s">
        <v>2650</v>
      </c>
      <c r="K357" t="s">
        <v>74</v>
      </c>
      <c r="L357" t="s">
        <v>74</v>
      </c>
      <c r="M357" t="s">
        <v>78</v>
      </c>
      <c r="N357" t="s">
        <v>79</v>
      </c>
      <c r="O357" t="s">
        <v>74</v>
      </c>
      <c r="P357" t="s">
        <v>74</v>
      </c>
      <c r="Q357" t="s">
        <v>74</v>
      </c>
      <c r="R357" t="s">
        <v>74</v>
      </c>
      <c r="S357" t="s">
        <v>74</v>
      </c>
      <c r="T357" t="s">
        <v>7107</v>
      </c>
      <c r="U357" t="s">
        <v>74</v>
      </c>
      <c r="V357" t="s">
        <v>7108</v>
      </c>
      <c r="W357" t="s">
        <v>7109</v>
      </c>
      <c r="X357" t="s">
        <v>7110</v>
      </c>
      <c r="Y357" t="s">
        <v>7111</v>
      </c>
      <c r="Z357" t="s">
        <v>7112</v>
      </c>
      <c r="AA357" t="s">
        <v>74</v>
      </c>
      <c r="AB357" t="s">
        <v>74</v>
      </c>
      <c r="AC357" t="s">
        <v>7113</v>
      </c>
      <c r="AD357" t="s">
        <v>7114</v>
      </c>
      <c r="AE357" t="s">
        <v>7115</v>
      </c>
      <c r="AF357" t="s">
        <v>74</v>
      </c>
      <c r="AG357">
        <v>17</v>
      </c>
      <c r="AH357">
        <v>0</v>
      </c>
      <c r="AI357">
        <v>0</v>
      </c>
      <c r="AJ357">
        <v>0</v>
      </c>
      <c r="AK357">
        <v>3</v>
      </c>
      <c r="AL357" t="s">
        <v>172</v>
      </c>
      <c r="AM357" t="s">
        <v>173</v>
      </c>
      <c r="AN357" t="s">
        <v>174</v>
      </c>
      <c r="AO357" t="s">
        <v>2662</v>
      </c>
      <c r="AP357" t="s">
        <v>2663</v>
      </c>
      <c r="AQ357" t="s">
        <v>74</v>
      </c>
      <c r="AR357" t="s">
        <v>2664</v>
      </c>
      <c r="AS357" t="s">
        <v>2665</v>
      </c>
      <c r="AT357" t="s">
        <v>1859</v>
      </c>
      <c r="AU357">
        <v>2024</v>
      </c>
      <c r="AV357">
        <v>241</v>
      </c>
      <c r="AW357" t="s">
        <v>74</v>
      </c>
      <c r="AX357" t="s">
        <v>74</v>
      </c>
      <c r="AY357" t="s">
        <v>74</v>
      </c>
      <c r="AZ357" t="s">
        <v>74</v>
      </c>
      <c r="BA357" t="s">
        <v>74</v>
      </c>
      <c r="BB357" t="s">
        <v>74</v>
      </c>
      <c r="BC357" t="s">
        <v>74</v>
      </c>
      <c r="BD357">
        <v>103914</v>
      </c>
      <c r="BE357" t="s">
        <v>7116</v>
      </c>
      <c r="BF357" t="str">
        <f>HYPERLINK("http://dx.doi.org/10.1016/j.jmarsys.2023.103914","http://dx.doi.org/10.1016/j.jmarsys.2023.103914")</f>
        <v>http://dx.doi.org/10.1016/j.jmarsys.2023.103914</v>
      </c>
      <c r="BG357" t="s">
        <v>74</v>
      </c>
      <c r="BH357" t="s">
        <v>6115</v>
      </c>
      <c r="BI357">
        <v>5</v>
      </c>
      <c r="BJ357" t="s">
        <v>2667</v>
      </c>
      <c r="BK357" t="s">
        <v>104</v>
      </c>
      <c r="BL357" t="s">
        <v>2668</v>
      </c>
      <c r="BM357" t="s">
        <v>7117</v>
      </c>
      <c r="BN357" t="s">
        <v>74</v>
      </c>
      <c r="BO357" t="s">
        <v>74</v>
      </c>
      <c r="BP357" t="s">
        <v>74</v>
      </c>
      <c r="BQ357" t="s">
        <v>74</v>
      </c>
      <c r="BR357" t="s">
        <v>107</v>
      </c>
      <c r="BS357" t="s">
        <v>7118</v>
      </c>
      <c r="BT357" t="str">
        <f>HYPERLINK("https%3A%2F%2Fwww.webofscience.com%2Fwos%2Fwoscc%2Ffull-record%2FWOS:001049666500001","View Full Record in Web of Science")</f>
        <v>View Full Record in Web of Science</v>
      </c>
    </row>
    <row r="358" spans="1:72" x14ac:dyDescent="0.15">
      <c r="A358" t="s">
        <v>72</v>
      </c>
      <c r="B358" t="s">
        <v>7119</v>
      </c>
      <c r="C358" t="s">
        <v>74</v>
      </c>
      <c r="D358" t="s">
        <v>74</v>
      </c>
      <c r="E358" t="s">
        <v>74</v>
      </c>
      <c r="F358" t="s">
        <v>7120</v>
      </c>
      <c r="G358" t="s">
        <v>74</v>
      </c>
      <c r="H358" t="s">
        <v>74</v>
      </c>
      <c r="I358" t="s">
        <v>7121</v>
      </c>
      <c r="J358" t="s">
        <v>7122</v>
      </c>
      <c r="K358" t="s">
        <v>74</v>
      </c>
      <c r="L358" t="s">
        <v>74</v>
      </c>
      <c r="M358" t="s">
        <v>78</v>
      </c>
      <c r="N358" t="s">
        <v>79</v>
      </c>
      <c r="O358" t="s">
        <v>74</v>
      </c>
      <c r="P358" t="s">
        <v>74</v>
      </c>
      <c r="Q358" t="s">
        <v>74</v>
      </c>
      <c r="R358" t="s">
        <v>74</v>
      </c>
      <c r="S358" t="s">
        <v>74</v>
      </c>
      <c r="T358" t="s">
        <v>7123</v>
      </c>
      <c r="U358" t="s">
        <v>7124</v>
      </c>
      <c r="V358" t="s">
        <v>7125</v>
      </c>
      <c r="W358" t="s">
        <v>7126</v>
      </c>
      <c r="X358" t="s">
        <v>7127</v>
      </c>
      <c r="Y358" t="s">
        <v>7128</v>
      </c>
      <c r="Z358" t="s">
        <v>7129</v>
      </c>
      <c r="AA358" t="s">
        <v>74</v>
      </c>
      <c r="AB358" t="s">
        <v>7130</v>
      </c>
      <c r="AC358" t="s">
        <v>7131</v>
      </c>
      <c r="AD358" t="s">
        <v>7132</v>
      </c>
      <c r="AE358" t="s">
        <v>7133</v>
      </c>
      <c r="AF358" t="s">
        <v>74</v>
      </c>
      <c r="AG358">
        <v>98</v>
      </c>
      <c r="AH358">
        <v>1</v>
      </c>
      <c r="AI358">
        <v>1</v>
      </c>
      <c r="AJ358">
        <v>2</v>
      </c>
      <c r="AK358">
        <v>2</v>
      </c>
      <c r="AL358" t="s">
        <v>3672</v>
      </c>
      <c r="AM358" t="s">
        <v>538</v>
      </c>
      <c r="AN358" t="s">
        <v>3673</v>
      </c>
      <c r="AO358" t="s">
        <v>7134</v>
      </c>
      <c r="AP358" t="s">
        <v>7135</v>
      </c>
      <c r="AQ358" t="s">
        <v>74</v>
      </c>
      <c r="AR358" t="s">
        <v>7136</v>
      </c>
      <c r="AS358" t="s">
        <v>7137</v>
      </c>
      <c r="AT358" t="s">
        <v>3612</v>
      </c>
      <c r="AU358">
        <v>2023</v>
      </c>
      <c r="AV358">
        <v>77</v>
      </c>
      <c r="AW358" t="s">
        <v>74</v>
      </c>
      <c r="AX358" t="s">
        <v>74</v>
      </c>
      <c r="AY358" t="s">
        <v>74</v>
      </c>
      <c r="AZ358" t="s">
        <v>74</v>
      </c>
      <c r="BA358" t="s">
        <v>74</v>
      </c>
      <c r="BB358" t="s">
        <v>74</v>
      </c>
      <c r="BC358" t="s">
        <v>74</v>
      </c>
      <c r="BD358">
        <v>101458</v>
      </c>
      <c r="BE358" t="s">
        <v>7138</v>
      </c>
      <c r="BF358" t="str">
        <f>HYPERLINK("http://dx.doi.org/10.1016/j.quageo.2023.101458","http://dx.doi.org/10.1016/j.quageo.2023.101458")</f>
        <v>http://dx.doi.org/10.1016/j.quageo.2023.101458</v>
      </c>
      <c r="BG358" t="s">
        <v>74</v>
      </c>
      <c r="BH358" t="s">
        <v>6115</v>
      </c>
      <c r="BI358">
        <v>15</v>
      </c>
      <c r="BJ358" t="s">
        <v>1783</v>
      </c>
      <c r="BK358" t="s">
        <v>104</v>
      </c>
      <c r="BL358" t="s">
        <v>1784</v>
      </c>
      <c r="BM358" t="s">
        <v>7139</v>
      </c>
      <c r="BN358" t="s">
        <v>74</v>
      </c>
      <c r="BO358" t="s">
        <v>549</v>
      </c>
      <c r="BP358" t="s">
        <v>74</v>
      </c>
      <c r="BQ358" t="s">
        <v>74</v>
      </c>
      <c r="BR358" t="s">
        <v>107</v>
      </c>
      <c r="BS358" t="s">
        <v>7140</v>
      </c>
      <c r="BT358" t="str">
        <f>HYPERLINK("https%3A%2F%2Fwww.webofscience.com%2Fwos%2Fwoscc%2Ffull-record%2FWOS:001047035000001","View Full Record in Web of Science")</f>
        <v>View Full Record in Web of Science</v>
      </c>
    </row>
    <row r="359" spans="1:72" x14ac:dyDescent="0.15">
      <c r="A359" t="s">
        <v>72</v>
      </c>
      <c r="B359" t="s">
        <v>7141</v>
      </c>
      <c r="C359" t="s">
        <v>74</v>
      </c>
      <c r="D359" t="s">
        <v>74</v>
      </c>
      <c r="E359" t="s">
        <v>74</v>
      </c>
      <c r="F359" t="s">
        <v>7142</v>
      </c>
      <c r="G359" t="s">
        <v>74</v>
      </c>
      <c r="H359" t="s">
        <v>74</v>
      </c>
      <c r="I359" t="s">
        <v>7143</v>
      </c>
      <c r="J359" t="s">
        <v>7144</v>
      </c>
      <c r="K359" t="s">
        <v>74</v>
      </c>
      <c r="L359" t="s">
        <v>74</v>
      </c>
      <c r="M359" t="s">
        <v>78</v>
      </c>
      <c r="N359" t="s">
        <v>79</v>
      </c>
      <c r="O359" t="s">
        <v>74</v>
      </c>
      <c r="P359" t="s">
        <v>74</v>
      </c>
      <c r="Q359" t="s">
        <v>74</v>
      </c>
      <c r="R359" t="s">
        <v>74</v>
      </c>
      <c r="S359" t="s">
        <v>74</v>
      </c>
      <c r="T359" t="s">
        <v>7145</v>
      </c>
      <c r="U359" t="s">
        <v>7146</v>
      </c>
      <c r="V359" t="s">
        <v>7147</v>
      </c>
      <c r="W359" t="s">
        <v>7148</v>
      </c>
      <c r="X359" t="s">
        <v>7149</v>
      </c>
      <c r="Y359" t="s">
        <v>7150</v>
      </c>
      <c r="Z359" t="s">
        <v>7151</v>
      </c>
      <c r="AA359" t="s">
        <v>74</v>
      </c>
      <c r="AB359" t="s">
        <v>74</v>
      </c>
      <c r="AC359" t="s">
        <v>74</v>
      </c>
      <c r="AD359" t="s">
        <v>74</v>
      </c>
      <c r="AE359" t="s">
        <v>74</v>
      </c>
      <c r="AF359" t="s">
        <v>74</v>
      </c>
      <c r="AG359">
        <v>35</v>
      </c>
      <c r="AH359">
        <v>0</v>
      </c>
      <c r="AI359">
        <v>0</v>
      </c>
      <c r="AJ359">
        <v>0</v>
      </c>
      <c r="AK359">
        <v>2</v>
      </c>
      <c r="AL359" t="s">
        <v>7152</v>
      </c>
      <c r="AM359" t="s">
        <v>7153</v>
      </c>
      <c r="AN359" t="s">
        <v>7154</v>
      </c>
      <c r="AO359" t="s">
        <v>7155</v>
      </c>
      <c r="AP359" t="s">
        <v>7156</v>
      </c>
      <c r="AQ359" t="s">
        <v>74</v>
      </c>
      <c r="AR359" t="s">
        <v>7144</v>
      </c>
      <c r="AS359" t="s">
        <v>7157</v>
      </c>
      <c r="AT359" t="s">
        <v>7093</v>
      </c>
      <c r="AU359">
        <v>2023</v>
      </c>
      <c r="AV359">
        <v>45</v>
      </c>
      <c r="AW359">
        <v>13</v>
      </c>
      <c r="AX359" t="s">
        <v>74</v>
      </c>
      <c r="AY359" t="s">
        <v>74</v>
      </c>
      <c r="AZ359" t="s">
        <v>74</v>
      </c>
      <c r="BA359" t="s">
        <v>74</v>
      </c>
      <c r="BB359">
        <v>435</v>
      </c>
      <c r="BC359">
        <v>443</v>
      </c>
      <c r="BD359" t="s">
        <v>74</v>
      </c>
      <c r="BE359" t="s">
        <v>7158</v>
      </c>
      <c r="BF359" t="str">
        <f>HYPERLINK("http://dx.doi.org/10.5252/zoosystema2023v45a13","http://dx.doi.org/10.5252/zoosystema2023v45a13")</f>
        <v>http://dx.doi.org/10.5252/zoosystema2023v45a13</v>
      </c>
      <c r="BG359" t="s">
        <v>74</v>
      </c>
      <c r="BH359" t="s">
        <v>74</v>
      </c>
      <c r="BI359">
        <v>9</v>
      </c>
      <c r="BJ359" t="s">
        <v>620</v>
      </c>
      <c r="BK359" t="s">
        <v>104</v>
      </c>
      <c r="BL359" t="s">
        <v>620</v>
      </c>
      <c r="BM359" t="s">
        <v>7159</v>
      </c>
      <c r="BN359" t="s">
        <v>74</v>
      </c>
      <c r="BO359" t="s">
        <v>418</v>
      </c>
      <c r="BP359" t="s">
        <v>74</v>
      </c>
      <c r="BQ359" t="s">
        <v>74</v>
      </c>
      <c r="BR359" t="s">
        <v>107</v>
      </c>
      <c r="BS359" t="s">
        <v>7160</v>
      </c>
      <c r="BT359" t="str">
        <f>HYPERLINK("https%3A%2F%2Fwww.webofscience.com%2Fwos%2Fwoscc%2Ffull-record%2FWOS:001037635300001","View Full Record in Web of Science")</f>
        <v>View Full Record in Web of Science</v>
      </c>
    </row>
    <row r="360" spans="1:72" x14ac:dyDescent="0.15">
      <c r="A360" t="s">
        <v>72</v>
      </c>
      <c r="B360" t="s">
        <v>7161</v>
      </c>
      <c r="C360" t="s">
        <v>74</v>
      </c>
      <c r="D360" t="s">
        <v>74</v>
      </c>
      <c r="E360" t="s">
        <v>74</v>
      </c>
      <c r="F360" t="s">
        <v>7162</v>
      </c>
      <c r="G360" t="s">
        <v>74</v>
      </c>
      <c r="H360" t="s">
        <v>74</v>
      </c>
      <c r="I360" t="s">
        <v>7163</v>
      </c>
      <c r="J360" t="s">
        <v>2714</v>
      </c>
      <c r="K360" t="s">
        <v>74</v>
      </c>
      <c r="L360" t="s">
        <v>74</v>
      </c>
      <c r="M360" t="s">
        <v>78</v>
      </c>
      <c r="N360" t="s">
        <v>79</v>
      </c>
      <c r="O360" t="s">
        <v>74</v>
      </c>
      <c r="P360" t="s">
        <v>74</v>
      </c>
      <c r="Q360" t="s">
        <v>74</v>
      </c>
      <c r="R360" t="s">
        <v>74</v>
      </c>
      <c r="S360" t="s">
        <v>74</v>
      </c>
      <c r="T360" t="s">
        <v>74</v>
      </c>
      <c r="U360" t="s">
        <v>7164</v>
      </c>
      <c r="V360" t="s">
        <v>7165</v>
      </c>
      <c r="W360" t="s">
        <v>7166</v>
      </c>
      <c r="X360" t="s">
        <v>7167</v>
      </c>
      <c r="Y360" t="s">
        <v>7168</v>
      </c>
      <c r="Z360" t="s">
        <v>7169</v>
      </c>
      <c r="AA360" t="s">
        <v>74</v>
      </c>
      <c r="AB360" t="s">
        <v>7170</v>
      </c>
      <c r="AC360" t="s">
        <v>7171</v>
      </c>
      <c r="AD360" t="s">
        <v>7172</v>
      </c>
      <c r="AE360" t="s">
        <v>7173</v>
      </c>
      <c r="AF360" t="s">
        <v>74</v>
      </c>
      <c r="AG360">
        <v>70</v>
      </c>
      <c r="AH360">
        <v>2</v>
      </c>
      <c r="AI360">
        <v>2</v>
      </c>
      <c r="AJ360">
        <v>4</v>
      </c>
      <c r="AK360">
        <v>6</v>
      </c>
      <c r="AL360" t="s">
        <v>146</v>
      </c>
      <c r="AM360" t="s">
        <v>147</v>
      </c>
      <c r="AN360" t="s">
        <v>148</v>
      </c>
      <c r="AO360" t="s">
        <v>2724</v>
      </c>
      <c r="AP360" t="s">
        <v>74</v>
      </c>
      <c r="AQ360" t="s">
        <v>74</v>
      </c>
      <c r="AR360" t="s">
        <v>2725</v>
      </c>
      <c r="AS360" t="s">
        <v>2726</v>
      </c>
      <c r="AT360" t="s">
        <v>7093</v>
      </c>
      <c r="AU360">
        <v>2023</v>
      </c>
      <c r="AV360">
        <v>6</v>
      </c>
      <c r="AW360">
        <v>1</v>
      </c>
      <c r="AX360" t="s">
        <v>74</v>
      </c>
      <c r="AY360" t="s">
        <v>74</v>
      </c>
      <c r="AZ360" t="s">
        <v>74</v>
      </c>
      <c r="BA360" t="s">
        <v>74</v>
      </c>
      <c r="BB360" t="s">
        <v>74</v>
      </c>
      <c r="BC360" t="s">
        <v>74</v>
      </c>
      <c r="BD360">
        <v>96</v>
      </c>
      <c r="BE360" t="s">
        <v>7174</v>
      </c>
      <c r="BF360" t="str">
        <f>HYPERLINK("http://dx.doi.org/10.1038/s41612-023-00409-z","http://dx.doi.org/10.1038/s41612-023-00409-z")</f>
        <v>http://dx.doi.org/10.1038/s41612-023-00409-z</v>
      </c>
      <c r="BG360" t="s">
        <v>74</v>
      </c>
      <c r="BH360" t="s">
        <v>74</v>
      </c>
      <c r="BI360">
        <v>9</v>
      </c>
      <c r="BJ360" t="s">
        <v>103</v>
      </c>
      <c r="BK360" t="s">
        <v>104</v>
      </c>
      <c r="BL360" t="s">
        <v>103</v>
      </c>
      <c r="BM360" t="s">
        <v>7175</v>
      </c>
      <c r="BN360" t="s">
        <v>74</v>
      </c>
      <c r="BO360" t="s">
        <v>6754</v>
      </c>
      <c r="BP360" t="s">
        <v>74</v>
      </c>
      <c r="BQ360" t="s">
        <v>74</v>
      </c>
      <c r="BR360" t="s">
        <v>107</v>
      </c>
      <c r="BS360" t="s">
        <v>7176</v>
      </c>
      <c r="BT360" t="str">
        <f>HYPERLINK("https%3A%2F%2Fwww.webofscience.com%2Fwos%2Fwoscc%2Ffull-record%2FWOS:001032857100003","View Full Record in Web of Science")</f>
        <v>View Full Record in Web of Science</v>
      </c>
    </row>
    <row r="361" spans="1:72" x14ac:dyDescent="0.15">
      <c r="A361" t="s">
        <v>72</v>
      </c>
      <c r="B361" t="s">
        <v>7177</v>
      </c>
      <c r="C361" t="s">
        <v>74</v>
      </c>
      <c r="D361" t="s">
        <v>74</v>
      </c>
      <c r="E361" t="s">
        <v>74</v>
      </c>
      <c r="F361" t="s">
        <v>7178</v>
      </c>
      <c r="G361" t="s">
        <v>74</v>
      </c>
      <c r="H361" t="s">
        <v>74</v>
      </c>
      <c r="I361" t="s">
        <v>7179</v>
      </c>
      <c r="J361" t="s">
        <v>6844</v>
      </c>
      <c r="K361" t="s">
        <v>74</v>
      </c>
      <c r="L361" t="s">
        <v>74</v>
      </c>
      <c r="M361" t="s">
        <v>78</v>
      </c>
      <c r="N361" t="s">
        <v>79</v>
      </c>
      <c r="O361" t="s">
        <v>74</v>
      </c>
      <c r="P361" t="s">
        <v>74</v>
      </c>
      <c r="Q361" t="s">
        <v>74</v>
      </c>
      <c r="R361" t="s">
        <v>74</v>
      </c>
      <c r="S361" t="s">
        <v>74</v>
      </c>
      <c r="T361" t="s">
        <v>7180</v>
      </c>
      <c r="U361" t="s">
        <v>7181</v>
      </c>
      <c r="V361" t="s">
        <v>7182</v>
      </c>
      <c r="W361" t="s">
        <v>7183</v>
      </c>
      <c r="X361" t="s">
        <v>7184</v>
      </c>
      <c r="Y361" t="s">
        <v>7185</v>
      </c>
      <c r="Z361" t="s">
        <v>7186</v>
      </c>
      <c r="AA361" t="s">
        <v>74</v>
      </c>
      <c r="AB361" t="s">
        <v>7187</v>
      </c>
      <c r="AC361" t="s">
        <v>7188</v>
      </c>
      <c r="AD361" t="s">
        <v>7189</v>
      </c>
      <c r="AE361" t="s">
        <v>7190</v>
      </c>
      <c r="AF361" t="s">
        <v>74</v>
      </c>
      <c r="AG361">
        <v>148</v>
      </c>
      <c r="AH361">
        <v>4</v>
      </c>
      <c r="AI361">
        <v>4</v>
      </c>
      <c r="AJ361">
        <v>10</v>
      </c>
      <c r="AK361">
        <v>10</v>
      </c>
      <c r="AL361" t="s">
        <v>3672</v>
      </c>
      <c r="AM361" t="s">
        <v>7191</v>
      </c>
      <c r="AN361" t="s">
        <v>7192</v>
      </c>
      <c r="AO361" t="s">
        <v>6855</v>
      </c>
      <c r="AP361" t="s">
        <v>6856</v>
      </c>
      <c r="AQ361" t="s">
        <v>74</v>
      </c>
      <c r="AR361" t="s">
        <v>6857</v>
      </c>
      <c r="AS361" t="s">
        <v>6858</v>
      </c>
      <c r="AT361" t="s">
        <v>97</v>
      </c>
      <c r="AU361">
        <v>2023</v>
      </c>
      <c r="AV361">
        <v>155</v>
      </c>
      <c r="AW361" t="s">
        <v>74</v>
      </c>
      <c r="AX361" t="s">
        <v>74</v>
      </c>
      <c r="AY361" t="s">
        <v>74</v>
      </c>
      <c r="AZ361" t="s">
        <v>74</v>
      </c>
      <c r="BA361" t="s">
        <v>74</v>
      </c>
      <c r="BB361" t="s">
        <v>74</v>
      </c>
      <c r="BC361" t="s">
        <v>74</v>
      </c>
      <c r="BD361">
        <v>105747</v>
      </c>
      <c r="BE361" t="s">
        <v>7193</v>
      </c>
      <c r="BF361" t="str">
        <f>HYPERLINK("http://dx.doi.org/10.1016/j.marpol.2023.105747","http://dx.doi.org/10.1016/j.marpol.2023.105747")</f>
        <v>http://dx.doi.org/10.1016/j.marpol.2023.105747</v>
      </c>
      <c r="BG361" t="s">
        <v>74</v>
      </c>
      <c r="BH361" t="s">
        <v>6115</v>
      </c>
      <c r="BI361">
        <v>15</v>
      </c>
      <c r="BJ361" t="s">
        <v>6860</v>
      </c>
      <c r="BK361" t="s">
        <v>6861</v>
      </c>
      <c r="BL361" t="s">
        <v>6862</v>
      </c>
      <c r="BM361" t="s">
        <v>7194</v>
      </c>
      <c r="BN361" t="s">
        <v>74</v>
      </c>
      <c r="BO361" t="s">
        <v>74</v>
      </c>
      <c r="BP361" t="s">
        <v>74</v>
      </c>
      <c r="BQ361" t="s">
        <v>74</v>
      </c>
      <c r="BR361" t="s">
        <v>107</v>
      </c>
      <c r="BS361" t="s">
        <v>7195</v>
      </c>
      <c r="BT361" t="str">
        <f>HYPERLINK("https%3A%2F%2Fwww.webofscience.com%2Fwos%2Fwoscc%2Ffull-record%2FWOS:001147738500001","View Full Record in Web of Science")</f>
        <v>View Full Record in Web of Science</v>
      </c>
    </row>
    <row r="362" spans="1:72" x14ac:dyDescent="0.15">
      <c r="A362" t="s">
        <v>72</v>
      </c>
      <c r="B362" t="s">
        <v>7196</v>
      </c>
      <c r="C362" t="s">
        <v>74</v>
      </c>
      <c r="D362" t="s">
        <v>74</v>
      </c>
      <c r="E362" t="s">
        <v>74</v>
      </c>
      <c r="F362" t="s">
        <v>7197</v>
      </c>
      <c r="G362" t="s">
        <v>74</v>
      </c>
      <c r="H362" t="s">
        <v>74</v>
      </c>
      <c r="I362" t="s">
        <v>7198</v>
      </c>
      <c r="J362" t="s">
        <v>3154</v>
      </c>
      <c r="K362" t="s">
        <v>74</v>
      </c>
      <c r="L362" t="s">
        <v>74</v>
      </c>
      <c r="M362" t="s">
        <v>78</v>
      </c>
      <c r="N362" t="s">
        <v>79</v>
      </c>
      <c r="O362" t="s">
        <v>74</v>
      </c>
      <c r="P362" t="s">
        <v>74</v>
      </c>
      <c r="Q362" t="s">
        <v>74</v>
      </c>
      <c r="R362" t="s">
        <v>74</v>
      </c>
      <c r="S362" t="s">
        <v>74</v>
      </c>
      <c r="T362" t="s">
        <v>7199</v>
      </c>
      <c r="U362" t="s">
        <v>7200</v>
      </c>
      <c r="V362" t="s">
        <v>7201</v>
      </c>
      <c r="W362" t="s">
        <v>7202</v>
      </c>
      <c r="X362" t="s">
        <v>7203</v>
      </c>
      <c r="Y362" t="s">
        <v>7204</v>
      </c>
      <c r="Z362" t="s">
        <v>7205</v>
      </c>
      <c r="AA362" t="s">
        <v>7206</v>
      </c>
      <c r="AB362" t="s">
        <v>7207</v>
      </c>
      <c r="AC362" t="s">
        <v>7208</v>
      </c>
      <c r="AD362" t="s">
        <v>7209</v>
      </c>
      <c r="AE362" t="s">
        <v>7210</v>
      </c>
      <c r="AF362" t="s">
        <v>74</v>
      </c>
      <c r="AG362">
        <v>74</v>
      </c>
      <c r="AH362">
        <v>0</v>
      </c>
      <c r="AI362">
        <v>0</v>
      </c>
      <c r="AJ362">
        <v>2</v>
      </c>
      <c r="AK362">
        <v>3</v>
      </c>
      <c r="AL362" t="s">
        <v>2305</v>
      </c>
      <c r="AM362" t="s">
        <v>538</v>
      </c>
      <c r="AN362" t="s">
        <v>2306</v>
      </c>
      <c r="AO362" t="s">
        <v>3167</v>
      </c>
      <c r="AP362" t="s">
        <v>3168</v>
      </c>
      <c r="AQ362" t="s">
        <v>74</v>
      </c>
      <c r="AR362" t="s">
        <v>3169</v>
      </c>
      <c r="AS362" t="s">
        <v>3170</v>
      </c>
      <c r="AT362" t="s">
        <v>544</v>
      </c>
      <c r="AU362">
        <v>2023</v>
      </c>
      <c r="AV362">
        <v>356</v>
      </c>
      <c r="AW362" t="s">
        <v>74</v>
      </c>
      <c r="AX362" t="s">
        <v>74</v>
      </c>
      <c r="AY362" t="s">
        <v>74</v>
      </c>
      <c r="AZ362" t="s">
        <v>74</v>
      </c>
      <c r="BA362" t="s">
        <v>74</v>
      </c>
      <c r="BB362">
        <v>51</v>
      </c>
      <c r="BC362">
        <v>65</v>
      </c>
      <c r="BD362" t="s">
        <v>74</v>
      </c>
      <c r="BE362" t="s">
        <v>7211</v>
      </c>
      <c r="BF362" t="str">
        <f>HYPERLINK("http://dx.doi.org/10.1016/j.gca.2023.07.003","http://dx.doi.org/10.1016/j.gca.2023.07.003")</f>
        <v>http://dx.doi.org/10.1016/j.gca.2023.07.003</v>
      </c>
      <c r="BG362" t="s">
        <v>74</v>
      </c>
      <c r="BH362" t="s">
        <v>6115</v>
      </c>
      <c r="BI362">
        <v>15</v>
      </c>
      <c r="BJ362" t="s">
        <v>597</v>
      </c>
      <c r="BK362" t="s">
        <v>104</v>
      </c>
      <c r="BL362" t="s">
        <v>597</v>
      </c>
      <c r="BM362" t="s">
        <v>7212</v>
      </c>
      <c r="BN362" t="s">
        <v>74</v>
      </c>
      <c r="BO362" t="s">
        <v>883</v>
      </c>
      <c r="BP362" t="s">
        <v>74</v>
      </c>
      <c r="BQ362" t="s">
        <v>74</v>
      </c>
      <c r="BR362" t="s">
        <v>107</v>
      </c>
      <c r="BS362" t="s">
        <v>7213</v>
      </c>
      <c r="BT362" t="str">
        <f>HYPERLINK("https%3A%2F%2Fwww.webofscience.com%2Fwos%2Fwoscc%2Ffull-record%2FWOS:001049222900001","View Full Record in Web of Science")</f>
        <v>View Full Record in Web of Science</v>
      </c>
    </row>
    <row r="363" spans="1:72" x14ac:dyDescent="0.15">
      <c r="A363" t="s">
        <v>72</v>
      </c>
      <c r="B363" t="s">
        <v>7214</v>
      </c>
      <c r="C363" t="s">
        <v>74</v>
      </c>
      <c r="D363" t="s">
        <v>74</v>
      </c>
      <c r="E363" t="s">
        <v>74</v>
      </c>
      <c r="F363" t="s">
        <v>7215</v>
      </c>
      <c r="G363" t="s">
        <v>74</v>
      </c>
      <c r="H363" t="s">
        <v>74</v>
      </c>
      <c r="I363" t="s">
        <v>7216</v>
      </c>
      <c r="J363" t="s">
        <v>4497</v>
      </c>
      <c r="K363" t="s">
        <v>74</v>
      </c>
      <c r="L363" t="s">
        <v>74</v>
      </c>
      <c r="M363" t="s">
        <v>78</v>
      </c>
      <c r="N363" t="s">
        <v>79</v>
      </c>
      <c r="O363" t="s">
        <v>74</v>
      </c>
      <c r="P363" t="s">
        <v>74</v>
      </c>
      <c r="Q363" t="s">
        <v>74</v>
      </c>
      <c r="R363" t="s">
        <v>74</v>
      </c>
      <c r="S363" t="s">
        <v>74</v>
      </c>
      <c r="T363" t="s">
        <v>7217</v>
      </c>
      <c r="U363" t="s">
        <v>7218</v>
      </c>
      <c r="V363" t="s">
        <v>7219</v>
      </c>
      <c r="W363" t="s">
        <v>7220</v>
      </c>
      <c r="X363" t="s">
        <v>3135</v>
      </c>
      <c r="Y363" t="s">
        <v>7221</v>
      </c>
      <c r="Z363" t="s">
        <v>7222</v>
      </c>
      <c r="AA363" t="s">
        <v>74</v>
      </c>
      <c r="AB363" t="s">
        <v>6995</v>
      </c>
      <c r="AC363" t="s">
        <v>7223</v>
      </c>
      <c r="AD363" t="s">
        <v>7224</v>
      </c>
      <c r="AE363" t="s">
        <v>7225</v>
      </c>
      <c r="AF363" t="s">
        <v>74</v>
      </c>
      <c r="AG363">
        <v>71</v>
      </c>
      <c r="AH363">
        <v>0</v>
      </c>
      <c r="AI363">
        <v>0</v>
      </c>
      <c r="AJ363">
        <v>4</v>
      </c>
      <c r="AK363">
        <v>7</v>
      </c>
      <c r="AL363" t="s">
        <v>172</v>
      </c>
      <c r="AM363" t="s">
        <v>173</v>
      </c>
      <c r="AN363" t="s">
        <v>174</v>
      </c>
      <c r="AO363" t="s">
        <v>4506</v>
      </c>
      <c r="AP363" t="s">
        <v>4507</v>
      </c>
      <c r="AQ363" t="s">
        <v>74</v>
      </c>
      <c r="AR363" t="s">
        <v>4497</v>
      </c>
      <c r="AS363" t="s">
        <v>4508</v>
      </c>
      <c r="AT363" t="s">
        <v>2125</v>
      </c>
      <c r="AU363">
        <v>2023</v>
      </c>
      <c r="AV363">
        <v>576</v>
      </c>
      <c r="AW363" t="s">
        <v>74</v>
      </c>
      <c r="AX363" t="s">
        <v>74</v>
      </c>
      <c r="AY363" t="s">
        <v>74</v>
      </c>
      <c r="AZ363" t="s">
        <v>74</v>
      </c>
      <c r="BA363" t="s">
        <v>74</v>
      </c>
      <c r="BB363" t="s">
        <v>74</v>
      </c>
      <c r="BC363" t="s">
        <v>74</v>
      </c>
      <c r="BD363">
        <v>739883</v>
      </c>
      <c r="BE363" t="s">
        <v>7226</v>
      </c>
      <c r="BF363" t="str">
        <f>HYPERLINK("http://dx.doi.org/10.1016/j.aquaculture.2023.739883","http://dx.doi.org/10.1016/j.aquaculture.2023.739883")</f>
        <v>http://dx.doi.org/10.1016/j.aquaculture.2023.739883</v>
      </c>
      <c r="BG363" t="s">
        <v>74</v>
      </c>
      <c r="BH363" t="s">
        <v>6115</v>
      </c>
      <c r="BI363">
        <v>9</v>
      </c>
      <c r="BJ363" t="s">
        <v>1757</v>
      </c>
      <c r="BK363" t="s">
        <v>104</v>
      </c>
      <c r="BL363" t="s">
        <v>1757</v>
      </c>
      <c r="BM363" t="s">
        <v>7227</v>
      </c>
      <c r="BN363" t="s">
        <v>74</v>
      </c>
      <c r="BO363" t="s">
        <v>74</v>
      </c>
      <c r="BP363" t="s">
        <v>74</v>
      </c>
      <c r="BQ363" t="s">
        <v>74</v>
      </c>
      <c r="BR363" t="s">
        <v>107</v>
      </c>
      <c r="BS363" t="s">
        <v>7228</v>
      </c>
      <c r="BT363" t="str">
        <f>HYPERLINK("https%3A%2F%2Fwww.webofscience.com%2Fwos%2Fwoscc%2Ffull-record%2FWOS:001045899500001","View Full Record in Web of Science")</f>
        <v>View Full Record in Web of Science</v>
      </c>
    </row>
    <row r="364" spans="1:72" x14ac:dyDescent="0.15">
      <c r="A364" t="s">
        <v>72</v>
      </c>
      <c r="B364" t="s">
        <v>7229</v>
      </c>
      <c r="C364" t="s">
        <v>74</v>
      </c>
      <c r="D364" t="s">
        <v>74</v>
      </c>
      <c r="E364" t="s">
        <v>74</v>
      </c>
      <c r="F364" t="s">
        <v>7230</v>
      </c>
      <c r="G364" t="s">
        <v>74</v>
      </c>
      <c r="H364" t="s">
        <v>74</v>
      </c>
      <c r="I364" t="s">
        <v>7231</v>
      </c>
      <c r="J364" t="s">
        <v>7232</v>
      </c>
      <c r="K364" t="s">
        <v>74</v>
      </c>
      <c r="L364" t="s">
        <v>74</v>
      </c>
      <c r="M364" t="s">
        <v>78</v>
      </c>
      <c r="N364" t="s">
        <v>869</v>
      </c>
      <c r="O364" t="s">
        <v>74</v>
      </c>
      <c r="P364" t="s">
        <v>74</v>
      </c>
      <c r="Q364" t="s">
        <v>74</v>
      </c>
      <c r="R364" t="s">
        <v>74</v>
      </c>
      <c r="S364" t="s">
        <v>74</v>
      </c>
      <c r="T364" t="s">
        <v>74</v>
      </c>
      <c r="U364" t="s">
        <v>7233</v>
      </c>
      <c r="V364" t="s">
        <v>74</v>
      </c>
      <c r="W364" t="s">
        <v>7234</v>
      </c>
      <c r="X364" t="s">
        <v>7235</v>
      </c>
      <c r="Y364" t="s">
        <v>7236</v>
      </c>
      <c r="Z364" t="s">
        <v>7237</v>
      </c>
      <c r="AA364" t="s">
        <v>7238</v>
      </c>
      <c r="AB364" t="s">
        <v>7239</v>
      </c>
      <c r="AC364" t="s">
        <v>7240</v>
      </c>
      <c r="AD364" t="s">
        <v>7241</v>
      </c>
      <c r="AE364" t="s">
        <v>7242</v>
      </c>
      <c r="AF364" t="s">
        <v>74</v>
      </c>
      <c r="AG364">
        <v>15</v>
      </c>
      <c r="AH364">
        <v>4</v>
      </c>
      <c r="AI364">
        <v>4</v>
      </c>
      <c r="AJ364">
        <v>12</v>
      </c>
      <c r="AK364">
        <v>22</v>
      </c>
      <c r="AL364" t="s">
        <v>172</v>
      </c>
      <c r="AM364" t="s">
        <v>173</v>
      </c>
      <c r="AN364" t="s">
        <v>174</v>
      </c>
      <c r="AO364" t="s">
        <v>7243</v>
      </c>
      <c r="AP364" t="s">
        <v>7244</v>
      </c>
      <c r="AQ364" t="s">
        <v>74</v>
      </c>
      <c r="AR364" t="s">
        <v>7245</v>
      </c>
      <c r="AS364" t="s">
        <v>7246</v>
      </c>
      <c r="AT364" t="s">
        <v>7247</v>
      </c>
      <c r="AU364">
        <v>2023</v>
      </c>
      <c r="AV364">
        <v>68</v>
      </c>
      <c r="AW364">
        <v>13</v>
      </c>
      <c r="AX364" t="s">
        <v>74</v>
      </c>
      <c r="AY364" t="s">
        <v>74</v>
      </c>
      <c r="AZ364" t="s">
        <v>74</v>
      </c>
      <c r="BA364" t="s">
        <v>74</v>
      </c>
      <c r="BB364">
        <v>1361</v>
      </c>
      <c r="BC364">
        <v>1365</v>
      </c>
      <c r="BD364" t="s">
        <v>74</v>
      </c>
      <c r="BE364" t="s">
        <v>7248</v>
      </c>
      <c r="BF364" t="str">
        <f>HYPERLINK("http://dx.doi.org/10.1016/j.scib.2023.05.035","http://dx.doi.org/10.1016/j.scib.2023.05.035")</f>
        <v>http://dx.doi.org/10.1016/j.scib.2023.05.035</v>
      </c>
      <c r="BG364" t="s">
        <v>74</v>
      </c>
      <c r="BH364" t="s">
        <v>6115</v>
      </c>
      <c r="BI364">
        <v>5</v>
      </c>
      <c r="BJ364" t="s">
        <v>1881</v>
      </c>
      <c r="BK364" t="s">
        <v>104</v>
      </c>
      <c r="BL364" t="s">
        <v>1882</v>
      </c>
      <c r="BM364" t="s">
        <v>7249</v>
      </c>
      <c r="BN364">
        <v>37308366</v>
      </c>
      <c r="BO364" t="s">
        <v>133</v>
      </c>
      <c r="BP364" t="s">
        <v>74</v>
      </c>
      <c r="BQ364" t="s">
        <v>74</v>
      </c>
      <c r="BR364" t="s">
        <v>107</v>
      </c>
      <c r="BS364" t="s">
        <v>7250</v>
      </c>
      <c r="BT364" t="str">
        <f>HYPERLINK("https%3A%2F%2Fwww.webofscience.com%2Fwos%2Fwoscc%2Ffull-record%2FWOS:001047677800001","View Full Record in Web of Science")</f>
        <v>View Full Record in Web of Science</v>
      </c>
    </row>
    <row r="365" spans="1:72" x14ac:dyDescent="0.15">
      <c r="A365" t="s">
        <v>72</v>
      </c>
      <c r="B365" t="s">
        <v>7251</v>
      </c>
      <c r="C365" t="s">
        <v>74</v>
      </c>
      <c r="D365" t="s">
        <v>74</v>
      </c>
      <c r="E365" t="s">
        <v>74</v>
      </c>
      <c r="F365" t="s">
        <v>7252</v>
      </c>
      <c r="G365" t="s">
        <v>74</v>
      </c>
      <c r="H365" t="s">
        <v>74</v>
      </c>
      <c r="I365" t="s">
        <v>7253</v>
      </c>
      <c r="J365" t="s">
        <v>2056</v>
      </c>
      <c r="K365" t="s">
        <v>74</v>
      </c>
      <c r="L365" t="s">
        <v>74</v>
      </c>
      <c r="M365" t="s">
        <v>78</v>
      </c>
      <c r="N365" t="s">
        <v>79</v>
      </c>
      <c r="O365" t="s">
        <v>74</v>
      </c>
      <c r="P365" t="s">
        <v>74</v>
      </c>
      <c r="Q365" t="s">
        <v>74</v>
      </c>
      <c r="R365" t="s">
        <v>74</v>
      </c>
      <c r="S365" t="s">
        <v>74</v>
      </c>
      <c r="T365" t="s">
        <v>74</v>
      </c>
      <c r="U365" t="s">
        <v>7254</v>
      </c>
      <c r="V365" t="s">
        <v>7255</v>
      </c>
      <c r="W365" t="s">
        <v>7256</v>
      </c>
      <c r="X365" t="s">
        <v>7257</v>
      </c>
      <c r="Y365" t="s">
        <v>7258</v>
      </c>
      <c r="Z365" t="s">
        <v>7259</v>
      </c>
      <c r="AA365" t="s">
        <v>74</v>
      </c>
      <c r="AB365" t="s">
        <v>7260</v>
      </c>
      <c r="AC365" t="s">
        <v>74</v>
      </c>
      <c r="AD365" t="s">
        <v>74</v>
      </c>
      <c r="AE365" t="s">
        <v>74</v>
      </c>
      <c r="AF365" t="s">
        <v>74</v>
      </c>
      <c r="AG365">
        <v>50</v>
      </c>
      <c r="AH365">
        <v>2</v>
      </c>
      <c r="AI365">
        <v>2</v>
      </c>
      <c r="AJ365">
        <v>2</v>
      </c>
      <c r="AK365">
        <v>4</v>
      </c>
      <c r="AL365" t="s">
        <v>2068</v>
      </c>
      <c r="AM365" t="s">
        <v>2069</v>
      </c>
      <c r="AN365" t="s">
        <v>2070</v>
      </c>
      <c r="AO365" t="s">
        <v>2071</v>
      </c>
      <c r="AP365" t="s">
        <v>74</v>
      </c>
      <c r="AQ365" t="s">
        <v>74</v>
      </c>
      <c r="AR365" t="s">
        <v>2056</v>
      </c>
      <c r="AS365" t="s">
        <v>2072</v>
      </c>
      <c r="AT365" t="s">
        <v>7261</v>
      </c>
      <c r="AU365">
        <v>2023</v>
      </c>
      <c r="AV365">
        <v>18</v>
      </c>
      <c r="AW365">
        <v>7</v>
      </c>
      <c r="AX365" t="s">
        <v>74</v>
      </c>
      <c r="AY365" t="s">
        <v>74</v>
      </c>
      <c r="AZ365" t="s">
        <v>74</v>
      </c>
      <c r="BA365" t="s">
        <v>74</v>
      </c>
      <c r="BB365" t="s">
        <v>74</v>
      </c>
      <c r="BC365" t="s">
        <v>74</v>
      </c>
      <c r="BD365" t="s">
        <v>7262</v>
      </c>
      <c r="BE365" t="s">
        <v>7263</v>
      </c>
      <c r="BF365" t="str">
        <f>HYPERLINK("http://dx.doi.org/10.1371/journal.pone.0246617","http://dx.doi.org/10.1371/journal.pone.0246617")</f>
        <v>http://dx.doi.org/10.1371/journal.pone.0246617</v>
      </c>
      <c r="BG365" t="s">
        <v>74</v>
      </c>
      <c r="BH365" t="s">
        <v>74</v>
      </c>
      <c r="BI365">
        <v>16</v>
      </c>
      <c r="BJ365" t="s">
        <v>1881</v>
      </c>
      <c r="BK365" t="s">
        <v>104</v>
      </c>
      <c r="BL365" t="s">
        <v>1882</v>
      </c>
      <c r="BM365" t="s">
        <v>7264</v>
      </c>
      <c r="BN365">
        <v>37467252</v>
      </c>
      <c r="BO365" t="s">
        <v>7265</v>
      </c>
      <c r="BP365" t="s">
        <v>74</v>
      </c>
      <c r="BQ365" t="s">
        <v>74</v>
      </c>
      <c r="BR365" t="s">
        <v>107</v>
      </c>
      <c r="BS365" t="s">
        <v>7266</v>
      </c>
      <c r="BT365" t="str">
        <f>HYPERLINK("https%3A%2F%2Fwww.webofscience.com%2Fwos%2Fwoscc%2Ffull-record%2FWOS:001034831500055","View Full Record in Web of Science")</f>
        <v>View Full Record in Web of Science</v>
      </c>
    </row>
    <row r="366" spans="1:72" x14ac:dyDescent="0.15">
      <c r="A366" t="s">
        <v>72</v>
      </c>
      <c r="B366" t="s">
        <v>7267</v>
      </c>
      <c r="C366" t="s">
        <v>74</v>
      </c>
      <c r="D366" t="s">
        <v>74</v>
      </c>
      <c r="E366" t="s">
        <v>74</v>
      </c>
      <c r="F366" t="s">
        <v>7268</v>
      </c>
      <c r="G366" t="s">
        <v>74</v>
      </c>
      <c r="H366" t="s">
        <v>74</v>
      </c>
      <c r="I366" t="s">
        <v>7269</v>
      </c>
      <c r="J366" t="s">
        <v>1820</v>
      </c>
      <c r="K366" t="s">
        <v>74</v>
      </c>
      <c r="L366" t="s">
        <v>74</v>
      </c>
      <c r="M366" t="s">
        <v>78</v>
      </c>
      <c r="N366" t="s">
        <v>79</v>
      </c>
      <c r="O366" t="s">
        <v>74</v>
      </c>
      <c r="P366" t="s">
        <v>74</v>
      </c>
      <c r="Q366" t="s">
        <v>74</v>
      </c>
      <c r="R366" t="s">
        <v>74</v>
      </c>
      <c r="S366" t="s">
        <v>74</v>
      </c>
      <c r="T366" t="s">
        <v>7270</v>
      </c>
      <c r="U366" t="s">
        <v>7271</v>
      </c>
      <c r="V366" t="s">
        <v>7272</v>
      </c>
      <c r="W366" t="s">
        <v>7273</v>
      </c>
      <c r="X366" t="s">
        <v>7274</v>
      </c>
      <c r="Y366" t="s">
        <v>7275</v>
      </c>
      <c r="Z366" t="s">
        <v>7276</v>
      </c>
      <c r="AA366" t="s">
        <v>7277</v>
      </c>
      <c r="AB366" t="s">
        <v>7278</v>
      </c>
      <c r="AC366" t="s">
        <v>7279</v>
      </c>
      <c r="AD366" t="s">
        <v>7280</v>
      </c>
      <c r="AE366" t="s">
        <v>7281</v>
      </c>
      <c r="AF366" t="s">
        <v>74</v>
      </c>
      <c r="AG366">
        <v>72</v>
      </c>
      <c r="AH366">
        <v>2</v>
      </c>
      <c r="AI366">
        <v>2</v>
      </c>
      <c r="AJ366">
        <v>7</v>
      </c>
      <c r="AK366">
        <v>16</v>
      </c>
      <c r="AL366" t="s">
        <v>994</v>
      </c>
      <c r="AM366" t="s">
        <v>995</v>
      </c>
      <c r="AN366" t="s">
        <v>996</v>
      </c>
      <c r="AO366" t="s">
        <v>74</v>
      </c>
      <c r="AP366" t="s">
        <v>1833</v>
      </c>
      <c r="AQ366" t="s">
        <v>74</v>
      </c>
      <c r="AR366" t="s">
        <v>1834</v>
      </c>
      <c r="AS366" t="s">
        <v>1835</v>
      </c>
      <c r="AT366" t="s">
        <v>7261</v>
      </c>
      <c r="AU366">
        <v>2023</v>
      </c>
      <c r="AV366">
        <v>14</v>
      </c>
      <c r="AW366" t="s">
        <v>74</v>
      </c>
      <c r="AX366" t="s">
        <v>74</v>
      </c>
      <c r="AY366" t="s">
        <v>74</v>
      </c>
      <c r="AZ366" t="s">
        <v>74</v>
      </c>
      <c r="BA366" t="s">
        <v>74</v>
      </c>
      <c r="BB366" t="s">
        <v>74</v>
      </c>
      <c r="BC366" t="s">
        <v>74</v>
      </c>
      <c r="BD366">
        <v>1197399</v>
      </c>
      <c r="BE366" t="s">
        <v>7282</v>
      </c>
      <c r="BF366" t="str">
        <f>HYPERLINK("http://dx.doi.org/10.3389/fmicb.2023.1197399","http://dx.doi.org/10.3389/fmicb.2023.1197399")</f>
        <v>http://dx.doi.org/10.3389/fmicb.2023.1197399</v>
      </c>
      <c r="BG366" t="s">
        <v>74</v>
      </c>
      <c r="BH366" t="s">
        <v>74</v>
      </c>
      <c r="BI366">
        <v>10</v>
      </c>
      <c r="BJ366" t="s">
        <v>702</v>
      </c>
      <c r="BK366" t="s">
        <v>104</v>
      </c>
      <c r="BL366" t="s">
        <v>702</v>
      </c>
      <c r="BM366" t="s">
        <v>7283</v>
      </c>
      <c r="BN366">
        <v>37538842</v>
      </c>
      <c r="BO366" t="s">
        <v>181</v>
      </c>
      <c r="BP366" t="s">
        <v>74</v>
      </c>
      <c r="BQ366" t="s">
        <v>74</v>
      </c>
      <c r="BR366" t="s">
        <v>107</v>
      </c>
      <c r="BS366" t="s">
        <v>7284</v>
      </c>
      <c r="BT366" t="str">
        <f>HYPERLINK("https%3A%2F%2Fwww.webofscience.com%2Fwos%2Fwoscc%2Ffull-record%2FWOS:001041122300001","View Full Record in Web of Science")</f>
        <v>View Full Record in Web of Science</v>
      </c>
    </row>
    <row r="367" spans="1:72" x14ac:dyDescent="0.15">
      <c r="A367" t="s">
        <v>72</v>
      </c>
      <c r="B367" t="s">
        <v>7285</v>
      </c>
      <c r="C367" t="s">
        <v>74</v>
      </c>
      <c r="D367" t="s">
        <v>74</v>
      </c>
      <c r="E367" t="s">
        <v>74</v>
      </c>
      <c r="F367" t="s">
        <v>7286</v>
      </c>
      <c r="G367" t="s">
        <v>74</v>
      </c>
      <c r="H367" t="s">
        <v>74</v>
      </c>
      <c r="I367" t="s">
        <v>7287</v>
      </c>
      <c r="J367" t="s">
        <v>3444</v>
      </c>
      <c r="K367" t="s">
        <v>74</v>
      </c>
      <c r="L367" t="s">
        <v>74</v>
      </c>
      <c r="M367" t="s">
        <v>78</v>
      </c>
      <c r="N367" t="s">
        <v>79</v>
      </c>
      <c r="O367" t="s">
        <v>74</v>
      </c>
      <c r="P367" t="s">
        <v>74</v>
      </c>
      <c r="Q367" t="s">
        <v>74</v>
      </c>
      <c r="R367" t="s">
        <v>74</v>
      </c>
      <c r="S367" t="s">
        <v>74</v>
      </c>
      <c r="T367" t="s">
        <v>7288</v>
      </c>
      <c r="U367" t="s">
        <v>7289</v>
      </c>
      <c r="V367" t="s">
        <v>7290</v>
      </c>
      <c r="W367" t="s">
        <v>7291</v>
      </c>
      <c r="X367" t="s">
        <v>7292</v>
      </c>
      <c r="Y367" t="s">
        <v>7293</v>
      </c>
      <c r="Z367" t="s">
        <v>7294</v>
      </c>
      <c r="AA367" t="s">
        <v>7295</v>
      </c>
      <c r="AB367" t="s">
        <v>7296</v>
      </c>
      <c r="AC367" t="s">
        <v>74</v>
      </c>
      <c r="AD367" t="s">
        <v>74</v>
      </c>
      <c r="AE367" t="s">
        <v>74</v>
      </c>
      <c r="AF367" t="s">
        <v>74</v>
      </c>
      <c r="AG367">
        <v>85</v>
      </c>
      <c r="AH367">
        <v>0</v>
      </c>
      <c r="AI367">
        <v>0</v>
      </c>
      <c r="AJ367">
        <v>1</v>
      </c>
      <c r="AK367">
        <v>3</v>
      </c>
      <c r="AL367" t="s">
        <v>3454</v>
      </c>
      <c r="AM367" t="s">
        <v>1528</v>
      </c>
      <c r="AN367" t="s">
        <v>3455</v>
      </c>
      <c r="AO367" t="s">
        <v>3456</v>
      </c>
      <c r="AP367" t="s">
        <v>74</v>
      </c>
      <c r="AQ367" t="s">
        <v>74</v>
      </c>
      <c r="AR367" t="s">
        <v>3457</v>
      </c>
      <c r="AS367" t="s">
        <v>3458</v>
      </c>
      <c r="AT367" t="s">
        <v>7261</v>
      </c>
      <c r="AU367">
        <v>2023</v>
      </c>
      <c r="AV367">
        <v>10</v>
      </c>
      <c r="AW367">
        <v>7</v>
      </c>
      <c r="AX367" t="s">
        <v>74</v>
      </c>
      <c r="AY367" t="s">
        <v>74</v>
      </c>
      <c r="AZ367" t="s">
        <v>74</v>
      </c>
      <c r="BA367" t="s">
        <v>74</v>
      </c>
      <c r="BB367" t="s">
        <v>74</v>
      </c>
      <c r="BC367" t="s">
        <v>74</v>
      </c>
      <c r="BD367">
        <v>230408</v>
      </c>
      <c r="BE367" t="s">
        <v>7297</v>
      </c>
      <c r="BF367" t="str">
        <f>HYPERLINK("http://dx.doi.org/10.1098/rsos.230408","http://dx.doi.org/10.1098/rsos.230408")</f>
        <v>http://dx.doi.org/10.1098/rsos.230408</v>
      </c>
      <c r="BG367" t="s">
        <v>74</v>
      </c>
      <c r="BH367" t="s">
        <v>74</v>
      </c>
      <c r="BI367">
        <v>15</v>
      </c>
      <c r="BJ367" t="s">
        <v>1881</v>
      </c>
      <c r="BK367" t="s">
        <v>104</v>
      </c>
      <c r="BL367" t="s">
        <v>1882</v>
      </c>
      <c r="BM367" t="s">
        <v>7298</v>
      </c>
      <c r="BN367">
        <v>37476517</v>
      </c>
      <c r="BO367" t="s">
        <v>7299</v>
      </c>
      <c r="BP367" t="s">
        <v>74</v>
      </c>
      <c r="BQ367" t="s">
        <v>74</v>
      </c>
      <c r="BR367" t="s">
        <v>107</v>
      </c>
      <c r="BS367" t="s">
        <v>7300</v>
      </c>
      <c r="BT367" t="str">
        <f>HYPERLINK("https%3A%2F%2Fwww.webofscience.com%2Fwos%2Fwoscc%2Ffull-record%2FWOS:001031984700014","View Full Record in Web of Science")</f>
        <v>View Full Record in Web of Science</v>
      </c>
    </row>
    <row r="368" spans="1:72" x14ac:dyDescent="0.15">
      <c r="A368" t="s">
        <v>72</v>
      </c>
      <c r="B368" t="s">
        <v>7301</v>
      </c>
      <c r="C368" t="s">
        <v>74</v>
      </c>
      <c r="D368" t="s">
        <v>74</v>
      </c>
      <c r="E368" t="s">
        <v>74</v>
      </c>
      <c r="F368" t="s">
        <v>7302</v>
      </c>
      <c r="G368" t="s">
        <v>74</v>
      </c>
      <c r="H368" t="s">
        <v>74</v>
      </c>
      <c r="I368" t="s">
        <v>7303</v>
      </c>
      <c r="J368" t="s">
        <v>3286</v>
      </c>
      <c r="K368" t="s">
        <v>74</v>
      </c>
      <c r="L368" t="s">
        <v>74</v>
      </c>
      <c r="M368" t="s">
        <v>78</v>
      </c>
      <c r="N368" t="s">
        <v>79</v>
      </c>
      <c r="O368" t="s">
        <v>74</v>
      </c>
      <c r="P368" t="s">
        <v>74</v>
      </c>
      <c r="Q368" t="s">
        <v>74</v>
      </c>
      <c r="R368" t="s">
        <v>74</v>
      </c>
      <c r="S368" t="s">
        <v>74</v>
      </c>
      <c r="T368" t="s">
        <v>74</v>
      </c>
      <c r="U368" t="s">
        <v>7304</v>
      </c>
      <c r="V368" t="s">
        <v>7305</v>
      </c>
      <c r="W368" t="s">
        <v>7306</v>
      </c>
      <c r="X368" t="s">
        <v>7307</v>
      </c>
      <c r="Y368" t="s">
        <v>7308</v>
      </c>
      <c r="Z368" t="s">
        <v>7309</v>
      </c>
      <c r="AA368" t="s">
        <v>7310</v>
      </c>
      <c r="AB368" t="s">
        <v>7311</v>
      </c>
      <c r="AC368" t="s">
        <v>7312</v>
      </c>
      <c r="AD368" t="s">
        <v>7313</v>
      </c>
      <c r="AE368" t="s">
        <v>7314</v>
      </c>
      <c r="AF368" t="s">
        <v>74</v>
      </c>
      <c r="AG368">
        <v>118</v>
      </c>
      <c r="AH368">
        <v>1</v>
      </c>
      <c r="AI368">
        <v>1</v>
      </c>
      <c r="AJ368">
        <v>11</v>
      </c>
      <c r="AK368">
        <v>27</v>
      </c>
      <c r="AL368" t="s">
        <v>1775</v>
      </c>
      <c r="AM368" t="s">
        <v>1776</v>
      </c>
      <c r="AN368" t="s">
        <v>1777</v>
      </c>
      <c r="AO368" t="s">
        <v>3298</v>
      </c>
      <c r="AP368" t="s">
        <v>3299</v>
      </c>
      <c r="AQ368" t="s">
        <v>74</v>
      </c>
      <c r="AR368" t="s">
        <v>3300</v>
      </c>
      <c r="AS368" t="s">
        <v>3301</v>
      </c>
      <c r="AT368" t="s">
        <v>7261</v>
      </c>
      <c r="AU368">
        <v>2023</v>
      </c>
      <c r="AV368">
        <v>23</v>
      </c>
      <c r="AW368">
        <v>14</v>
      </c>
      <c r="AX368" t="s">
        <v>74</v>
      </c>
      <c r="AY368" t="s">
        <v>74</v>
      </c>
      <c r="AZ368" t="s">
        <v>74</v>
      </c>
      <c r="BA368" t="s">
        <v>74</v>
      </c>
      <c r="BB368">
        <v>8103</v>
      </c>
      <c r="BC368">
        <v>8118</v>
      </c>
      <c r="BD368" t="s">
        <v>74</v>
      </c>
      <c r="BE368" t="s">
        <v>7315</v>
      </c>
      <c r="BF368" t="str">
        <f>HYPERLINK("http://dx.doi.org/10.5194/acp-23-8103-2023","http://dx.doi.org/10.5194/acp-23-8103-2023")</f>
        <v>http://dx.doi.org/10.5194/acp-23-8103-2023</v>
      </c>
      <c r="BG368" t="s">
        <v>74</v>
      </c>
      <c r="BH368" t="s">
        <v>74</v>
      </c>
      <c r="BI368">
        <v>16</v>
      </c>
      <c r="BJ368" t="s">
        <v>3303</v>
      </c>
      <c r="BK368" t="s">
        <v>104</v>
      </c>
      <c r="BL368" t="s">
        <v>2372</v>
      </c>
      <c r="BM368" t="s">
        <v>7316</v>
      </c>
      <c r="BN368" t="s">
        <v>74</v>
      </c>
      <c r="BO368" t="s">
        <v>771</v>
      </c>
      <c r="BP368" t="s">
        <v>74</v>
      </c>
      <c r="BQ368" t="s">
        <v>74</v>
      </c>
      <c r="BR368" t="s">
        <v>107</v>
      </c>
      <c r="BS368" t="s">
        <v>7317</v>
      </c>
      <c r="BT368" t="str">
        <f>HYPERLINK("https%3A%2F%2Fwww.webofscience.com%2Fwos%2Fwoscc%2Ffull-record%2FWOS:001032496900001","View Full Record in Web of Science")</f>
        <v>View Full Record in Web of Science</v>
      </c>
    </row>
    <row r="369" spans="1:72" x14ac:dyDescent="0.15">
      <c r="A369" t="s">
        <v>72</v>
      </c>
      <c r="B369" t="s">
        <v>7318</v>
      </c>
      <c r="C369" t="s">
        <v>74</v>
      </c>
      <c r="D369" t="s">
        <v>74</v>
      </c>
      <c r="E369" t="s">
        <v>74</v>
      </c>
      <c r="F369" t="s">
        <v>7319</v>
      </c>
      <c r="G369" t="s">
        <v>74</v>
      </c>
      <c r="H369" t="s">
        <v>74</v>
      </c>
      <c r="I369" t="s">
        <v>7320</v>
      </c>
      <c r="J369" t="s">
        <v>2135</v>
      </c>
      <c r="K369" t="s">
        <v>74</v>
      </c>
      <c r="L369" t="s">
        <v>74</v>
      </c>
      <c r="M369" t="s">
        <v>78</v>
      </c>
      <c r="N369" t="s">
        <v>79</v>
      </c>
      <c r="O369" t="s">
        <v>74</v>
      </c>
      <c r="P369" t="s">
        <v>74</v>
      </c>
      <c r="Q369" t="s">
        <v>74</v>
      </c>
      <c r="R369" t="s">
        <v>74</v>
      </c>
      <c r="S369" t="s">
        <v>74</v>
      </c>
      <c r="T369" t="s">
        <v>7321</v>
      </c>
      <c r="U369" t="s">
        <v>7322</v>
      </c>
      <c r="V369" t="s">
        <v>7323</v>
      </c>
      <c r="W369" t="s">
        <v>7324</v>
      </c>
      <c r="X369" t="s">
        <v>7325</v>
      </c>
      <c r="Y369" t="s">
        <v>7326</v>
      </c>
      <c r="Z369" t="s">
        <v>7327</v>
      </c>
      <c r="AA369" t="s">
        <v>74</v>
      </c>
      <c r="AB369" t="s">
        <v>74</v>
      </c>
      <c r="AC369" t="s">
        <v>74</v>
      </c>
      <c r="AD369" t="s">
        <v>74</v>
      </c>
      <c r="AE369" t="s">
        <v>74</v>
      </c>
      <c r="AF369" t="s">
        <v>74</v>
      </c>
      <c r="AG369">
        <v>20</v>
      </c>
      <c r="AH369">
        <v>2</v>
      </c>
      <c r="AI369">
        <v>2</v>
      </c>
      <c r="AJ369">
        <v>0</v>
      </c>
      <c r="AK369">
        <v>0</v>
      </c>
      <c r="AL369" t="s">
        <v>2142</v>
      </c>
      <c r="AM369" t="s">
        <v>299</v>
      </c>
      <c r="AN369" t="s">
        <v>2143</v>
      </c>
      <c r="AO369" t="s">
        <v>2144</v>
      </c>
      <c r="AP369" t="s">
        <v>2145</v>
      </c>
      <c r="AQ369" t="s">
        <v>74</v>
      </c>
      <c r="AR369" t="s">
        <v>2146</v>
      </c>
      <c r="AS369" t="s">
        <v>2147</v>
      </c>
      <c r="AT369" t="s">
        <v>97</v>
      </c>
      <c r="AU369">
        <v>2023</v>
      </c>
      <c r="AV369">
        <v>512</v>
      </c>
      <c r="AW369">
        <v>1</v>
      </c>
      <c r="AX369" t="s">
        <v>74</v>
      </c>
      <c r="AY369" t="s">
        <v>74</v>
      </c>
      <c r="AZ369" t="s">
        <v>74</v>
      </c>
      <c r="BA369" t="s">
        <v>74</v>
      </c>
      <c r="BB369">
        <v>854</v>
      </c>
      <c r="BC369">
        <v>858</v>
      </c>
      <c r="BD369" t="s">
        <v>74</v>
      </c>
      <c r="BE369" t="s">
        <v>7328</v>
      </c>
      <c r="BF369" t="str">
        <f>HYPERLINK("http://dx.doi.org/10.1134/S1028334X23601086","http://dx.doi.org/10.1134/S1028334X23601086")</f>
        <v>http://dx.doi.org/10.1134/S1028334X23601086</v>
      </c>
      <c r="BG369" t="s">
        <v>74</v>
      </c>
      <c r="BH369" t="s">
        <v>6115</v>
      </c>
      <c r="BI369">
        <v>5</v>
      </c>
      <c r="BJ369" t="s">
        <v>155</v>
      </c>
      <c r="BK369" t="s">
        <v>104</v>
      </c>
      <c r="BL369" t="s">
        <v>156</v>
      </c>
      <c r="BM369" t="s">
        <v>7329</v>
      </c>
      <c r="BN369" t="s">
        <v>74</v>
      </c>
      <c r="BO369" t="s">
        <v>549</v>
      </c>
      <c r="BP369" t="s">
        <v>74</v>
      </c>
      <c r="BQ369" t="s">
        <v>74</v>
      </c>
      <c r="BR369" t="s">
        <v>107</v>
      </c>
      <c r="BS369" t="s">
        <v>7330</v>
      </c>
      <c r="BT369" t="str">
        <f>HYPERLINK("https%3A%2F%2Fwww.webofscience.com%2Fwos%2Fwoscc%2Ffull-record%2FWOS:001031584800003","View Full Record in Web of Science")</f>
        <v>View Full Record in Web of Science</v>
      </c>
    </row>
    <row r="370" spans="1:72" x14ac:dyDescent="0.15">
      <c r="A370" t="s">
        <v>72</v>
      </c>
      <c r="B370" t="s">
        <v>7331</v>
      </c>
      <c r="C370" t="s">
        <v>74</v>
      </c>
      <c r="D370" t="s">
        <v>74</v>
      </c>
      <c r="E370" t="s">
        <v>74</v>
      </c>
      <c r="F370" t="s">
        <v>7332</v>
      </c>
      <c r="G370" t="s">
        <v>74</v>
      </c>
      <c r="H370" t="s">
        <v>74</v>
      </c>
      <c r="I370" t="s">
        <v>7333</v>
      </c>
      <c r="J370" t="s">
        <v>3107</v>
      </c>
      <c r="K370" t="s">
        <v>74</v>
      </c>
      <c r="L370" t="s">
        <v>74</v>
      </c>
      <c r="M370" t="s">
        <v>78</v>
      </c>
      <c r="N370" t="s">
        <v>79</v>
      </c>
      <c r="O370" t="s">
        <v>74</v>
      </c>
      <c r="P370" t="s">
        <v>74</v>
      </c>
      <c r="Q370" t="s">
        <v>74</v>
      </c>
      <c r="R370" t="s">
        <v>74</v>
      </c>
      <c r="S370" t="s">
        <v>74</v>
      </c>
      <c r="T370" t="s">
        <v>74</v>
      </c>
      <c r="U370" t="s">
        <v>7334</v>
      </c>
      <c r="V370" t="s">
        <v>7335</v>
      </c>
      <c r="W370" t="s">
        <v>7336</v>
      </c>
      <c r="X370" t="s">
        <v>7337</v>
      </c>
      <c r="Y370" t="s">
        <v>7338</v>
      </c>
      <c r="Z370" t="s">
        <v>7339</v>
      </c>
      <c r="AA370" t="s">
        <v>74</v>
      </c>
      <c r="AB370" t="s">
        <v>7340</v>
      </c>
      <c r="AC370" t="s">
        <v>7341</v>
      </c>
      <c r="AD370" t="s">
        <v>7342</v>
      </c>
      <c r="AE370" t="s">
        <v>7343</v>
      </c>
      <c r="AF370" t="s">
        <v>74</v>
      </c>
      <c r="AG370">
        <v>90</v>
      </c>
      <c r="AH370">
        <v>0</v>
      </c>
      <c r="AI370">
        <v>0</v>
      </c>
      <c r="AJ370">
        <v>0</v>
      </c>
      <c r="AK370">
        <v>1</v>
      </c>
      <c r="AL370" t="s">
        <v>460</v>
      </c>
      <c r="AM370" t="s">
        <v>461</v>
      </c>
      <c r="AN370" t="s">
        <v>462</v>
      </c>
      <c r="AO370" t="s">
        <v>3119</v>
      </c>
      <c r="AP370" t="s">
        <v>3120</v>
      </c>
      <c r="AQ370" t="s">
        <v>74</v>
      </c>
      <c r="AR370" t="s">
        <v>3121</v>
      </c>
      <c r="AS370" t="s">
        <v>3122</v>
      </c>
      <c r="AT370" t="s">
        <v>7344</v>
      </c>
      <c r="AU370">
        <v>2024</v>
      </c>
      <c r="AV370">
        <v>59</v>
      </c>
      <c r="AW370">
        <v>4</v>
      </c>
      <c r="AX370" t="s">
        <v>74</v>
      </c>
      <c r="AY370" t="s">
        <v>74</v>
      </c>
      <c r="AZ370" t="s">
        <v>99</v>
      </c>
      <c r="BA370" t="s">
        <v>74</v>
      </c>
      <c r="BB370">
        <v>685</v>
      </c>
      <c r="BC370">
        <v>718</v>
      </c>
      <c r="BD370" t="s">
        <v>74</v>
      </c>
      <c r="BE370" t="s">
        <v>7345</v>
      </c>
      <c r="BF370" t="str">
        <f>HYPERLINK("http://dx.doi.org/10.1111/maps.14051","http://dx.doi.org/10.1111/maps.14051")</f>
        <v>http://dx.doi.org/10.1111/maps.14051</v>
      </c>
      <c r="BG370" t="s">
        <v>74</v>
      </c>
      <c r="BH370" t="s">
        <v>6115</v>
      </c>
      <c r="BI370">
        <v>34</v>
      </c>
      <c r="BJ370" t="s">
        <v>597</v>
      </c>
      <c r="BK370" t="s">
        <v>104</v>
      </c>
      <c r="BL370" t="s">
        <v>597</v>
      </c>
      <c r="BM370" t="s">
        <v>7346</v>
      </c>
      <c r="BN370" t="s">
        <v>74</v>
      </c>
      <c r="BO370" t="s">
        <v>549</v>
      </c>
      <c r="BP370" t="s">
        <v>74</v>
      </c>
      <c r="BQ370" t="s">
        <v>74</v>
      </c>
      <c r="BR370" t="s">
        <v>107</v>
      </c>
      <c r="BS370" t="s">
        <v>7347</v>
      </c>
      <c r="BT370" t="str">
        <f>HYPERLINK("https%3A%2F%2Fwww.webofscience.com%2Fwos%2Fwoscc%2Ffull-record%2FWOS:001033421500001","View Full Record in Web of Science")</f>
        <v>View Full Record in Web of Science</v>
      </c>
    </row>
    <row r="371" spans="1:72" x14ac:dyDescent="0.15">
      <c r="A371" t="s">
        <v>72</v>
      </c>
      <c r="B371" t="s">
        <v>7348</v>
      </c>
      <c r="C371" t="s">
        <v>74</v>
      </c>
      <c r="D371" t="s">
        <v>74</v>
      </c>
      <c r="E371" t="s">
        <v>74</v>
      </c>
      <c r="F371" t="s">
        <v>7349</v>
      </c>
      <c r="G371" t="s">
        <v>74</v>
      </c>
      <c r="H371" t="s">
        <v>74</v>
      </c>
      <c r="I371" t="s">
        <v>7350</v>
      </c>
      <c r="J371" t="s">
        <v>1971</v>
      </c>
      <c r="K371" t="s">
        <v>74</v>
      </c>
      <c r="L371" t="s">
        <v>74</v>
      </c>
      <c r="M371" t="s">
        <v>78</v>
      </c>
      <c r="N371" t="s">
        <v>79</v>
      </c>
      <c r="O371" t="s">
        <v>74</v>
      </c>
      <c r="P371" t="s">
        <v>74</v>
      </c>
      <c r="Q371" t="s">
        <v>74</v>
      </c>
      <c r="R371" t="s">
        <v>74</v>
      </c>
      <c r="S371" t="s">
        <v>74</v>
      </c>
      <c r="T371" t="s">
        <v>7351</v>
      </c>
      <c r="U371" t="s">
        <v>7352</v>
      </c>
      <c r="V371" t="s">
        <v>7353</v>
      </c>
      <c r="W371" t="s">
        <v>7354</v>
      </c>
      <c r="X371" t="s">
        <v>7355</v>
      </c>
      <c r="Y371" t="s">
        <v>7356</v>
      </c>
      <c r="Z371" t="s">
        <v>7357</v>
      </c>
      <c r="AA371" t="s">
        <v>7358</v>
      </c>
      <c r="AB371" t="s">
        <v>7359</v>
      </c>
      <c r="AC371" t="s">
        <v>7360</v>
      </c>
      <c r="AD371" t="s">
        <v>7361</v>
      </c>
      <c r="AE371" t="s">
        <v>7362</v>
      </c>
      <c r="AF371" t="s">
        <v>74</v>
      </c>
      <c r="AG371">
        <v>70</v>
      </c>
      <c r="AH371">
        <v>2</v>
      </c>
      <c r="AI371">
        <v>2</v>
      </c>
      <c r="AJ371">
        <v>4</v>
      </c>
      <c r="AK371">
        <v>8</v>
      </c>
      <c r="AL371" t="s">
        <v>298</v>
      </c>
      <c r="AM371" t="s">
        <v>299</v>
      </c>
      <c r="AN371" t="s">
        <v>300</v>
      </c>
      <c r="AO371" t="s">
        <v>1984</v>
      </c>
      <c r="AP371" t="s">
        <v>1985</v>
      </c>
      <c r="AQ371" t="s">
        <v>74</v>
      </c>
      <c r="AR371" t="s">
        <v>1986</v>
      </c>
      <c r="AS371" t="s">
        <v>1987</v>
      </c>
      <c r="AT371" t="s">
        <v>1859</v>
      </c>
      <c r="AU371">
        <v>2024</v>
      </c>
      <c r="AV371">
        <v>62</v>
      </c>
      <c r="AW371">
        <v>1</v>
      </c>
      <c r="AX371" t="s">
        <v>74</v>
      </c>
      <c r="AY371" t="s">
        <v>74</v>
      </c>
      <c r="AZ371" t="s">
        <v>74</v>
      </c>
      <c r="BA371" t="s">
        <v>74</v>
      </c>
      <c r="BB371">
        <v>17</v>
      </c>
      <c r="BC371">
        <v>36</v>
      </c>
      <c r="BD371" t="s">
        <v>74</v>
      </c>
      <c r="BE371" t="s">
        <v>7363</v>
      </c>
      <c r="BF371" t="str">
        <f>HYPERLINK("http://dx.doi.org/10.1007/s00382-023-06894-5","http://dx.doi.org/10.1007/s00382-023-06894-5")</f>
        <v>http://dx.doi.org/10.1007/s00382-023-06894-5</v>
      </c>
      <c r="BG371" t="s">
        <v>74</v>
      </c>
      <c r="BH371" t="s">
        <v>6115</v>
      </c>
      <c r="BI371">
        <v>20</v>
      </c>
      <c r="BJ371" t="s">
        <v>103</v>
      </c>
      <c r="BK371" t="s">
        <v>104</v>
      </c>
      <c r="BL371" t="s">
        <v>103</v>
      </c>
      <c r="BM371" t="s">
        <v>7364</v>
      </c>
      <c r="BN371" t="s">
        <v>74</v>
      </c>
      <c r="BO371" t="s">
        <v>549</v>
      </c>
      <c r="BP371" t="s">
        <v>74</v>
      </c>
      <c r="BQ371" t="s">
        <v>74</v>
      </c>
      <c r="BR371" t="s">
        <v>107</v>
      </c>
      <c r="BS371" t="s">
        <v>7365</v>
      </c>
      <c r="BT371" t="str">
        <f>HYPERLINK("https%3A%2F%2Fwww.webofscience.com%2Fwos%2Fwoscc%2Ffull-record%2FWOS:001029342700003","View Full Record in Web of Science")</f>
        <v>View Full Record in Web of Science</v>
      </c>
    </row>
    <row r="372" spans="1:72" x14ac:dyDescent="0.15">
      <c r="A372" t="s">
        <v>72</v>
      </c>
      <c r="B372" t="s">
        <v>7366</v>
      </c>
      <c r="C372" t="s">
        <v>74</v>
      </c>
      <c r="D372" t="s">
        <v>74</v>
      </c>
      <c r="E372" t="s">
        <v>74</v>
      </c>
      <c r="F372" t="s">
        <v>7367</v>
      </c>
      <c r="G372" t="s">
        <v>74</v>
      </c>
      <c r="H372" t="s">
        <v>74</v>
      </c>
      <c r="I372" t="s">
        <v>7368</v>
      </c>
      <c r="J372" t="s">
        <v>3756</v>
      </c>
      <c r="K372" t="s">
        <v>74</v>
      </c>
      <c r="L372" t="s">
        <v>74</v>
      </c>
      <c r="M372" t="s">
        <v>78</v>
      </c>
      <c r="N372" t="s">
        <v>79</v>
      </c>
      <c r="O372" t="s">
        <v>74</v>
      </c>
      <c r="P372" t="s">
        <v>74</v>
      </c>
      <c r="Q372" t="s">
        <v>74</v>
      </c>
      <c r="R372" t="s">
        <v>74</v>
      </c>
      <c r="S372" t="s">
        <v>74</v>
      </c>
      <c r="T372" t="s">
        <v>7369</v>
      </c>
      <c r="U372" t="s">
        <v>7370</v>
      </c>
      <c r="V372" t="s">
        <v>7371</v>
      </c>
      <c r="W372" t="s">
        <v>7372</v>
      </c>
      <c r="X372" t="s">
        <v>7373</v>
      </c>
      <c r="Y372" t="s">
        <v>7374</v>
      </c>
      <c r="Z372" t="s">
        <v>7375</v>
      </c>
      <c r="AA372" t="s">
        <v>7376</v>
      </c>
      <c r="AB372" t="s">
        <v>74</v>
      </c>
      <c r="AC372" t="s">
        <v>74</v>
      </c>
      <c r="AD372" t="s">
        <v>74</v>
      </c>
      <c r="AE372" t="s">
        <v>74</v>
      </c>
      <c r="AF372" t="s">
        <v>74</v>
      </c>
      <c r="AG372">
        <v>86</v>
      </c>
      <c r="AH372">
        <v>1</v>
      </c>
      <c r="AI372">
        <v>1</v>
      </c>
      <c r="AJ372">
        <v>0</v>
      </c>
      <c r="AK372">
        <v>0</v>
      </c>
      <c r="AL372" t="s">
        <v>298</v>
      </c>
      <c r="AM372" t="s">
        <v>299</v>
      </c>
      <c r="AN372" t="s">
        <v>300</v>
      </c>
      <c r="AO372" t="s">
        <v>3767</v>
      </c>
      <c r="AP372" t="s">
        <v>3768</v>
      </c>
      <c r="AQ372" t="s">
        <v>74</v>
      </c>
      <c r="AR372" t="s">
        <v>3769</v>
      </c>
      <c r="AS372" t="s">
        <v>3770</v>
      </c>
      <c r="AT372" t="s">
        <v>97</v>
      </c>
      <c r="AU372">
        <v>2023</v>
      </c>
      <c r="AV372">
        <v>46</v>
      </c>
      <c r="AW372">
        <v>9</v>
      </c>
      <c r="AX372" t="s">
        <v>74</v>
      </c>
      <c r="AY372" t="s">
        <v>74</v>
      </c>
      <c r="AZ372" t="s">
        <v>74</v>
      </c>
      <c r="BA372" t="s">
        <v>74</v>
      </c>
      <c r="BB372">
        <v>971</v>
      </c>
      <c r="BC372">
        <v>992</v>
      </c>
      <c r="BD372" t="s">
        <v>74</v>
      </c>
      <c r="BE372" t="s">
        <v>7377</v>
      </c>
      <c r="BF372" t="str">
        <f>HYPERLINK("http://dx.doi.org/10.1007/s00300-023-03177-x","http://dx.doi.org/10.1007/s00300-023-03177-x")</f>
        <v>http://dx.doi.org/10.1007/s00300-023-03177-x</v>
      </c>
      <c r="BG372" t="s">
        <v>74</v>
      </c>
      <c r="BH372" t="s">
        <v>6115</v>
      </c>
      <c r="BI372">
        <v>22</v>
      </c>
      <c r="BJ372" t="s">
        <v>3772</v>
      </c>
      <c r="BK372" t="s">
        <v>104</v>
      </c>
      <c r="BL372" t="s">
        <v>1905</v>
      </c>
      <c r="BM372" t="s">
        <v>4538</v>
      </c>
      <c r="BN372" t="s">
        <v>74</v>
      </c>
      <c r="BO372" t="s">
        <v>74</v>
      </c>
      <c r="BP372" t="s">
        <v>74</v>
      </c>
      <c r="BQ372" t="s">
        <v>74</v>
      </c>
      <c r="BR372" t="s">
        <v>107</v>
      </c>
      <c r="BS372" t="s">
        <v>7378</v>
      </c>
      <c r="BT372" t="str">
        <f>HYPERLINK("https%3A%2F%2Fwww.webofscience.com%2Fwos%2Fwoscc%2Ffull-record%2FWOS:001029316300001","View Full Record in Web of Science")</f>
        <v>View Full Record in Web of Science</v>
      </c>
    </row>
    <row r="373" spans="1:72" x14ac:dyDescent="0.15">
      <c r="A373" t="s">
        <v>72</v>
      </c>
      <c r="B373" t="s">
        <v>7379</v>
      </c>
      <c r="C373" t="s">
        <v>74</v>
      </c>
      <c r="D373" t="s">
        <v>74</v>
      </c>
      <c r="E373" t="s">
        <v>74</v>
      </c>
      <c r="F373" t="s">
        <v>7380</v>
      </c>
      <c r="G373" t="s">
        <v>74</v>
      </c>
      <c r="H373" t="s">
        <v>74</v>
      </c>
      <c r="I373" t="s">
        <v>7381</v>
      </c>
      <c r="J373" t="s">
        <v>7382</v>
      </c>
      <c r="K373" t="s">
        <v>74</v>
      </c>
      <c r="L373" t="s">
        <v>74</v>
      </c>
      <c r="M373" t="s">
        <v>78</v>
      </c>
      <c r="N373" t="s">
        <v>79</v>
      </c>
      <c r="O373" t="s">
        <v>74</v>
      </c>
      <c r="P373" t="s">
        <v>74</v>
      </c>
      <c r="Q373" t="s">
        <v>74</v>
      </c>
      <c r="R373" t="s">
        <v>74</v>
      </c>
      <c r="S373" t="s">
        <v>74</v>
      </c>
      <c r="T373" t="s">
        <v>7383</v>
      </c>
      <c r="U373" t="s">
        <v>7384</v>
      </c>
      <c r="V373" t="s">
        <v>7385</v>
      </c>
      <c r="W373" t="s">
        <v>7386</v>
      </c>
      <c r="X373" t="s">
        <v>7387</v>
      </c>
      <c r="Y373" t="s">
        <v>7388</v>
      </c>
      <c r="Z373" t="s">
        <v>7389</v>
      </c>
      <c r="AA373" t="s">
        <v>74</v>
      </c>
      <c r="AB373" t="s">
        <v>7390</v>
      </c>
      <c r="AC373" t="s">
        <v>7391</v>
      </c>
      <c r="AD373" t="s">
        <v>7392</v>
      </c>
      <c r="AE373" t="s">
        <v>7393</v>
      </c>
      <c r="AF373" t="s">
        <v>74</v>
      </c>
      <c r="AG373">
        <v>121</v>
      </c>
      <c r="AH373">
        <v>2</v>
      </c>
      <c r="AI373">
        <v>2</v>
      </c>
      <c r="AJ373">
        <v>6</v>
      </c>
      <c r="AK373">
        <v>9</v>
      </c>
      <c r="AL373" t="s">
        <v>2762</v>
      </c>
      <c r="AM373" t="s">
        <v>2763</v>
      </c>
      <c r="AN373" t="s">
        <v>2764</v>
      </c>
      <c r="AO373" t="s">
        <v>7394</v>
      </c>
      <c r="AP373" t="s">
        <v>7395</v>
      </c>
      <c r="AQ373" t="s">
        <v>74</v>
      </c>
      <c r="AR373" t="s">
        <v>7396</v>
      </c>
      <c r="AS373" t="s">
        <v>7397</v>
      </c>
      <c r="AT373" t="s">
        <v>4490</v>
      </c>
      <c r="AU373">
        <v>2024</v>
      </c>
      <c r="AV373">
        <v>54</v>
      </c>
      <c r="AW373">
        <v>4</v>
      </c>
      <c r="AX373" t="s">
        <v>74</v>
      </c>
      <c r="AY373" t="s">
        <v>74</v>
      </c>
      <c r="AZ373" t="s">
        <v>99</v>
      </c>
      <c r="BA373" t="s">
        <v>74</v>
      </c>
      <c r="BB373">
        <v>449</v>
      </c>
      <c r="BC373">
        <v>472</v>
      </c>
      <c r="BD373" t="s">
        <v>74</v>
      </c>
      <c r="BE373" t="s">
        <v>7398</v>
      </c>
      <c r="BF373" t="str">
        <f>HYPERLINK("http://dx.doi.org/10.1080/03036758.2023.2232743","http://dx.doi.org/10.1080/03036758.2023.2232743")</f>
        <v>http://dx.doi.org/10.1080/03036758.2023.2232743</v>
      </c>
      <c r="BG373" t="s">
        <v>74</v>
      </c>
      <c r="BH373" t="s">
        <v>6115</v>
      </c>
      <c r="BI373">
        <v>24</v>
      </c>
      <c r="BJ373" t="s">
        <v>1881</v>
      </c>
      <c r="BK373" t="s">
        <v>104</v>
      </c>
      <c r="BL373" t="s">
        <v>1882</v>
      </c>
      <c r="BM373" t="s">
        <v>7399</v>
      </c>
      <c r="BN373" t="s">
        <v>74</v>
      </c>
      <c r="BO373" t="s">
        <v>549</v>
      </c>
      <c r="BP373" t="s">
        <v>74</v>
      </c>
      <c r="BQ373" t="s">
        <v>74</v>
      </c>
      <c r="BR373" t="s">
        <v>107</v>
      </c>
      <c r="BS373" t="s">
        <v>7400</v>
      </c>
      <c r="BT373" t="str">
        <f>HYPERLINK("https%3A%2F%2Fwww.webofscience.com%2Fwos%2Fwoscc%2Ffull-record%2FWOS:001033682300001","View Full Record in Web of Science")</f>
        <v>View Full Record in Web of Science</v>
      </c>
    </row>
    <row r="374" spans="1:72" x14ac:dyDescent="0.15">
      <c r="A374" t="s">
        <v>72</v>
      </c>
      <c r="B374" t="s">
        <v>7401</v>
      </c>
      <c r="C374" t="s">
        <v>74</v>
      </c>
      <c r="D374" t="s">
        <v>74</v>
      </c>
      <c r="E374" t="s">
        <v>74</v>
      </c>
      <c r="F374" t="s">
        <v>7402</v>
      </c>
      <c r="G374" t="s">
        <v>74</v>
      </c>
      <c r="H374" t="s">
        <v>74</v>
      </c>
      <c r="I374" t="s">
        <v>7403</v>
      </c>
      <c r="J374" t="s">
        <v>2193</v>
      </c>
      <c r="K374" t="s">
        <v>74</v>
      </c>
      <c r="L374" t="s">
        <v>74</v>
      </c>
      <c r="M374" t="s">
        <v>78</v>
      </c>
      <c r="N374" t="s">
        <v>79</v>
      </c>
      <c r="O374" t="s">
        <v>74</v>
      </c>
      <c r="P374" t="s">
        <v>74</v>
      </c>
      <c r="Q374" t="s">
        <v>74</v>
      </c>
      <c r="R374" t="s">
        <v>74</v>
      </c>
      <c r="S374" t="s">
        <v>74</v>
      </c>
      <c r="T374" t="s">
        <v>74</v>
      </c>
      <c r="U374" t="s">
        <v>7404</v>
      </c>
      <c r="V374" t="s">
        <v>7405</v>
      </c>
      <c r="W374" t="s">
        <v>7406</v>
      </c>
      <c r="X374" t="s">
        <v>7407</v>
      </c>
      <c r="Y374" t="s">
        <v>7221</v>
      </c>
      <c r="Z374" t="s">
        <v>7222</v>
      </c>
      <c r="AA374" t="s">
        <v>7408</v>
      </c>
      <c r="AB374" t="s">
        <v>7409</v>
      </c>
      <c r="AC374" t="s">
        <v>7223</v>
      </c>
      <c r="AD374" t="s">
        <v>7224</v>
      </c>
      <c r="AE374" t="s">
        <v>7410</v>
      </c>
      <c r="AF374" t="s">
        <v>74</v>
      </c>
      <c r="AG374">
        <v>64</v>
      </c>
      <c r="AH374">
        <v>0</v>
      </c>
      <c r="AI374">
        <v>0</v>
      </c>
      <c r="AJ374">
        <v>5</v>
      </c>
      <c r="AK374">
        <v>6</v>
      </c>
      <c r="AL374" t="s">
        <v>146</v>
      </c>
      <c r="AM374" t="s">
        <v>147</v>
      </c>
      <c r="AN374" t="s">
        <v>148</v>
      </c>
      <c r="AO374" t="s">
        <v>2204</v>
      </c>
      <c r="AP374" t="s">
        <v>74</v>
      </c>
      <c r="AQ374" t="s">
        <v>74</v>
      </c>
      <c r="AR374" t="s">
        <v>2205</v>
      </c>
      <c r="AS374" t="s">
        <v>2206</v>
      </c>
      <c r="AT374" t="s">
        <v>7411</v>
      </c>
      <c r="AU374">
        <v>2023</v>
      </c>
      <c r="AV374">
        <v>13</v>
      </c>
      <c r="AW374">
        <v>1</v>
      </c>
      <c r="AX374" t="s">
        <v>74</v>
      </c>
      <c r="AY374" t="s">
        <v>74</v>
      </c>
      <c r="AZ374" t="s">
        <v>74</v>
      </c>
      <c r="BA374" t="s">
        <v>74</v>
      </c>
      <c r="BB374" t="s">
        <v>74</v>
      </c>
      <c r="BC374" t="s">
        <v>74</v>
      </c>
      <c r="BD374">
        <v>12409</v>
      </c>
      <c r="BE374" t="s">
        <v>7412</v>
      </c>
      <c r="BF374" t="str">
        <f>HYPERLINK("http://dx.doi.org/10.1038/s41598-023-39567-8","http://dx.doi.org/10.1038/s41598-023-39567-8")</f>
        <v>http://dx.doi.org/10.1038/s41598-023-39567-8</v>
      </c>
      <c r="BG374" t="s">
        <v>74</v>
      </c>
      <c r="BH374" t="s">
        <v>74</v>
      </c>
      <c r="BI374">
        <v>12</v>
      </c>
      <c r="BJ374" t="s">
        <v>1881</v>
      </c>
      <c r="BK374" t="s">
        <v>104</v>
      </c>
      <c r="BL374" t="s">
        <v>1882</v>
      </c>
      <c r="BM374" t="s">
        <v>7413</v>
      </c>
      <c r="BN374">
        <v>37524844</v>
      </c>
      <c r="BO374" t="s">
        <v>181</v>
      </c>
      <c r="BP374" t="s">
        <v>74</v>
      </c>
      <c r="BQ374" t="s">
        <v>74</v>
      </c>
      <c r="BR374" t="s">
        <v>107</v>
      </c>
      <c r="BS374" t="s">
        <v>7414</v>
      </c>
      <c r="BT374" t="str">
        <f>HYPERLINK("https%3A%2F%2Fwww.webofscience.com%2Fwos%2Fwoscc%2Ffull-record%2FWOS:001067885000066","View Full Record in Web of Science")</f>
        <v>View Full Record in Web of Science</v>
      </c>
    </row>
    <row r="375" spans="1:72" x14ac:dyDescent="0.15">
      <c r="A375" t="s">
        <v>72</v>
      </c>
      <c r="B375" t="s">
        <v>7415</v>
      </c>
      <c r="C375" t="s">
        <v>74</v>
      </c>
      <c r="D375" t="s">
        <v>74</v>
      </c>
      <c r="E375" t="s">
        <v>74</v>
      </c>
      <c r="F375" t="s">
        <v>7416</v>
      </c>
      <c r="G375" t="s">
        <v>74</v>
      </c>
      <c r="H375" t="s">
        <v>74</v>
      </c>
      <c r="I375" t="s">
        <v>7417</v>
      </c>
      <c r="J375" t="s">
        <v>4066</v>
      </c>
      <c r="K375" t="s">
        <v>74</v>
      </c>
      <c r="L375" t="s">
        <v>74</v>
      </c>
      <c r="M375" t="s">
        <v>78</v>
      </c>
      <c r="N375" t="s">
        <v>424</v>
      </c>
      <c r="O375" t="s">
        <v>74</v>
      </c>
      <c r="P375" t="s">
        <v>74</v>
      </c>
      <c r="Q375" t="s">
        <v>74</v>
      </c>
      <c r="R375" t="s">
        <v>74</v>
      </c>
      <c r="S375" t="s">
        <v>74</v>
      </c>
      <c r="T375" t="s">
        <v>7418</v>
      </c>
      <c r="U375" t="s">
        <v>7419</v>
      </c>
      <c r="V375" t="s">
        <v>74</v>
      </c>
      <c r="W375" t="s">
        <v>7420</v>
      </c>
      <c r="X375" t="s">
        <v>7421</v>
      </c>
      <c r="Y375" t="s">
        <v>7422</v>
      </c>
      <c r="Z375" t="s">
        <v>7423</v>
      </c>
      <c r="AA375" t="s">
        <v>74</v>
      </c>
      <c r="AB375" t="s">
        <v>7424</v>
      </c>
      <c r="AC375" t="s">
        <v>7425</v>
      </c>
      <c r="AD375" t="s">
        <v>7426</v>
      </c>
      <c r="AE375" t="s">
        <v>7427</v>
      </c>
      <c r="AF375" t="s">
        <v>74</v>
      </c>
      <c r="AG375">
        <v>51</v>
      </c>
      <c r="AH375">
        <v>0</v>
      </c>
      <c r="AI375">
        <v>0</v>
      </c>
      <c r="AJ375">
        <v>5</v>
      </c>
      <c r="AK375">
        <v>9</v>
      </c>
      <c r="AL375" t="s">
        <v>2305</v>
      </c>
      <c r="AM375" t="s">
        <v>538</v>
      </c>
      <c r="AN375" t="s">
        <v>2306</v>
      </c>
      <c r="AO375" t="s">
        <v>4078</v>
      </c>
      <c r="AP375" t="s">
        <v>4079</v>
      </c>
      <c r="AQ375" t="s">
        <v>74</v>
      </c>
      <c r="AR375" t="s">
        <v>4080</v>
      </c>
      <c r="AS375" t="s">
        <v>4081</v>
      </c>
      <c r="AT375" t="s">
        <v>129</v>
      </c>
      <c r="AU375">
        <v>2023</v>
      </c>
      <c r="AV375">
        <v>217</v>
      </c>
      <c r="AW375" t="s">
        <v>74</v>
      </c>
      <c r="AX375" t="s">
        <v>74</v>
      </c>
      <c r="AY375" t="s">
        <v>74</v>
      </c>
      <c r="AZ375" t="s">
        <v>74</v>
      </c>
      <c r="BA375" t="s">
        <v>74</v>
      </c>
      <c r="BB375" t="s">
        <v>74</v>
      </c>
      <c r="BC375" t="s">
        <v>74</v>
      </c>
      <c r="BD375">
        <v>103087</v>
      </c>
      <c r="BE375" t="s">
        <v>7428</v>
      </c>
      <c r="BF375" t="str">
        <f>HYPERLINK("http://dx.doi.org/10.1016/j.pocean.2023.103087","http://dx.doi.org/10.1016/j.pocean.2023.103087")</f>
        <v>http://dx.doi.org/10.1016/j.pocean.2023.103087</v>
      </c>
      <c r="BG375" t="s">
        <v>74</v>
      </c>
      <c r="BH375" t="s">
        <v>6115</v>
      </c>
      <c r="BI375">
        <v>6</v>
      </c>
      <c r="BJ375" t="s">
        <v>306</v>
      </c>
      <c r="BK375" t="s">
        <v>104</v>
      </c>
      <c r="BL375" t="s">
        <v>306</v>
      </c>
      <c r="BM375" t="s">
        <v>7429</v>
      </c>
      <c r="BN375" t="s">
        <v>74</v>
      </c>
      <c r="BO375" t="s">
        <v>74</v>
      </c>
      <c r="BP375" t="s">
        <v>74</v>
      </c>
      <c r="BQ375" t="s">
        <v>74</v>
      </c>
      <c r="BR375" t="s">
        <v>107</v>
      </c>
      <c r="BS375" t="s">
        <v>7430</v>
      </c>
      <c r="BT375" t="str">
        <f>HYPERLINK("https%3A%2F%2Fwww.webofscience.com%2Fwos%2Fwoscc%2Ffull-record%2FWOS:001048142600001","View Full Record in Web of Science")</f>
        <v>View Full Record in Web of Science</v>
      </c>
    </row>
    <row r="376" spans="1:72" x14ac:dyDescent="0.15">
      <c r="A376" t="s">
        <v>72</v>
      </c>
      <c r="B376" t="s">
        <v>7431</v>
      </c>
      <c r="C376" t="s">
        <v>74</v>
      </c>
      <c r="D376" t="s">
        <v>74</v>
      </c>
      <c r="E376" t="s">
        <v>74</v>
      </c>
      <c r="F376" t="s">
        <v>7432</v>
      </c>
      <c r="G376" t="s">
        <v>74</v>
      </c>
      <c r="H376" t="s">
        <v>74</v>
      </c>
      <c r="I376" t="s">
        <v>7433</v>
      </c>
      <c r="J376" t="s">
        <v>6844</v>
      </c>
      <c r="K376" t="s">
        <v>74</v>
      </c>
      <c r="L376" t="s">
        <v>74</v>
      </c>
      <c r="M376" t="s">
        <v>78</v>
      </c>
      <c r="N376" t="s">
        <v>79</v>
      </c>
      <c r="O376" t="s">
        <v>74</v>
      </c>
      <c r="P376" t="s">
        <v>74</v>
      </c>
      <c r="Q376" t="s">
        <v>74</v>
      </c>
      <c r="R376" t="s">
        <v>74</v>
      </c>
      <c r="S376" t="s">
        <v>74</v>
      </c>
      <c r="T376" t="s">
        <v>7434</v>
      </c>
      <c r="U376" t="s">
        <v>7435</v>
      </c>
      <c r="V376" t="s">
        <v>7436</v>
      </c>
      <c r="W376" t="s">
        <v>7437</v>
      </c>
      <c r="X376" t="s">
        <v>7438</v>
      </c>
      <c r="Y376" t="s">
        <v>7439</v>
      </c>
      <c r="Z376" t="s">
        <v>7440</v>
      </c>
      <c r="AA376" t="s">
        <v>74</v>
      </c>
      <c r="AB376" t="s">
        <v>74</v>
      </c>
      <c r="AC376" t="s">
        <v>7441</v>
      </c>
      <c r="AD376" t="s">
        <v>7441</v>
      </c>
      <c r="AE376" t="s">
        <v>7442</v>
      </c>
      <c r="AF376" t="s">
        <v>74</v>
      </c>
      <c r="AG376">
        <v>81</v>
      </c>
      <c r="AH376">
        <v>1</v>
      </c>
      <c r="AI376">
        <v>1</v>
      </c>
      <c r="AJ376">
        <v>2</v>
      </c>
      <c r="AK376">
        <v>3</v>
      </c>
      <c r="AL376" t="s">
        <v>3672</v>
      </c>
      <c r="AM376" t="s">
        <v>538</v>
      </c>
      <c r="AN376" t="s">
        <v>3673</v>
      </c>
      <c r="AO376" t="s">
        <v>6855</v>
      </c>
      <c r="AP376" t="s">
        <v>6856</v>
      </c>
      <c r="AQ376" t="s">
        <v>74</v>
      </c>
      <c r="AR376" t="s">
        <v>6857</v>
      </c>
      <c r="AS376" t="s">
        <v>6858</v>
      </c>
      <c r="AT376" t="s">
        <v>97</v>
      </c>
      <c r="AU376">
        <v>2023</v>
      </c>
      <c r="AV376">
        <v>155</v>
      </c>
      <c r="AW376" t="s">
        <v>74</v>
      </c>
      <c r="AX376" t="s">
        <v>74</v>
      </c>
      <c r="AY376" t="s">
        <v>74</v>
      </c>
      <c r="AZ376" t="s">
        <v>74</v>
      </c>
      <c r="BA376" t="s">
        <v>74</v>
      </c>
      <c r="BB376" t="s">
        <v>74</v>
      </c>
      <c r="BC376" t="s">
        <v>74</v>
      </c>
      <c r="BD376">
        <v>105770</v>
      </c>
      <c r="BE376" t="s">
        <v>7443</v>
      </c>
      <c r="BF376" t="str">
        <f>HYPERLINK("http://dx.doi.org/10.1016/j.marpol.2023.105770","http://dx.doi.org/10.1016/j.marpol.2023.105770")</f>
        <v>http://dx.doi.org/10.1016/j.marpol.2023.105770</v>
      </c>
      <c r="BG376" t="s">
        <v>74</v>
      </c>
      <c r="BH376" t="s">
        <v>6115</v>
      </c>
      <c r="BI376">
        <v>12</v>
      </c>
      <c r="BJ376" t="s">
        <v>6860</v>
      </c>
      <c r="BK376" t="s">
        <v>6861</v>
      </c>
      <c r="BL376" t="s">
        <v>6862</v>
      </c>
      <c r="BM376" t="s">
        <v>7444</v>
      </c>
      <c r="BN376" t="s">
        <v>74</v>
      </c>
      <c r="BO376" t="s">
        <v>549</v>
      </c>
      <c r="BP376" t="s">
        <v>74</v>
      </c>
      <c r="BQ376" t="s">
        <v>74</v>
      </c>
      <c r="BR376" t="s">
        <v>107</v>
      </c>
      <c r="BS376" t="s">
        <v>7445</v>
      </c>
      <c r="BT376" t="str">
        <f>HYPERLINK("https%3A%2F%2Fwww.webofscience.com%2Fwos%2Fwoscc%2Ffull-record%2FWOS:001046835300001","View Full Record in Web of Science")</f>
        <v>View Full Record in Web of Science</v>
      </c>
    </row>
    <row r="377" spans="1:72" x14ac:dyDescent="0.15">
      <c r="A377" t="s">
        <v>72</v>
      </c>
      <c r="B377" t="s">
        <v>7446</v>
      </c>
      <c r="C377" t="s">
        <v>74</v>
      </c>
      <c r="D377" t="s">
        <v>74</v>
      </c>
      <c r="E377" t="s">
        <v>74</v>
      </c>
      <c r="F377" t="s">
        <v>7447</v>
      </c>
      <c r="G377" t="s">
        <v>74</v>
      </c>
      <c r="H377" t="s">
        <v>74</v>
      </c>
      <c r="I377" t="s">
        <v>7448</v>
      </c>
      <c r="J377" t="s">
        <v>7449</v>
      </c>
      <c r="K377" t="s">
        <v>74</v>
      </c>
      <c r="L377" t="s">
        <v>74</v>
      </c>
      <c r="M377" t="s">
        <v>78</v>
      </c>
      <c r="N377" t="s">
        <v>1911</v>
      </c>
      <c r="O377" t="s">
        <v>74</v>
      </c>
      <c r="P377" t="s">
        <v>74</v>
      </c>
      <c r="Q377" t="s">
        <v>74</v>
      </c>
      <c r="R377" t="s">
        <v>74</v>
      </c>
      <c r="S377" t="s">
        <v>74</v>
      </c>
      <c r="T377" t="s">
        <v>7450</v>
      </c>
      <c r="U377" t="s">
        <v>7451</v>
      </c>
      <c r="V377" t="s">
        <v>7452</v>
      </c>
      <c r="W377" t="s">
        <v>7453</v>
      </c>
      <c r="X377" t="s">
        <v>7454</v>
      </c>
      <c r="Y377" t="s">
        <v>7455</v>
      </c>
      <c r="Z377" t="s">
        <v>7456</v>
      </c>
      <c r="AA377" t="s">
        <v>7457</v>
      </c>
      <c r="AB377" t="s">
        <v>7458</v>
      </c>
      <c r="AC377" t="s">
        <v>7459</v>
      </c>
      <c r="AD377" t="s">
        <v>7460</v>
      </c>
      <c r="AE377" t="s">
        <v>7461</v>
      </c>
      <c r="AF377" t="s">
        <v>74</v>
      </c>
      <c r="AG377">
        <v>128</v>
      </c>
      <c r="AH377">
        <v>1</v>
      </c>
      <c r="AI377">
        <v>1</v>
      </c>
      <c r="AJ377">
        <v>8</v>
      </c>
      <c r="AK377">
        <v>11</v>
      </c>
      <c r="AL377" t="s">
        <v>460</v>
      </c>
      <c r="AM377" t="s">
        <v>461</v>
      </c>
      <c r="AN377" t="s">
        <v>462</v>
      </c>
      <c r="AO377" t="s">
        <v>74</v>
      </c>
      <c r="AP377" t="s">
        <v>7462</v>
      </c>
      <c r="AQ377" t="s">
        <v>74</v>
      </c>
      <c r="AR377" t="s">
        <v>7463</v>
      </c>
      <c r="AS377" t="s">
        <v>7464</v>
      </c>
      <c r="AT377" t="s">
        <v>7465</v>
      </c>
      <c r="AU377">
        <v>2023</v>
      </c>
      <c r="AV377" t="s">
        <v>74</v>
      </c>
      <c r="AW377" t="s">
        <v>74</v>
      </c>
      <c r="AX377" t="s">
        <v>74</v>
      </c>
      <c r="AY377" t="s">
        <v>74</v>
      </c>
      <c r="AZ377" t="s">
        <v>74</v>
      </c>
      <c r="BA377" t="s">
        <v>74</v>
      </c>
      <c r="BB377" t="s">
        <v>74</v>
      </c>
      <c r="BC377" t="s">
        <v>74</v>
      </c>
      <c r="BD377" t="s">
        <v>74</v>
      </c>
      <c r="BE377" t="s">
        <v>7466</v>
      </c>
      <c r="BF377" t="str">
        <f>HYPERLINK("http://dx.doi.org/10.1002/pan3.10495","http://dx.doi.org/10.1002/pan3.10495")</f>
        <v>http://dx.doi.org/10.1002/pan3.10495</v>
      </c>
      <c r="BG377" t="s">
        <v>74</v>
      </c>
      <c r="BH377" t="s">
        <v>6115</v>
      </c>
      <c r="BI377">
        <v>19</v>
      </c>
      <c r="BJ377" t="s">
        <v>3772</v>
      </c>
      <c r="BK377" t="s">
        <v>104</v>
      </c>
      <c r="BL377" t="s">
        <v>1905</v>
      </c>
      <c r="BM377" t="s">
        <v>7467</v>
      </c>
      <c r="BN377" t="s">
        <v>74</v>
      </c>
      <c r="BO377" t="s">
        <v>181</v>
      </c>
      <c r="BP377" t="s">
        <v>74</v>
      </c>
      <c r="BQ377" t="s">
        <v>74</v>
      </c>
      <c r="BR377" t="s">
        <v>107</v>
      </c>
      <c r="BS377" t="s">
        <v>7468</v>
      </c>
      <c r="BT377" t="str">
        <f>HYPERLINK("https%3A%2F%2Fwww.webofscience.com%2Fwos%2Fwoscc%2Ffull-record%2FWOS:001031581300001","View Full Record in Web of Science")</f>
        <v>View Full Record in Web of Science</v>
      </c>
    </row>
    <row r="378" spans="1:72" x14ac:dyDescent="0.15">
      <c r="A378" t="s">
        <v>72</v>
      </c>
      <c r="B378" t="s">
        <v>7431</v>
      </c>
      <c r="C378" t="s">
        <v>74</v>
      </c>
      <c r="D378" t="s">
        <v>74</v>
      </c>
      <c r="E378" t="s">
        <v>74</v>
      </c>
      <c r="F378" t="s">
        <v>7432</v>
      </c>
      <c r="G378" t="s">
        <v>74</v>
      </c>
      <c r="H378" t="s">
        <v>74</v>
      </c>
      <c r="I378" t="s">
        <v>7469</v>
      </c>
      <c r="J378" t="s">
        <v>6844</v>
      </c>
      <c r="K378" t="s">
        <v>74</v>
      </c>
      <c r="L378" t="s">
        <v>74</v>
      </c>
      <c r="M378" t="s">
        <v>78</v>
      </c>
      <c r="N378" t="s">
        <v>79</v>
      </c>
      <c r="O378" t="s">
        <v>74</v>
      </c>
      <c r="P378" t="s">
        <v>74</v>
      </c>
      <c r="Q378" t="s">
        <v>74</v>
      </c>
      <c r="R378" t="s">
        <v>74</v>
      </c>
      <c r="S378" t="s">
        <v>74</v>
      </c>
      <c r="T378" t="s">
        <v>7470</v>
      </c>
      <c r="U378" t="s">
        <v>7471</v>
      </c>
      <c r="V378" t="s">
        <v>7472</v>
      </c>
      <c r="W378" t="s">
        <v>7437</v>
      </c>
      <c r="X378" t="s">
        <v>7438</v>
      </c>
      <c r="Y378" t="s">
        <v>7439</v>
      </c>
      <c r="Z378" t="s">
        <v>7440</v>
      </c>
      <c r="AA378" t="s">
        <v>74</v>
      </c>
      <c r="AB378" t="s">
        <v>74</v>
      </c>
      <c r="AC378" t="s">
        <v>7473</v>
      </c>
      <c r="AD378" t="s">
        <v>7473</v>
      </c>
      <c r="AE378" t="s">
        <v>7474</v>
      </c>
      <c r="AF378" t="s">
        <v>74</v>
      </c>
      <c r="AG378">
        <v>130</v>
      </c>
      <c r="AH378">
        <v>0</v>
      </c>
      <c r="AI378">
        <v>0</v>
      </c>
      <c r="AJ378">
        <v>3</v>
      </c>
      <c r="AK378">
        <v>5</v>
      </c>
      <c r="AL378" t="s">
        <v>3672</v>
      </c>
      <c r="AM378" t="s">
        <v>538</v>
      </c>
      <c r="AN378" t="s">
        <v>3673</v>
      </c>
      <c r="AO378" t="s">
        <v>6855</v>
      </c>
      <c r="AP378" t="s">
        <v>6856</v>
      </c>
      <c r="AQ378" t="s">
        <v>74</v>
      </c>
      <c r="AR378" t="s">
        <v>6857</v>
      </c>
      <c r="AS378" t="s">
        <v>6858</v>
      </c>
      <c r="AT378" t="s">
        <v>97</v>
      </c>
      <c r="AU378">
        <v>2023</v>
      </c>
      <c r="AV378">
        <v>155</v>
      </c>
      <c r="AW378" t="s">
        <v>74</v>
      </c>
      <c r="AX378" t="s">
        <v>74</v>
      </c>
      <c r="AY378" t="s">
        <v>74</v>
      </c>
      <c r="AZ378" t="s">
        <v>74</v>
      </c>
      <c r="BA378" t="s">
        <v>74</v>
      </c>
      <c r="BB378" t="s">
        <v>74</v>
      </c>
      <c r="BC378" t="s">
        <v>74</v>
      </c>
      <c r="BD378">
        <v>105773</v>
      </c>
      <c r="BE378" t="s">
        <v>7475</v>
      </c>
      <c r="BF378" t="str">
        <f>HYPERLINK("http://dx.doi.org/10.1016/j.marpol.2023.105773","http://dx.doi.org/10.1016/j.marpol.2023.105773")</f>
        <v>http://dx.doi.org/10.1016/j.marpol.2023.105773</v>
      </c>
      <c r="BG378" t="s">
        <v>74</v>
      </c>
      <c r="BH378" t="s">
        <v>6115</v>
      </c>
      <c r="BI378">
        <v>16</v>
      </c>
      <c r="BJ378" t="s">
        <v>6860</v>
      </c>
      <c r="BK378" t="s">
        <v>6861</v>
      </c>
      <c r="BL378" t="s">
        <v>6862</v>
      </c>
      <c r="BM378" t="s">
        <v>7476</v>
      </c>
      <c r="BN378" t="s">
        <v>74</v>
      </c>
      <c r="BO378" t="s">
        <v>549</v>
      </c>
      <c r="BP378" t="s">
        <v>74</v>
      </c>
      <c r="BQ378" t="s">
        <v>74</v>
      </c>
      <c r="BR378" t="s">
        <v>107</v>
      </c>
      <c r="BS378" t="s">
        <v>7477</v>
      </c>
      <c r="BT378" t="str">
        <f>HYPERLINK("https%3A%2F%2Fwww.webofscience.com%2Fwos%2Fwoscc%2Ffull-record%2FWOS:001046860400001","View Full Record in Web of Science")</f>
        <v>View Full Record in Web of Science</v>
      </c>
    </row>
    <row r="379" spans="1:72" x14ac:dyDescent="0.15">
      <c r="A379" t="s">
        <v>72</v>
      </c>
      <c r="B379" t="s">
        <v>7478</v>
      </c>
      <c r="C379" t="s">
        <v>74</v>
      </c>
      <c r="D379" t="s">
        <v>74</v>
      </c>
      <c r="E379" t="s">
        <v>74</v>
      </c>
      <c r="F379" t="s">
        <v>7479</v>
      </c>
      <c r="G379" t="s">
        <v>74</v>
      </c>
      <c r="H379" t="s">
        <v>74</v>
      </c>
      <c r="I379" t="s">
        <v>7480</v>
      </c>
      <c r="J379" t="s">
        <v>983</v>
      </c>
      <c r="K379" t="s">
        <v>74</v>
      </c>
      <c r="L379" t="s">
        <v>74</v>
      </c>
      <c r="M379" t="s">
        <v>78</v>
      </c>
      <c r="N379" t="s">
        <v>79</v>
      </c>
      <c r="O379" t="s">
        <v>74</v>
      </c>
      <c r="P379" t="s">
        <v>74</v>
      </c>
      <c r="Q379" t="s">
        <v>74</v>
      </c>
      <c r="R379" t="s">
        <v>74</v>
      </c>
      <c r="S379" t="s">
        <v>74</v>
      </c>
      <c r="T379" t="s">
        <v>7481</v>
      </c>
      <c r="U379" t="s">
        <v>7482</v>
      </c>
      <c r="V379" t="s">
        <v>7483</v>
      </c>
      <c r="W379" t="s">
        <v>7484</v>
      </c>
      <c r="X379" t="s">
        <v>7485</v>
      </c>
      <c r="Y379" t="s">
        <v>7486</v>
      </c>
      <c r="Z379" t="s">
        <v>2112</v>
      </c>
      <c r="AA379" t="s">
        <v>7487</v>
      </c>
      <c r="AB379" t="s">
        <v>7488</v>
      </c>
      <c r="AC379" t="s">
        <v>7489</v>
      </c>
      <c r="AD379" t="s">
        <v>7490</v>
      </c>
      <c r="AE379" t="s">
        <v>7491</v>
      </c>
      <c r="AF379" t="s">
        <v>74</v>
      </c>
      <c r="AG379">
        <v>92</v>
      </c>
      <c r="AH379">
        <v>1</v>
      </c>
      <c r="AI379">
        <v>1</v>
      </c>
      <c r="AJ379">
        <v>15</v>
      </c>
      <c r="AK379">
        <v>25</v>
      </c>
      <c r="AL379" t="s">
        <v>994</v>
      </c>
      <c r="AM379" t="s">
        <v>995</v>
      </c>
      <c r="AN379" t="s">
        <v>996</v>
      </c>
      <c r="AO379" t="s">
        <v>74</v>
      </c>
      <c r="AP379" t="s">
        <v>997</v>
      </c>
      <c r="AQ379" t="s">
        <v>74</v>
      </c>
      <c r="AR379" t="s">
        <v>998</v>
      </c>
      <c r="AS379" t="s">
        <v>999</v>
      </c>
      <c r="AT379" t="s">
        <v>7411</v>
      </c>
      <c r="AU379">
        <v>2023</v>
      </c>
      <c r="AV379">
        <v>10</v>
      </c>
      <c r="AW379" t="s">
        <v>74</v>
      </c>
      <c r="AX379" t="s">
        <v>74</v>
      </c>
      <c r="AY379" t="s">
        <v>74</v>
      </c>
      <c r="AZ379" t="s">
        <v>74</v>
      </c>
      <c r="BA379" t="s">
        <v>74</v>
      </c>
      <c r="BB379" t="s">
        <v>74</v>
      </c>
      <c r="BC379" t="s">
        <v>74</v>
      </c>
      <c r="BD379">
        <v>1201434</v>
      </c>
      <c r="BE379" t="s">
        <v>7492</v>
      </c>
      <c r="BF379" t="str">
        <f>HYPERLINK("http://dx.doi.org/10.3389/fmars.2023.1201434","http://dx.doi.org/10.3389/fmars.2023.1201434")</f>
        <v>http://dx.doi.org/10.3389/fmars.2023.1201434</v>
      </c>
      <c r="BG379" t="s">
        <v>74</v>
      </c>
      <c r="BH379" t="s">
        <v>74</v>
      </c>
      <c r="BI379">
        <v>13</v>
      </c>
      <c r="BJ379" t="s">
        <v>1001</v>
      </c>
      <c r="BK379" t="s">
        <v>104</v>
      </c>
      <c r="BL379" t="s">
        <v>1002</v>
      </c>
      <c r="BM379" t="s">
        <v>7493</v>
      </c>
      <c r="BN379" t="s">
        <v>74</v>
      </c>
      <c r="BO379" t="s">
        <v>206</v>
      </c>
      <c r="BP379" t="s">
        <v>74</v>
      </c>
      <c r="BQ379" t="s">
        <v>74</v>
      </c>
      <c r="BR379" t="s">
        <v>107</v>
      </c>
      <c r="BS379" t="s">
        <v>7494</v>
      </c>
      <c r="BT379" t="str">
        <f>HYPERLINK("https%3A%2F%2Fwww.webofscience.com%2Fwos%2Fwoscc%2Ffull-record%2FWOS:001040457700001","View Full Record in Web of Science")</f>
        <v>View Full Record in Web of Science</v>
      </c>
    </row>
    <row r="380" spans="1:72" x14ac:dyDescent="0.15">
      <c r="A380" t="s">
        <v>72</v>
      </c>
      <c r="B380" t="s">
        <v>7495</v>
      </c>
      <c r="C380" t="s">
        <v>74</v>
      </c>
      <c r="D380" t="s">
        <v>74</v>
      </c>
      <c r="E380" t="s">
        <v>74</v>
      </c>
      <c r="F380" t="s">
        <v>7496</v>
      </c>
      <c r="G380" t="s">
        <v>74</v>
      </c>
      <c r="H380" t="s">
        <v>74</v>
      </c>
      <c r="I380" t="s">
        <v>7497</v>
      </c>
      <c r="J380" t="s">
        <v>3756</v>
      </c>
      <c r="K380" t="s">
        <v>74</v>
      </c>
      <c r="L380" t="s">
        <v>74</v>
      </c>
      <c r="M380" t="s">
        <v>78</v>
      </c>
      <c r="N380" t="s">
        <v>79</v>
      </c>
      <c r="O380" t="s">
        <v>74</v>
      </c>
      <c r="P380" t="s">
        <v>74</v>
      </c>
      <c r="Q380" t="s">
        <v>74</v>
      </c>
      <c r="R380" t="s">
        <v>74</v>
      </c>
      <c r="S380" t="s">
        <v>74</v>
      </c>
      <c r="T380" t="s">
        <v>7498</v>
      </c>
      <c r="U380" t="s">
        <v>7499</v>
      </c>
      <c r="V380" t="s">
        <v>7500</v>
      </c>
      <c r="W380" t="s">
        <v>7501</v>
      </c>
      <c r="X380" t="s">
        <v>7502</v>
      </c>
      <c r="Y380" t="s">
        <v>7503</v>
      </c>
      <c r="Z380" t="s">
        <v>7504</v>
      </c>
      <c r="AA380" t="s">
        <v>74</v>
      </c>
      <c r="AB380" t="s">
        <v>7505</v>
      </c>
      <c r="AC380" t="s">
        <v>74</v>
      </c>
      <c r="AD380" t="s">
        <v>74</v>
      </c>
      <c r="AE380" t="s">
        <v>74</v>
      </c>
      <c r="AF380" t="s">
        <v>74</v>
      </c>
      <c r="AG380">
        <v>54</v>
      </c>
      <c r="AH380">
        <v>0</v>
      </c>
      <c r="AI380">
        <v>0</v>
      </c>
      <c r="AJ380">
        <v>1</v>
      </c>
      <c r="AK380">
        <v>3</v>
      </c>
      <c r="AL380" t="s">
        <v>298</v>
      </c>
      <c r="AM380" t="s">
        <v>299</v>
      </c>
      <c r="AN380" t="s">
        <v>300</v>
      </c>
      <c r="AO380" t="s">
        <v>3767</v>
      </c>
      <c r="AP380" t="s">
        <v>3768</v>
      </c>
      <c r="AQ380" t="s">
        <v>74</v>
      </c>
      <c r="AR380" t="s">
        <v>3769</v>
      </c>
      <c r="AS380" t="s">
        <v>3770</v>
      </c>
      <c r="AT380" t="s">
        <v>97</v>
      </c>
      <c r="AU380">
        <v>2023</v>
      </c>
      <c r="AV380">
        <v>46</v>
      </c>
      <c r="AW380">
        <v>9</v>
      </c>
      <c r="AX380" t="s">
        <v>74</v>
      </c>
      <c r="AY380" t="s">
        <v>74</v>
      </c>
      <c r="AZ380" t="s">
        <v>74</v>
      </c>
      <c r="BA380" t="s">
        <v>74</v>
      </c>
      <c r="BB380">
        <v>959</v>
      </c>
      <c r="BC380">
        <v>969</v>
      </c>
      <c r="BD380" t="s">
        <v>74</v>
      </c>
      <c r="BE380" t="s">
        <v>7506</v>
      </c>
      <c r="BF380" t="str">
        <f>HYPERLINK("http://dx.doi.org/10.1007/s00300-023-03176-y","http://dx.doi.org/10.1007/s00300-023-03176-y")</f>
        <v>http://dx.doi.org/10.1007/s00300-023-03176-y</v>
      </c>
      <c r="BG380" t="s">
        <v>74</v>
      </c>
      <c r="BH380" t="s">
        <v>6115</v>
      </c>
      <c r="BI380">
        <v>11</v>
      </c>
      <c r="BJ380" t="s">
        <v>3772</v>
      </c>
      <c r="BK380" t="s">
        <v>104</v>
      </c>
      <c r="BL380" t="s">
        <v>1905</v>
      </c>
      <c r="BM380" t="s">
        <v>4538</v>
      </c>
      <c r="BN380" t="s">
        <v>74</v>
      </c>
      <c r="BO380" t="s">
        <v>418</v>
      </c>
      <c r="BP380" t="s">
        <v>74</v>
      </c>
      <c r="BQ380" t="s">
        <v>74</v>
      </c>
      <c r="BR380" t="s">
        <v>107</v>
      </c>
      <c r="BS380" t="s">
        <v>7507</v>
      </c>
      <c r="BT380" t="str">
        <f>HYPERLINK("https%3A%2F%2Fwww.webofscience.com%2Fwos%2Fwoscc%2Ffull-record%2FWOS:001031364500002","View Full Record in Web of Science")</f>
        <v>View Full Record in Web of Science</v>
      </c>
    </row>
    <row r="381" spans="1:72" x14ac:dyDescent="0.15">
      <c r="A381" t="s">
        <v>72</v>
      </c>
      <c r="B381" t="s">
        <v>7508</v>
      </c>
      <c r="C381" t="s">
        <v>74</v>
      </c>
      <c r="D381" t="s">
        <v>74</v>
      </c>
      <c r="E381" t="s">
        <v>74</v>
      </c>
      <c r="F381" t="s">
        <v>7509</v>
      </c>
      <c r="G381" t="s">
        <v>74</v>
      </c>
      <c r="H381" t="s">
        <v>74</v>
      </c>
      <c r="I381" t="s">
        <v>7510</v>
      </c>
      <c r="J381" t="s">
        <v>7511</v>
      </c>
      <c r="K381" t="s">
        <v>74</v>
      </c>
      <c r="L381" t="s">
        <v>74</v>
      </c>
      <c r="M381" t="s">
        <v>78</v>
      </c>
      <c r="N381" t="s">
        <v>869</v>
      </c>
      <c r="O381" t="s">
        <v>74</v>
      </c>
      <c r="P381" t="s">
        <v>74</v>
      </c>
      <c r="Q381" t="s">
        <v>74</v>
      </c>
      <c r="R381" t="s">
        <v>74</v>
      </c>
      <c r="S381" t="s">
        <v>74</v>
      </c>
      <c r="T381" t="s">
        <v>74</v>
      </c>
      <c r="U381" t="s">
        <v>74</v>
      </c>
      <c r="V381" t="s">
        <v>74</v>
      </c>
      <c r="W381" t="s">
        <v>7512</v>
      </c>
      <c r="X381" t="s">
        <v>7513</v>
      </c>
      <c r="Y381" t="s">
        <v>7514</v>
      </c>
      <c r="Z381" t="s">
        <v>7515</v>
      </c>
      <c r="AA381" t="s">
        <v>7516</v>
      </c>
      <c r="AB381" t="s">
        <v>74</v>
      </c>
      <c r="AC381" t="s">
        <v>74</v>
      </c>
      <c r="AD381" t="s">
        <v>74</v>
      </c>
      <c r="AE381" t="s">
        <v>74</v>
      </c>
      <c r="AF381" t="s">
        <v>74</v>
      </c>
      <c r="AG381">
        <v>11</v>
      </c>
      <c r="AH381">
        <v>0</v>
      </c>
      <c r="AI381">
        <v>0</v>
      </c>
      <c r="AJ381">
        <v>1</v>
      </c>
      <c r="AK381">
        <v>4</v>
      </c>
      <c r="AL381" t="s">
        <v>298</v>
      </c>
      <c r="AM381" t="s">
        <v>3791</v>
      </c>
      <c r="AN381" t="s">
        <v>3792</v>
      </c>
      <c r="AO381" t="s">
        <v>7517</v>
      </c>
      <c r="AP381" t="s">
        <v>7518</v>
      </c>
      <c r="AQ381" t="s">
        <v>74</v>
      </c>
      <c r="AR381" t="s">
        <v>7519</v>
      </c>
      <c r="AS381" t="s">
        <v>7520</v>
      </c>
      <c r="AT381" t="s">
        <v>97</v>
      </c>
      <c r="AU381">
        <v>2023</v>
      </c>
      <c r="AV381">
        <v>28</v>
      </c>
      <c r="AW381">
        <v>5</v>
      </c>
      <c r="AX381" t="s">
        <v>74</v>
      </c>
      <c r="AY381" t="s">
        <v>74</v>
      </c>
      <c r="AZ381" t="s">
        <v>99</v>
      </c>
      <c r="BA381" t="s">
        <v>74</v>
      </c>
      <c r="BB381">
        <v>441</v>
      </c>
      <c r="BC381">
        <v>443</v>
      </c>
      <c r="BD381" t="s">
        <v>74</v>
      </c>
      <c r="BE381" t="s">
        <v>7521</v>
      </c>
      <c r="BF381" t="str">
        <f>HYPERLINK("http://dx.doi.org/10.1007/s12192-023-01365-6","http://dx.doi.org/10.1007/s12192-023-01365-6")</f>
        <v>http://dx.doi.org/10.1007/s12192-023-01365-6</v>
      </c>
      <c r="BG381" t="s">
        <v>74</v>
      </c>
      <c r="BH381" t="s">
        <v>6115</v>
      </c>
      <c r="BI381">
        <v>3</v>
      </c>
      <c r="BJ381" t="s">
        <v>7522</v>
      </c>
      <c r="BK381" t="s">
        <v>104</v>
      </c>
      <c r="BL381" t="s">
        <v>7522</v>
      </c>
      <c r="BM381" t="s">
        <v>7523</v>
      </c>
      <c r="BN381">
        <v>37464104</v>
      </c>
      <c r="BO381" t="s">
        <v>1217</v>
      </c>
      <c r="BP381" t="s">
        <v>74</v>
      </c>
      <c r="BQ381" t="s">
        <v>74</v>
      </c>
      <c r="BR381" t="s">
        <v>107</v>
      </c>
      <c r="BS381" t="s">
        <v>7524</v>
      </c>
      <c r="BT381" t="str">
        <f>HYPERLINK("https%3A%2F%2Fwww.webofscience.com%2Fwos%2Fwoscc%2Ffull-record%2FWOS:001032547200001","View Full Record in Web of Science")</f>
        <v>View Full Record in Web of Science</v>
      </c>
    </row>
    <row r="382" spans="1:72" x14ac:dyDescent="0.15">
      <c r="A382" t="s">
        <v>72</v>
      </c>
      <c r="B382" t="s">
        <v>7525</v>
      </c>
      <c r="C382" t="s">
        <v>74</v>
      </c>
      <c r="D382" t="s">
        <v>74</v>
      </c>
      <c r="E382" t="s">
        <v>74</v>
      </c>
      <c r="F382" t="s">
        <v>7526</v>
      </c>
      <c r="G382" t="s">
        <v>74</v>
      </c>
      <c r="H382" t="s">
        <v>74</v>
      </c>
      <c r="I382" t="s">
        <v>7527</v>
      </c>
      <c r="J382" t="s">
        <v>7528</v>
      </c>
      <c r="K382" t="s">
        <v>74</v>
      </c>
      <c r="L382" t="s">
        <v>74</v>
      </c>
      <c r="M382" t="s">
        <v>78</v>
      </c>
      <c r="N382" t="s">
        <v>79</v>
      </c>
      <c r="O382" t="s">
        <v>74</v>
      </c>
      <c r="P382" t="s">
        <v>74</v>
      </c>
      <c r="Q382" t="s">
        <v>74</v>
      </c>
      <c r="R382" t="s">
        <v>74</v>
      </c>
      <c r="S382" t="s">
        <v>74</v>
      </c>
      <c r="T382" t="s">
        <v>74</v>
      </c>
      <c r="U382" t="s">
        <v>7529</v>
      </c>
      <c r="V382" t="s">
        <v>7530</v>
      </c>
      <c r="W382" t="s">
        <v>7531</v>
      </c>
      <c r="X382" t="s">
        <v>7532</v>
      </c>
      <c r="Y382" t="s">
        <v>7533</v>
      </c>
      <c r="Z382" t="s">
        <v>7534</v>
      </c>
      <c r="AA382" t="s">
        <v>74</v>
      </c>
      <c r="AB382" t="s">
        <v>7535</v>
      </c>
      <c r="AC382" t="s">
        <v>7536</v>
      </c>
      <c r="AD382" t="s">
        <v>7537</v>
      </c>
      <c r="AE382" t="s">
        <v>7538</v>
      </c>
      <c r="AF382" t="s">
        <v>74</v>
      </c>
      <c r="AG382">
        <v>72</v>
      </c>
      <c r="AH382">
        <v>1</v>
      </c>
      <c r="AI382">
        <v>1</v>
      </c>
      <c r="AJ382">
        <v>1</v>
      </c>
      <c r="AK382">
        <v>1</v>
      </c>
      <c r="AL382" t="s">
        <v>1775</v>
      </c>
      <c r="AM382" t="s">
        <v>1776</v>
      </c>
      <c r="AN382" t="s">
        <v>1777</v>
      </c>
      <c r="AO382" t="s">
        <v>74</v>
      </c>
      <c r="AP382" t="s">
        <v>7539</v>
      </c>
      <c r="AQ382" t="s">
        <v>74</v>
      </c>
      <c r="AR382" t="s">
        <v>7528</v>
      </c>
      <c r="AS382" t="s">
        <v>7540</v>
      </c>
      <c r="AT382" t="s">
        <v>7541</v>
      </c>
      <c r="AU382">
        <v>2023</v>
      </c>
      <c r="AV382">
        <v>5</v>
      </c>
      <c r="AW382">
        <v>2</v>
      </c>
      <c r="AX382" t="s">
        <v>74</v>
      </c>
      <c r="AY382" t="s">
        <v>74</v>
      </c>
      <c r="AZ382" t="s">
        <v>74</v>
      </c>
      <c r="BA382" t="s">
        <v>74</v>
      </c>
      <c r="BB382">
        <v>301</v>
      </c>
      <c r="BC382">
        <v>321</v>
      </c>
      <c r="BD382" t="s">
        <v>74</v>
      </c>
      <c r="BE382" t="s">
        <v>7542</v>
      </c>
      <c r="BF382" t="str">
        <f>HYPERLINK("http://dx.doi.org/10.5194/gchron-5-301-2023","http://dx.doi.org/10.5194/gchron-5-301-2023")</f>
        <v>http://dx.doi.org/10.5194/gchron-5-301-2023</v>
      </c>
      <c r="BG382" t="s">
        <v>74</v>
      </c>
      <c r="BH382" t="s">
        <v>74</v>
      </c>
      <c r="BI382">
        <v>21</v>
      </c>
      <c r="BJ382" t="s">
        <v>7543</v>
      </c>
      <c r="BK382" t="s">
        <v>518</v>
      </c>
      <c r="BL382" t="s">
        <v>7544</v>
      </c>
      <c r="BM382" t="s">
        <v>7545</v>
      </c>
      <c r="BN382" t="s">
        <v>74</v>
      </c>
      <c r="BO382" t="s">
        <v>771</v>
      </c>
      <c r="BP382" t="s">
        <v>74</v>
      </c>
      <c r="BQ382" t="s">
        <v>74</v>
      </c>
      <c r="BR382" t="s">
        <v>107</v>
      </c>
      <c r="BS382" t="s">
        <v>7546</v>
      </c>
      <c r="BT382" t="str">
        <f>HYPERLINK("https%3A%2F%2Fwww.webofscience.com%2Fwos%2Fwoscc%2Ffull-record%2FWOS:001162372500001","View Full Record in Web of Science")</f>
        <v>View Full Record in Web of Science</v>
      </c>
    </row>
    <row r="383" spans="1:72" x14ac:dyDescent="0.15">
      <c r="A383" t="s">
        <v>72</v>
      </c>
      <c r="B383" t="s">
        <v>7547</v>
      </c>
      <c r="C383" t="s">
        <v>74</v>
      </c>
      <c r="D383" t="s">
        <v>74</v>
      </c>
      <c r="E383" t="s">
        <v>74</v>
      </c>
      <c r="F383" t="s">
        <v>7548</v>
      </c>
      <c r="G383" t="s">
        <v>74</v>
      </c>
      <c r="H383" t="s">
        <v>74</v>
      </c>
      <c r="I383" t="s">
        <v>7549</v>
      </c>
      <c r="J383" t="s">
        <v>2056</v>
      </c>
      <c r="K383" t="s">
        <v>74</v>
      </c>
      <c r="L383" t="s">
        <v>74</v>
      </c>
      <c r="M383" t="s">
        <v>78</v>
      </c>
      <c r="N383" t="s">
        <v>79</v>
      </c>
      <c r="O383" t="s">
        <v>74</v>
      </c>
      <c r="P383" t="s">
        <v>74</v>
      </c>
      <c r="Q383" t="s">
        <v>74</v>
      </c>
      <c r="R383" t="s">
        <v>74</v>
      </c>
      <c r="S383" t="s">
        <v>74</v>
      </c>
      <c r="T383" t="s">
        <v>74</v>
      </c>
      <c r="U383" t="s">
        <v>7550</v>
      </c>
      <c r="V383" t="s">
        <v>7551</v>
      </c>
      <c r="W383" t="s">
        <v>7552</v>
      </c>
      <c r="X383" t="s">
        <v>4147</v>
      </c>
      <c r="Y383" t="s">
        <v>7553</v>
      </c>
      <c r="Z383" t="s">
        <v>7554</v>
      </c>
      <c r="AA383" t="s">
        <v>74</v>
      </c>
      <c r="AB383" t="s">
        <v>7555</v>
      </c>
      <c r="AC383" t="s">
        <v>7556</v>
      </c>
      <c r="AD383" t="s">
        <v>7557</v>
      </c>
      <c r="AE383" t="s">
        <v>7558</v>
      </c>
      <c r="AF383" t="s">
        <v>74</v>
      </c>
      <c r="AG383">
        <v>103</v>
      </c>
      <c r="AH383">
        <v>0</v>
      </c>
      <c r="AI383">
        <v>0</v>
      </c>
      <c r="AJ383">
        <v>2</v>
      </c>
      <c r="AK383">
        <v>4</v>
      </c>
      <c r="AL383" t="s">
        <v>2068</v>
      </c>
      <c r="AM383" t="s">
        <v>2069</v>
      </c>
      <c r="AN383" t="s">
        <v>2070</v>
      </c>
      <c r="AO383" t="s">
        <v>2071</v>
      </c>
      <c r="AP383" t="s">
        <v>74</v>
      </c>
      <c r="AQ383" t="s">
        <v>74</v>
      </c>
      <c r="AR383" t="s">
        <v>2056</v>
      </c>
      <c r="AS383" t="s">
        <v>2072</v>
      </c>
      <c r="AT383" t="s">
        <v>7541</v>
      </c>
      <c r="AU383">
        <v>2023</v>
      </c>
      <c r="AV383">
        <v>18</v>
      </c>
      <c r="AW383">
        <v>7</v>
      </c>
      <c r="AX383" t="s">
        <v>74</v>
      </c>
      <c r="AY383" t="s">
        <v>74</v>
      </c>
      <c r="AZ383" t="s">
        <v>74</v>
      </c>
      <c r="BA383" t="s">
        <v>74</v>
      </c>
      <c r="BB383" t="s">
        <v>74</v>
      </c>
      <c r="BC383" t="s">
        <v>74</v>
      </c>
      <c r="BD383" t="s">
        <v>7559</v>
      </c>
      <c r="BE383" t="s">
        <v>7560</v>
      </c>
      <c r="BF383" t="str">
        <f>HYPERLINK("http://dx.doi.org/10.1371/journal.pone.0288509","http://dx.doi.org/10.1371/journal.pone.0288509")</f>
        <v>http://dx.doi.org/10.1371/journal.pone.0288509</v>
      </c>
      <c r="BG383" t="s">
        <v>74</v>
      </c>
      <c r="BH383" t="s">
        <v>74</v>
      </c>
      <c r="BI383">
        <v>28</v>
      </c>
      <c r="BJ383" t="s">
        <v>1881</v>
      </c>
      <c r="BK383" t="s">
        <v>104</v>
      </c>
      <c r="BL383" t="s">
        <v>1882</v>
      </c>
      <c r="BM383" t="s">
        <v>7561</v>
      </c>
      <c r="BN383">
        <v>37459319</v>
      </c>
      <c r="BO383" t="s">
        <v>181</v>
      </c>
      <c r="BP383" t="s">
        <v>74</v>
      </c>
      <c r="BQ383" t="s">
        <v>74</v>
      </c>
      <c r="BR383" t="s">
        <v>107</v>
      </c>
      <c r="BS383" t="s">
        <v>7562</v>
      </c>
      <c r="BT383" t="str">
        <f>HYPERLINK("https%3A%2F%2Fwww.webofscience.com%2Fwos%2Fwoscc%2Ffull-record%2FWOS:001034815900033","View Full Record in Web of Science")</f>
        <v>View Full Record in Web of Science</v>
      </c>
    </row>
    <row r="384" spans="1:72" x14ac:dyDescent="0.15">
      <c r="A384" t="s">
        <v>72</v>
      </c>
      <c r="B384" t="s">
        <v>7563</v>
      </c>
      <c r="C384" t="s">
        <v>74</v>
      </c>
      <c r="D384" t="s">
        <v>74</v>
      </c>
      <c r="E384" t="s">
        <v>74</v>
      </c>
      <c r="F384" t="s">
        <v>7564</v>
      </c>
      <c r="G384" t="s">
        <v>74</v>
      </c>
      <c r="H384" t="s">
        <v>74</v>
      </c>
      <c r="I384" t="s">
        <v>7565</v>
      </c>
      <c r="J384" t="s">
        <v>4120</v>
      </c>
      <c r="K384" t="s">
        <v>74</v>
      </c>
      <c r="L384" t="s">
        <v>74</v>
      </c>
      <c r="M384" t="s">
        <v>78</v>
      </c>
      <c r="N384" t="s">
        <v>79</v>
      </c>
      <c r="O384" t="s">
        <v>74</v>
      </c>
      <c r="P384" t="s">
        <v>74</v>
      </c>
      <c r="Q384" t="s">
        <v>74</v>
      </c>
      <c r="R384" t="s">
        <v>74</v>
      </c>
      <c r="S384" t="s">
        <v>74</v>
      </c>
      <c r="T384" t="s">
        <v>74</v>
      </c>
      <c r="U384" t="s">
        <v>7566</v>
      </c>
      <c r="V384" t="s">
        <v>7567</v>
      </c>
      <c r="W384" t="s">
        <v>7568</v>
      </c>
      <c r="X384" t="s">
        <v>7569</v>
      </c>
      <c r="Y384" t="s">
        <v>7570</v>
      </c>
      <c r="Z384" t="s">
        <v>7571</v>
      </c>
      <c r="AA384" t="s">
        <v>7572</v>
      </c>
      <c r="AB384" t="s">
        <v>7573</v>
      </c>
      <c r="AC384" t="s">
        <v>7574</v>
      </c>
      <c r="AD384" t="s">
        <v>7575</v>
      </c>
      <c r="AE384" t="s">
        <v>7576</v>
      </c>
      <c r="AF384" t="s">
        <v>74</v>
      </c>
      <c r="AG384">
        <v>61</v>
      </c>
      <c r="AH384">
        <v>10</v>
      </c>
      <c r="AI384">
        <v>10</v>
      </c>
      <c r="AJ384">
        <v>10</v>
      </c>
      <c r="AK384">
        <v>31</v>
      </c>
      <c r="AL384" t="s">
        <v>1775</v>
      </c>
      <c r="AM384" t="s">
        <v>1776</v>
      </c>
      <c r="AN384" t="s">
        <v>1777</v>
      </c>
      <c r="AO384" t="s">
        <v>4132</v>
      </c>
      <c r="AP384" t="s">
        <v>4133</v>
      </c>
      <c r="AQ384" t="s">
        <v>74</v>
      </c>
      <c r="AR384" t="s">
        <v>4134</v>
      </c>
      <c r="AS384" t="s">
        <v>4135</v>
      </c>
      <c r="AT384" t="s">
        <v>7541</v>
      </c>
      <c r="AU384">
        <v>2023</v>
      </c>
      <c r="AV384">
        <v>15</v>
      </c>
      <c r="AW384">
        <v>7</v>
      </c>
      <c r="AX384" t="s">
        <v>74</v>
      </c>
      <c r="AY384" t="s">
        <v>74</v>
      </c>
      <c r="AZ384" t="s">
        <v>74</v>
      </c>
      <c r="BA384" t="s">
        <v>74</v>
      </c>
      <c r="BB384">
        <v>2695</v>
      </c>
      <c r="BC384">
        <v>2710</v>
      </c>
      <c r="BD384" t="s">
        <v>74</v>
      </c>
      <c r="BE384" t="s">
        <v>7577</v>
      </c>
      <c r="BF384" t="str">
        <f>HYPERLINK("http://dx.doi.org/10.5194/essd-15-2695-2023","http://dx.doi.org/10.5194/essd-15-2695-2023")</f>
        <v>http://dx.doi.org/10.5194/essd-15-2695-2023</v>
      </c>
      <c r="BG384" t="s">
        <v>74</v>
      </c>
      <c r="BH384" t="s">
        <v>74</v>
      </c>
      <c r="BI384">
        <v>16</v>
      </c>
      <c r="BJ384" t="s">
        <v>3351</v>
      </c>
      <c r="BK384" t="s">
        <v>104</v>
      </c>
      <c r="BL384" t="s">
        <v>3352</v>
      </c>
      <c r="BM384" t="s">
        <v>7578</v>
      </c>
      <c r="BN384" t="s">
        <v>74</v>
      </c>
      <c r="BO384" t="s">
        <v>7579</v>
      </c>
      <c r="BP384" t="s">
        <v>74</v>
      </c>
      <c r="BQ384" t="s">
        <v>74</v>
      </c>
      <c r="BR384" t="s">
        <v>107</v>
      </c>
      <c r="BS384" t="s">
        <v>7580</v>
      </c>
      <c r="BT384" t="str">
        <f>HYPERLINK("https%3A%2F%2Fwww.webofscience.com%2Fwos%2Fwoscc%2Ffull-record%2FWOS:001036977900001","View Full Record in Web of Science")</f>
        <v>View Full Record in Web of Science</v>
      </c>
    </row>
    <row r="385" spans="1:72" x14ac:dyDescent="0.15">
      <c r="A385" t="s">
        <v>72</v>
      </c>
      <c r="B385" t="s">
        <v>7581</v>
      </c>
      <c r="C385" t="s">
        <v>74</v>
      </c>
      <c r="D385" t="s">
        <v>74</v>
      </c>
      <c r="E385" t="s">
        <v>74</v>
      </c>
      <c r="F385" t="s">
        <v>7582</v>
      </c>
      <c r="G385" t="s">
        <v>74</v>
      </c>
      <c r="H385" t="s">
        <v>74</v>
      </c>
      <c r="I385" t="s">
        <v>7583</v>
      </c>
      <c r="J385" t="s">
        <v>2213</v>
      </c>
      <c r="K385" t="s">
        <v>74</v>
      </c>
      <c r="L385" t="s">
        <v>74</v>
      </c>
      <c r="M385" t="s">
        <v>78</v>
      </c>
      <c r="N385" t="s">
        <v>79</v>
      </c>
      <c r="O385" t="s">
        <v>74</v>
      </c>
      <c r="P385" t="s">
        <v>74</v>
      </c>
      <c r="Q385" t="s">
        <v>74</v>
      </c>
      <c r="R385" t="s">
        <v>74</v>
      </c>
      <c r="S385" t="s">
        <v>74</v>
      </c>
      <c r="T385" t="s">
        <v>7584</v>
      </c>
      <c r="U385" t="s">
        <v>7585</v>
      </c>
      <c r="V385" t="s">
        <v>7586</v>
      </c>
      <c r="W385" t="s">
        <v>7587</v>
      </c>
      <c r="X385" t="s">
        <v>7588</v>
      </c>
      <c r="Y385" t="s">
        <v>7589</v>
      </c>
      <c r="Z385" t="s">
        <v>7590</v>
      </c>
      <c r="AA385" t="s">
        <v>7591</v>
      </c>
      <c r="AB385" t="s">
        <v>7592</v>
      </c>
      <c r="AC385" t="s">
        <v>7593</v>
      </c>
      <c r="AD385" t="s">
        <v>7594</v>
      </c>
      <c r="AE385" t="s">
        <v>7595</v>
      </c>
      <c r="AF385" t="s">
        <v>74</v>
      </c>
      <c r="AG385">
        <v>74</v>
      </c>
      <c r="AH385">
        <v>0</v>
      </c>
      <c r="AI385">
        <v>0</v>
      </c>
      <c r="AJ385">
        <v>2</v>
      </c>
      <c r="AK385">
        <v>3</v>
      </c>
      <c r="AL385" t="s">
        <v>588</v>
      </c>
      <c r="AM385" t="s">
        <v>589</v>
      </c>
      <c r="AN385" t="s">
        <v>590</v>
      </c>
      <c r="AO385" t="s">
        <v>2226</v>
      </c>
      <c r="AP385" t="s">
        <v>2227</v>
      </c>
      <c r="AQ385" t="s">
        <v>74</v>
      </c>
      <c r="AR385" t="s">
        <v>2228</v>
      </c>
      <c r="AS385" t="s">
        <v>2229</v>
      </c>
      <c r="AT385" t="s">
        <v>7596</v>
      </c>
      <c r="AU385">
        <v>2023</v>
      </c>
      <c r="AV385">
        <v>50</v>
      </c>
      <c r="AW385">
        <v>13</v>
      </c>
      <c r="AX385" t="s">
        <v>74</v>
      </c>
      <c r="AY385" t="s">
        <v>74</v>
      </c>
      <c r="AZ385" t="s">
        <v>74</v>
      </c>
      <c r="BA385" t="s">
        <v>74</v>
      </c>
      <c r="BB385" t="s">
        <v>74</v>
      </c>
      <c r="BC385" t="s">
        <v>74</v>
      </c>
      <c r="BD385" t="s">
        <v>7597</v>
      </c>
      <c r="BE385" t="s">
        <v>7598</v>
      </c>
      <c r="BF385" t="str">
        <f>HYPERLINK("http://dx.doi.org/10.1029/2022GL101595","http://dx.doi.org/10.1029/2022GL101595")</f>
        <v>http://dx.doi.org/10.1029/2022GL101595</v>
      </c>
      <c r="BG385" t="s">
        <v>74</v>
      </c>
      <c r="BH385" t="s">
        <v>74</v>
      </c>
      <c r="BI385">
        <v>12</v>
      </c>
      <c r="BJ385" t="s">
        <v>155</v>
      </c>
      <c r="BK385" t="s">
        <v>104</v>
      </c>
      <c r="BL385" t="s">
        <v>156</v>
      </c>
      <c r="BM385" t="s">
        <v>7599</v>
      </c>
      <c r="BN385" t="s">
        <v>74</v>
      </c>
      <c r="BO385" t="s">
        <v>1555</v>
      </c>
      <c r="BP385" t="s">
        <v>74</v>
      </c>
      <c r="BQ385" t="s">
        <v>74</v>
      </c>
      <c r="BR385" t="s">
        <v>107</v>
      </c>
      <c r="BS385" t="s">
        <v>7600</v>
      </c>
      <c r="BT385" t="str">
        <f>HYPERLINK("https%3A%2F%2Fwww.webofscience.com%2Fwos%2Fwoscc%2Ffull-record%2FWOS:001021722600001","View Full Record in Web of Science")</f>
        <v>View Full Record in Web of Science</v>
      </c>
    </row>
    <row r="386" spans="1:72" x14ac:dyDescent="0.15">
      <c r="A386" t="s">
        <v>72</v>
      </c>
      <c r="B386" t="s">
        <v>7601</v>
      </c>
      <c r="C386" t="s">
        <v>74</v>
      </c>
      <c r="D386" t="s">
        <v>74</v>
      </c>
      <c r="E386" t="s">
        <v>74</v>
      </c>
      <c r="F386" t="s">
        <v>7602</v>
      </c>
      <c r="G386" t="s">
        <v>74</v>
      </c>
      <c r="H386" t="s">
        <v>74</v>
      </c>
      <c r="I386" t="s">
        <v>7603</v>
      </c>
      <c r="J386" t="s">
        <v>2213</v>
      </c>
      <c r="K386" t="s">
        <v>74</v>
      </c>
      <c r="L386" t="s">
        <v>74</v>
      </c>
      <c r="M386" t="s">
        <v>78</v>
      </c>
      <c r="N386" t="s">
        <v>79</v>
      </c>
      <c r="O386" t="s">
        <v>74</v>
      </c>
      <c r="P386" t="s">
        <v>74</v>
      </c>
      <c r="Q386" t="s">
        <v>74</v>
      </c>
      <c r="R386" t="s">
        <v>74</v>
      </c>
      <c r="S386" t="s">
        <v>74</v>
      </c>
      <c r="T386" t="s">
        <v>7604</v>
      </c>
      <c r="U386" t="s">
        <v>7605</v>
      </c>
      <c r="V386" t="s">
        <v>7606</v>
      </c>
      <c r="W386" t="s">
        <v>7607</v>
      </c>
      <c r="X386" t="s">
        <v>7608</v>
      </c>
      <c r="Y386" t="s">
        <v>7609</v>
      </c>
      <c r="Z386" t="s">
        <v>7610</v>
      </c>
      <c r="AA386" t="s">
        <v>7611</v>
      </c>
      <c r="AB386" t="s">
        <v>7612</v>
      </c>
      <c r="AC386" t="s">
        <v>7613</v>
      </c>
      <c r="AD386" t="s">
        <v>7614</v>
      </c>
      <c r="AE386" t="s">
        <v>7615</v>
      </c>
      <c r="AF386" t="s">
        <v>74</v>
      </c>
      <c r="AG386">
        <v>60</v>
      </c>
      <c r="AH386">
        <v>1</v>
      </c>
      <c r="AI386">
        <v>1</v>
      </c>
      <c r="AJ386">
        <v>1</v>
      </c>
      <c r="AK386">
        <v>3</v>
      </c>
      <c r="AL386" t="s">
        <v>588</v>
      </c>
      <c r="AM386" t="s">
        <v>589</v>
      </c>
      <c r="AN386" t="s">
        <v>590</v>
      </c>
      <c r="AO386" t="s">
        <v>2226</v>
      </c>
      <c r="AP386" t="s">
        <v>2227</v>
      </c>
      <c r="AQ386" t="s">
        <v>74</v>
      </c>
      <c r="AR386" t="s">
        <v>2228</v>
      </c>
      <c r="AS386" t="s">
        <v>2229</v>
      </c>
      <c r="AT386" t="s">
        <v>7596</v>
      </c>
      <c r="AU386">
        <v>2023</v>
      </c>
      <c r="AV386">
        <v>50</v>
      </c>
      <c r="AW386">
        <v>13</v>
      </c>
      <c r="AX386" t="s">
        <v>74</v>
      </c>
      <c r="AY386" t="s">
        <v>74</v>
      </c>
      <c r="AZ386" t="s">
        <v>74</v>
      </c>
      <c r="BA386" t="s">
        <v>74</v>
      </c>
      <c r="BB386" t="s">
        <v>74</v>
      </c>
      <c r="BC386" t="s">
        <v>74</v>
      </c>
      <c r="BD386" t="s">
        <v>7616</v>
      </c>
      <c r="BE386" t="s">
        <v>7617</v>
      </c>
      <c r="BF386" t="str">
        <f>HYPERLINK("http://dx.doi.org/10.1029/2023GL103813","http://dx.doi.org/10.1029/2023GL103813")</f>
        <v>http://dx.doi.org/10.1029/2023GL103813</v>
      </c>
      <c r="BG386" t="s">
        <v>74</v>
      </c>
      <c r="BH386" t="s">
        <v>74</v>
      </c>
      <c r="BI386">
        <v>10</v>
      </c>
      <c r="BJ386" t="s">
        <v>155</v>
      </c>
      <c r="BK386" t="s">
        <v>104</v>
      </c>
      <c r="BL386" t="s">
        <v>156</v>
      </c>
      <c r="BM386" t="s">
        <v>7618</v>
      </c>
      <c r="BN386" t="s">
        <v>74</v>
      </c>
      <c r="BO386" t="s">
        <v>1217</v>
      </c>
      <c r="BP386" t="s">
        <v>74</v>
      </c>
      <c r="BQ386" t="s">
        <v>74</v>
      </c>
      <c r="BR386" t="s">
        <v>107</v>
      </c>
      <c r="BS386" t="s">
        <v>7619</v>
      </c>
      <c r="BT386" t="str">
        <f>HYPERLINK("https%3A%2F%2Fwww.webofscience.com%2Fwos%2Fwoscc%2Ffull-record%2FWOS:001022910600001","View Full Record in Web of Science")</f>
        <v>View Full Record in Web of Science</v>
      </c>
    </row>
    <row r="387" spans="1:72" x14ac:dyDescent="0.15">
      <c r="A387" t="s">
        <v>72</v>
      </c>
      <c r="B387" t="s">
        <v>7620</v>
      </c>
      <c r="C387" t="s">
        <v>74</v>
      </c>
      <c r="D387" t="s">
        <v>74</v>
      </c>
      <c r="E387" t="s">
        <v>74</v>
      </c>
      <c r="F387" t="s">
        <v>7621</v>
      </c>
      <c r="G387" t="s">
        <v>74</v>
      </c>
      <c r="H387" t="s">
        <v>74</v>
      </c>
      <c r="I387" t="s">
        <v>7622</v>
      </c>
      <c r="J387" t="s">
        <v>7623</v>
      </c>
      <c r="K387" t="s">
        <v>74</v>
      </c>
      <c r="L387" t="s">
        <v>74</v>
      </c>
      <c r="M387" t="s">
        <v>78</v>
      </c>
      <c r="N387" t="s">
        <v>79</v>
      </c>
      <c r="O387" t="s">
        <v>74</v>
      </c>
      <c r="P387" t="s">
        <v>74</v>
      </c>
      <c r="Q387" t="s">
        <v>74</v>
      </c>
      <c r="R387" t="s">
        <v>74</v>
      </c>
      <c r="S387" t="s">
        <v>74</v>
      </c>
      <c r="T387" t="s">
        <v>7624</v>
      </c>
      <c r="U387" t="s">
        <v>7625</v>
      </c>
      <c r="V387" t="s">
        <v>7626</v>
      </c>
      <c r="W387" t="s">
        <v>7627</v>
      </c>
      <c r="X387" t="s">
        <v>7628</v>
      </c>
      <c r="Y387" t="s">
        <v>7629</v>
      </c>
      <c r="Z387" t="s">
        <v>7630</v>
      </c>
      <c r="AA387" t="s">
        <v>7631</v>
      </c>
      <c r="AB387" t="s">
        <v>7632</v>
      </c>
      <c r="AC387" t="s">
        <v>74</v>
      </c>
      <c r="AD387" t="s">
        <v>74</v>
      </c>
      <c r="AE387" t="s">
        <v>74</v>
      </c>
      <c r="AF387" t="s">
        <v>74</v>
      </c>
      <c r="AG387">
        <v>67</v>
      </c>
      <c r="AH387">
        <v>2</v>
      </c>
      <c r="AI387">
        <v>2</v>
      </c>
      <c r="AJ387">
        <v>10</v>
      </c>
      <c r="AK387">
        <v>13</v>
      </c>
      <c r="AL387" t="s">
        <v>7633</v>
      </c>
      <c r="AM387" t="s">
        <v>2763</v>
      </c>
      <c r="AN387" t="s">
        <v>7634</v>
      </c>
      <c r="AO387" t="s">
        <v>7635</v>
      </c>
      <c r="AP387" t="s">
        <v>7636</v>
      </c>
      <c r="AQ387" t="s">
        <v>74</v>
      </c>
      <c r="AR387" t="s">
        <v>7637</v>
      </c>
      <c r="AS387" t="s">
        <v>7638</v>
      </c>
      <c r="AT387" t="s">
        <v>7639</v>
      </c>
      <c r="AU387">
        <v>2023</v>
      </c>
      <c r="AV387">
        <v>29</v>
      </c>
      <c r="AW387">
        <v>11</v>
      </c>
      <c r="AX387" t="s">
        <v>74</v>
      </c>
      <c r="AY387" t="s">
        <v>74</v>
      </c>
      <c r="AZ387" t="s">
        <v>74</v>
      </c>
      <c r="BA387" t="s">
        <v>74</v>
      </c>
      <c r="BB387">
        <v>1678</v>
      </c>
      <c r="BC387">
        <v>1691</v>
      </c>
      <c r="BD387" t="s">
        <v>74</v>
      </c>
      <c r="BE387" t="s">
        <v>7640</v>
      </c>
      <c r="BF387" t="str">
        <f>HYPERLINK("http://dx.doi.org/10.1080/13504622.2023.2238136","http://dx.doi.org/10.1080/13504622.2023.2238136")</f>
        <v>http://dx.doi.org/10.1080/13504622.2023.2238136</v>
      </c>
      <c r="BG387" t="s">
        <v>74</v>
      </c>
      <c r="BH387" t="s">
        <v>6115</v>
      </c>
      <c r="BI387">
        <v>14</v>
      </c>
      <c r="BJ387" t="s">
        <v>7641</v>
      </c>
      <c r="BK387" t="s">
        <v>6861</v>
      </c>
      <c r="BL387" t="s">
        <v>7642</v>
      </c>
      <c r="BM387" t="s">
        <v>7643</v>
      </c>
      <c r="BN387" t="s">
        <v>74</v>
      </c>
      <c r="BO387" t="s">
        <v>549</v>
      </c>
      <c r="BP387" t="s">
        <v>74</v>
      </c>
      <c r="BQ387" t="s">
        <v>74</v>
      </c>
      <c r="BR387" t="s">
        <v>107</v>
      </c>
      <c r="BS387" t="s">
        <v>7644</v>
      </c>
      <c r="BT387" t="str">
        <f>HYPERLINK("https%3A%2F%2Fwww.webofscience.com%2Fwos%2Fwoscc%2Ffull-record%2FWOS:001033685400001","View Full Record in Web of Science")</f>
        <v>View Full Record in Web of Science</v>
      </c>
    </row>
    <row r="388" spans="1:72" x14ac:dyDescent="0.15">
      <c r="A388" t="s">
        <v>72</v>
      </c>
      <c r="B388" t="s">
        <v>7645</v>
      </c>
      <c r="C388" t="s">
        <v>74</v>
      </c>
      <c r="D388" t="s">
        <v>74</v>
      </c>
      <c r="E388" t="s">
        <v>74</v>
      </c>
      <c r="F388" t="s">
        <v>7646</v>
      </c>
      <c r="G388" t="s">
        <v>74</v>
      </c>
      <c r="H388" t="s">
        <v>74</v>
      </c>
      <c r="I388" t="s">
        <v>7647</v>
      </c>
      <c r="J388" t="s">
        <v>3756</v>
      </c>
      <c r="K388" t="s">
        <v>74</v>
      </c>
      <c r="L388" t="s">
        <v>74</v>
      </c>
      <c r="M388" t="s">
        <v>78</v>
      </c>
      <c r="N388" t="s">
        <v>79</v>
      </c>
      <c r="O388" t="s">
        <v>74</v>
      </c>
      <c r="P388" t="s">
        <v>74</v>
      </c>
      <c r="Q388" t="s">
        <v>74</v>
      </c>
      <c r="R388" t="s">
        <v>74</v>
      </c>
      <c r="S388" t="s">
        <v>74</v>
      </c>
      <c r="T388" t="s">
        <v>7648</v>
      </c>
      <c r="U388" t="s">
        <v>7649</v>
      </c>
      <c r="V388" t="s">
        <v>7650</v>
      </c>
      <c r="W388" t="s">
        <v>7651</v>
      </c>
      <c r="X388" t="s">
        <v>7652</v>
      </c>
      <c r="Y388" t="s">
        <v>7653</v>
      </c>
      <c r="Z388" t="s">
        <v>7654</v>
      </c>
      <c r="AA388" t="s">
        <v>74</v>
      </c>
      <c r="AB388" t="s">
        <v>74</v>
      </c>
      <c r="AC388" t="s">
        <v>7655</v>
      </c>
      <c r="AD388" t="s">
        <v>7656</v>
      </c>
      <c r="AE388" t="s">
        <v>7657</v>
      </c>
      <c r="AF388" t="s">
        <v>74</v>
      </c>
      <c r="AG388">
        <v>37</v>
      </c>
      <c r="AH388">
        <v>0</v>
      </c>
      <c r="AI388">
        <v>0</v>
      </c>
      <c r="AJ388">
        <v>2</v>
      </c>
      <c r="AK388">
        <v>3</v>
      </c>
      <c r="AL388" t="s">
        <v>298</v>
      </c>
      <c r="AM388" t="s">
        <v>299</v>
      </c>
      <c r="AN388" t="s">
        <v>300</v>
      </c>
      <c r="AO388" t="s">
        <v>3767</v>
      </c>
      <c r="AP388" t="s">
        <v>3768</v>
      </c>
      <c r="AQ388" t="s">
        <v>74</v>
      </c>
      <c r="AR388" t="s">
        <v>3769</v>
      </c>
      <c r="AS388" t="s">
        <v>3770</v>
      </c>
      <c r="AT388" t="s">
        <v>1810</v>
      </c>
      <c r="AU388">
        <v>2023</v>
      </c>
      <c r="AV388">
        <v>46</v>
      </c>
      <c r="AW388">
        <v>10</v>
      </c>
      <c r="AX388" t="s">
        <v>74</v>
      </c>
      <c r="AY388" t="s">
        <v>74</v>
      </c>
      <c r="AZ388" t="s">
        <v>74</v>
      </c>
      <c r="BA388" t="s">
        <v>74</v>
      </c>
      <c r="BB388">
        <v>1145</v>
      </c>
      <c r="BC388">
        <v>1150</v>
      </c>
      <c r="BD388" t="s">
        <v>74</v>
      </c>
      <c r="BE388" t="s">
        <v>7658</v>
      </c>
      <c r="BF388" t="str">
        <f>HYPERLINK("http://dx.doi.org/10.1007/s00300-023-03178-w","http://dx.doi.org/10.1007/s00300-023-03178-w")</f>
        <v>http://dx.doi.org/10.1007/s00300-023-03178-w</v>
      </c>
      <c r="BG388" t="s">
        <v>74</v>
      </c>
      <c r="BH388" t="s">
        <v>6115</v>
      </c>
      <c r="BI388">
        <v>6</v>
      </c>
      <c r="BJ388" t="s">
        <v>3772</v>
      </c>
      <c r="BK388" t="s">
        <v>104</v>
      </c>
      <c r="BL388" t="s">
        <v>1905</v>
      </c>
      <c r="BM388" t="s">
        <v>7659</v>
      </c>
      <c r="BN388" t="s">
        <v>74</v>
      </c>
      <c r="BO388" t="s">
        <v>549</v>
      </c>
      <c r="BP388" t="s">
        <v>74</v>
      </c>
      <c r="BQ388" t="s">
        <v>74</v>
      </c>
      <c r="BR388" t="s">
        <v>107</v>
      </c>
      <c r="BS388" t="s">
        <v>7660</v>
      </c>
      <c r="BT388" t="str">
        <f>HYPERLINK("https%3A%2F%2Fwww.webofscience.com%2Fwos%2Fwoscc%2Ffull-record%2FWOS:001029104000001","View Full Record in Web of Science")</f>
        <v>View Full Record in Web of Science</v>
      </c>
    </row>
    <row r="389" spans="1:72" x14ac:dyDescent="0.15">
      <c r="A389" t="s">
        <v>72</v>
      </c>
      <c r="B389" t="s">
        <v>7661</v>
      </c>
      <c r="C389" t="s">
        <v>74</v>
      </c>
      <c r="D389" t="s">
        <v>74</v>
      </c>
      <c r="E389" t="s">
        <v>74</v>
      </c>
      <c r="F389" t="s">
        <v>7662</v>
      </c>
      <c r="G389" t="s">
        <v>74</v>
      </c>
      <c r="H389" t="s">
        <v>74</v>
      </c>
      <c r="I389" t="s">
        <v>7663</v>
      </c>
      <c r="J389" t="s">
        <v>7664</v>
      </c>
      <c r="K389" t="s">
        <v>74</v>
      </c>
      <c r="L389" t="s">
        <v>74</v>
      </c>
      <c r="M389" t="s">
        <v>78</v>
      </c>
      <c r="N389" t="s">
        <v>79</v>
      </c>
      <c r="O389" t="s">
        <v>74</v>
      </c>
      <c r="P389" t="s">
        <v>74</v>
      </c>
      <c r="Q389" t="s">
        <v>74</v>
      </c>
      <c r="R389" t="s">
        <v>74</v>
      </c>
      <c r="S389" t="s">
        <v>74</v>
      </c>
      <c r="T389" t="s">
        <v>7665</v>
      </c>
      <c r="U389" t="s">
        <v>7666</v>
      </c>
      <c r="V389" t="s">
        <v>7667</v>
      </c>
      <c r="W389" t="s">
        <v>7668</v>
      </c>
      <c r="X389" t="s">
        <v>7669</v>
      </c>
      <c r="Y389" t="s">
        <v>7670</v>
      </c>
      <c r="Z389" t="s">
        <v>7671</v>
      </c>
      <c r="AA389" t="s">
        <v>74</v>
      </c>
      <c r="AB389" t="s">
        <v>7672</v>
      </c>
      <c r="AC389" t="s">
        <v>7673</v>
      </c>
      <c r="AD389" t="s">
        <v>7674</v>
      </c>
      <c r="AE389" t="s">
        <v>7675</v>
      </c>
      <c r="AF389" t="s">
        <v>74</v>
      </c>
      <c r="AG389">
        <v>51</v>
      </c>
      <c r="AH389">
        <v>1</v>
      </c>
      <c r="AI389">
        <v>1</v>
      </c>
      <c r="AJ389">
        <v>11</v>
      </c>
      <c r="AK389">
        <v>20</v>
      </c>
      <c r="AL389" t="s">
        <v>3672</v>
      </c>
      <c r="AM389" t="s">
        <v>538</v>
      </c>
      <c r="AN389" t="s">
        <v>3673</v>
      </c>
      <c r="AO389" t="s">
        <v>7676</v>
      </c>
      <c r="AP389" t="s">
        <v>7677</v>
      </c>
      <c r="AQ389" t="s">
        <v>74</v>
      </c>
      <c r="AR389" t="s">
        <v>7678</v>
      </c>
      <c r="AS389" t="s">
        <v>7679</v>
      </c>
      <c r="AT389" t="s">
        <v>1394</v>
      </c>
      <c r="AU389">
        <v>2023</v>
      </c>
      <c r="AV389">
        <v>145</v>
      </c>
      <c r="AW389" t="s">
        <v>74</v>
      </c>
      <c r="AX389" t="s">
        <v>74</v>
      </c>
      <c r="AY389" t="s">
        <v>74</v>
      </c>
      <c r="AZ389" t="s">
        <v>74</v>
      </c>
      <c r="BA389" t="s">
        <v>74</v>
      </c>
      <c r="BB389" t="s">
        <v>74</v>
      </c>
      <c r="BC389" t="s">
        <v>74</v>
      </c>
      <c r="BD389">
        <v>109009</v>
      </c>
      <c r="BE389" t="s">
        <v>7680</v>
      </c>
      <c r="BF389" t="str">
        <f>HYPERLINK("http://dx.doi.org/10.1016/j.foodhyd.2023.109009","http://dx.doi.org/10.1016/j.foodhyd.2023.109009")</f>
        <v>http://dx.doi.org/10.1016/j.foodhyd.2023.109009</v>
      </c>
      <c r="BG389" t="s">
        <v>74</v>
      </c>
      <c r="BH389" t="s">
        <v>6115</v>
      </c>
      <c r="BI389">
        <v>10</v>
      </c>
      <c r="BJ389" t="s">
        <v>7681</v>
      </c>
      <c r="BK389" t="s">
        <v>104</v>
      </c>
      <c r="BL389" t="s">
        <v>7682</v>
      </c>
      <c r="BM389" t="s">
        <v>7683</v>
      </c>
      <c r="BN389" t="s">
        <v>74</v>
      </c>
      <c r="BO389" t="s">
        <v>74</v>
      </c>
      <c r="BP389" t="s">
        <v>74</v>
      </c>
      <c r="BQ389" t="s">
        <v>74</v>
      </c>
      <c r="BR389" t="s">
        <v>107</v>
      </c>
      <c r="BS389" t="s">
        <v>7684</v>
      </c>
      <c r="BT389" t="str">
        <f>HYPERLINK("https%3A%2F%2Fwww.webofscience.com%2Fwos%2Fwoscc%2Ffull-record%2FWOS:001043038300001","View Full Record in Web of Science")</f>
        <v>View Full Record in Web of Science</v>
      </c>
    </row>
    <row r="390" spans="1:72" x14ac:dyDescent="0.15">
      <c r="A390" t="s">
        <v>72</v>
      </c>
      <c r="B390" t="s">
        <v>7685</v>
      </c>
      <c r="C390" t="s">
        <v>74</v>
      </c>
      <c r="D390" t="s">
        <v>74</v>
      </c>
      <c r="E390" t="s">
        <v>74</v>
      </c>
      <c r="F390" t="s">
        <v>7686</v>
      </c>
      <c r="G390" t="s">
        <v>74</v>
      </c>
      <c r="H390" t="s">
        <v>74</v>
      </c>
      <c r="I390" t="s">
        <v>7687</v>
      </c>
      <c r="J390" t="s">
        <v>2610</v>
      </c>
      <c r="K390" t="s">
        <v>74</v>
      </c>
      <c r="L390" t="s">
        <v>74</v>
      </c>
      <c r="M390" t="s">
        <v>78</v>
      </c>
      <c r="N390" t="s">
        <v>79</v>
      </c>
      <c r="O390" t="s">
        <v>74</v>
      </c>
      <c r="P390" t="s">
        <v>74</v>
      </c>
      <c r="Q390" t="s">
        <v>74</v>
      </c>
      <c r="R390" t="s">
        <v>74</v>
      </c>
      <c r="S390" t="s">
        <v>74</v>
      </c>
      <c r="T390" t="s">
        <v>74</v>
      </c>
      <c r="U390" t="s">
        <v>7688</v>
      </c>
      <c r="V390" t="s">
        <v>7689</v>
      </c>
      <c r="W390" t="s">
        <v>7690</v>
      </c>
      <c r="X390" t="s">
        <v>7691</v>
      </c>
      <c r="Y390" t="s">
        <v>7692</v>
      </c>
      <c r="Z390" t="s">
        <v>7693</v>
      </c>
      <c r="AA390" t="s">
        <v>7694</v>
      </c>
      <c r="AB390" t="s">
        <v>74</v>
      </c>
      <c r="AC390" t="s">
        <v>7695</v>
      </c>
      <c r="AD390" t="s">
        <v>367</v>
      </c>
      <c r="AE390" t="s">
        <v>7696</v>
      </c>
      <c r="AF390" t="s">
        <v>74</v>
      </c>
      <c r="AG390">
        <v>104</v>
      </c>
      <c r="AH390">
        <v>1</v>
      </c>
      <c r="AI390">
        <v>1</v>
      </c>
      <c r="AJ390">
        <v>19</v>
      </c>
      <c r="AK390">
        <v>38</v>
      </c>
      <c r="AL390" t="s">
        <v>2617</v>
      </c>
      <c r="AM390" t="s">
        <v>1528</v>
      </c>
      <c r="AN390" t="s">
        <v>2618</v>
      </c>
      <c r="AO390" t="s">
        <v>74</v>
      </c>
      <c r="AP390" t="s">
        <v>2619</v>
      </c>
      <c r="AQ390" t="s">
        <v>74</v>
      </c>
      <c r="AR390" t="s">
        <v>2620</v>
      </c>
      <c r="AS390" t="s">
        <v>2621</v>
      </c>
      <c r="AT390" t="s">
        <v>7697</v>
      </c>
      <c r="AU390">
        <v>2023</v>
      </c>
      <c r="AV390">
        <v>4</v>
      </c>
      <c r="AW390">
        <v>1</v>
      </c>
      <c r="AX390" t="s">
        <v>74</v>
      </c>
      <c r="AY390" t="s">
        <v>74</v>
      </c>
      <c r="AZ390" t="s">
        <v>74</v>
      </c>
      <c r="BA390" t="s">
        <v>74</v>
      </c>
      <c r="BB390" t="s">
        <v>74</v>
      </c>
      <c r="BC390" t="s">
        <v>74</v>
      </c>
      <c r="BD390">
        <v>258</v>
      </c>
      <c r="BE390" t="s">
        <v>7698</v>
      </c>
      <c r="BF390" t="str">
        <f>HYPERLINK("http://dx.doi.org/10.1038/s43247-023-00921-3","http://dx.doi.org/10.1038/s43247-023-00921-3")</f>
        <v>http://dx.doi.org/10.1038/s43247-023-00921-3</v>
      </c>
      <c r="BG390" t="s">
        <v>74</v>
      </c>
      <c r="BH390" t="s">
        <v>74</v>
      </c>
      <c r="BI390">
        <v>10</v>
      </c>
      <c r="BJ390" t="s">
        <v>1214</v>
      </c>
      <c r="BK390" t="s">
        <v>104</v>
      </c>
      <c r="BL390" t="s">
        <v>1215</v>
      </c>
      <c r="BM390" t="s">
        <v>7699</v>
      </c>
      <c r="BN390" t="s">
        <v>74</v>
      </c>
      <c r="BO390" t="s">
        <v>206</v>
      </c>
      <c r="BP390" t="s">
        <v>74</v>
      </c>
      <c r="BQ390" t="s">
        <v>74</v>
      </c>
      <c r="BR390" t="s">
        <v>107</v>
      </c>
      <c r="BS390" t="s">
        <v>7700</v>
      </c>
      <c r="BT390" t="str">
        <f>HYPERLINK("https%3A%2F%2Fwww.webofscience.com%2Fwos%2Fwoscc%2Ffull-record%2FWOS:001028791400002","View Full Record in Web of Science")</f>
        <v>View Full Record in Web of Science</v>
      </c>
    </row>
    <row r="391" spans="1:72" x14ac:dyDescent="0.15">
      <c r="A391" t="s">
        <v>72</v>
      </c>
      <c r="B391" t="s">
        <v>7701</v>
      </c>
      <c r="C391" t="s">
        <v>74</v>
      </c>
      <c r="D391" t="s">
        <v>74</v>
      </c>
      <c r="E391" t="s">
        <v>74</v>
      </c>
      <c r="F391" t="s">
        <v>7702</v>
      </c>
      <c r="G391" t="s">
        <v>74</v>
      </c>
      <c r="H391" t="s">
        <v>74</v>
      </c>
      <c r="I391" t="s">
        <v>7703</v>
      </c>
      <c r="J391" t="s">
        <v>6800</v>
      </c>
      <c r="K391" t="s">
        <v>74</v>
      </c>
      <c r="L391" t="s">
        <v>74</v>
      </c>
      <c r="M391" t="s">
        <v>78</v>
      </c>
      <c r="N391" t="s">
        <v>79</v>
      </c>
      <c r="O391" t="s">
        <v>74</v>
      </c>
      <c r="P391" t="s">
        <v>74</v>
      </c>
      <c r="Q391" t="s">
        <v>74</v>
      </c>
      <c r="R391" t="s">
        <v>74</v>
      </c>
      <c r="S391" t="s">
        <v>74</v>
      </c>
      <c r="T391" t="s">
        <v>7704</v>
      </c>
      <c r="U391" t="s">
        <v>7705</v>
      </c>
      <c r="V391" t="s">
        <v>7706</v>
      </c>
      <c r="W391" t="s">
        <v>7707</v>
      </c>
      <c r="X391" t="s">
        <v>7708</v>
      </c>
      <c r="Y391" t="s">
        <v>7709</v>
      </c>
      <c r="Z391" t="s">
        <v>7710</v>
      </c>
      <c r="AA391" t="s">
        <v>74</v>
      </c>
      <c r="AB391" t="s">
        <v>7711</v>
      </c>
      <c r="AC391" t="s">
        <v>7712</v>
      </c>
      <c r="AD391" t="s">
        <v>7713</v>
      </c>
      <c r="AE391" t="s">
        <v>7714</v>
      </c>
      <c r="AF391" t="s">
        <v>74</v>
      </c>
      <c r="AG391">
        <v>122</v>
      </c>
      <c r="AH391">
        <v>0</v>
      </c>
      <c r="AI391">
        <v>0</v>
      </c>
      <c r="AJ391">
        <v>6</v>
      </c>
      <c r="AK391">
        <v>19</v>
      </c>
      <c r="AL391" t="s">
        <v>537</v>
      </c>
      <c r="AM391" t="s">
        <v>538</v>
      </c>
      <c r="AN391" t="s">
        <v>539</v>
      </c>
      <c r="AO391" t="s">
        <v>6808</v>
      </c>
      <c r="AP391" t="s">
        <v>6809</v>
      </c>
      <c r="AQ391" t="s">
        <v>74</v>
      </c>
      <c r="AR391" t="s">
        <v>6810</v>
      </c>
      <c r="AS391" t="s">
        <v>6811</v>
      </c>
      <c r="AT391" t="s">
        <v>3885</v>
      </c>
      <c r="AU391">
        <v>2023</v>
      </c>
      <c r="AV391">
        <v>80</v>
      </c>
      <c r="AW391">
        <v>6</v>
      </c>
      <c r="AX391" t="s">
        <v>74</v>
      </c>
      <c r="AY391" t="s">
        <v>74</v>
      </c>
      <c r="AZ391" t="s">
        <v>74</v>
      </c>
      <c r="BA391" t="s">
        <v>74</v>
      </c>
      <c r="BB391">
        <v>1773</v>
      </c>
      <c r="BC391">
        <v>1786</v>
      </c>
      <c r="BD391" t="s">
        <v>74</v>
      </c>
      <c r="BE391" t="s">
        <v>7715</v>
      </c>
      <c r="BF391" t="str">
        <f>HYPERLINK("http://dx.doi.org/10.1093/icesjms/fsad110","http://dx.doi.org/10.1093/icesjms/fsad110")</f>
        <v>http://dx.doi.org/10.1093/icesjms/fsad110</v>
      </c>
      <c r="BG391" t="s">
        <v>74</v>
      </c>
      <c r="BH391" t="s">
        <v>6115</v>
      </c>
      <c r="BI391">
        <v>14</v>
      </c>
      <c r="BJ391" t="s">
        <v>2771</v>
      </c>
      <c r="BK391" t="s">
        <v>104</v>
      </c>
      <c r="BL391" t="s">
        <v>2771</v>
      </c>
      <c r="BM391" t="s">
        <v>6814</v>
      </c>
      <c r="BN391" t="s">
        <v>74</v>
      </c>
      <c r="BO391" t="s">
        <v>2624</v>
      </c>
      <c r="BP391" t="s">
        <v>74</v>
      </c>
      <c r="BQ391" t="s">
        <v>74</v>
      </c>
      <c r="BR391" t="s">
        <v>107</v>
      </c>
      <c r="BS391" t="s">
        <v>7716</v>
      </c>
      <c r="BT391" t="str">
        <f>HYPERLINK("https%3A%2F%2Fwww.webofscience.com%2Fwos%2Fwoscc%2Ffull-record%2FWOS:001027780000001","View Full Record in Web of Science")</f>
        <v>View Full Record in Web of Science</v>
      </c>
    </row>
    <row r="392" spans="1:72" x14ac:dyDescent="0.15">
      <c r="A392" t="s">
        <v>72</v>
      </c>
      <c r="B392" t="s">
        <v>7717</v>
      </c>
      <c r="C392" t="s">
        <v>74</v>
      </c>
      <c r="D392" t="s">
        <v>74</v>
      </c>
      <c r="E392" t="s">
        <v>74</v>
      </c>
      <c r="F392" t="s">
        <v>7718</v>
      </c>
      <c r="G392" t="s">
        <v>74</v>
      </c>
      <c r="H392" t="s">
        <v>74</v>
      </c>
      <c r="I392" t="s">
        <v>7719</v>
      </c>
      <c r="J392" t="s">
        <v>7720</v>
      </c>
      <c r="K392" t="s">
        <v>74</v>
      </c>
      <c r="L392" t="s">
        <v>74</v>
      </c>
      <c r="M392" t="s">
        <v>78</v>
      </c>
      <c r="N392" t="s">
        <v>79</v>
      </c>
      <c r="O392" t="s">
        <v>74</v>
      </c>
      <c r="P392" t="s">
        <v>74</v>
      </c>
      <c r="Q392" t="s">
        <v>74</v>
      </c>
      <c r="R392" t="s">
        <v>74</v>
      </c>
      <c r="S392" t="s">
        <v>74</v>
      </c>
      <c r="T392" t="s">
        <v>7721</v>
      </c>
      <c r="U392" t="s">
        <v>7722</v>
      </c>
      <c r="V392" t="s">
        <v>7723</v>
      </c>
      <c r="W392" t="s">
        <v>7724</v>
      </c>
      <c r="X392" t="s">
        <v>7725</v>
      </c>
      <c r="Y392" t="s">
        <v>7726</v>
      </c>
      <c r="Z392" t="s">
        <v>7727</v>
      </c>
      <c r="AA392" t="s">
        <v>74</v>
      </c>
      <c r="AB392" t="s">
        <v>74</v>
      </c>
      <c r="AC392" t="s">
        <v>7728</v>
      </c>
      <c r="AD392" t="s">
        <v>7729</v>
      </c>
      <c r="AE392" t="s">
        <v>7730</v>
      </c>
      <c r="AF392" t="s">
        <v>74</v>
      </c>
      <c r="AG392">
        <v>72</v>
      </c>
      <c r="AH392">
        <v>0</v>
      </c>
      <c r="AI392">
        <v>0</v>
      </c>
      <c r="AJ392">
        <v>1</v>
      </c>
      <c r="AK392">
        <v>2</v>
      </c>
      <c r="AL392" t="s">
        <v>2305</v>
      </c>
      <c r="AM392" t="s">
        <v>538</v>
      </c>
      <c r="AN392" t="s">
        <v>2306</v>
      </c>
      <c r="AO392" t="s">
        <v>7731</v>
      </c>
      <c r="AP392" t="s">
        <v>7732</v>
      </c>
      <c r="AQ392" t="s">
        <v>74</v>
      </c>
      <c r="AR392" t="s">
        <v>7733</v>
      </c>
      <c r="AS392" t="s">
        <v>7734</v>
      </c>
      <c r="AT392" t="s">
        <v>7735</v>
      </c>
      <c r="AU392">
        <v>2023</v>
      </c>
      <c r="AV392">
        <v>302</v>
      </c>
      <c r="AW392" t="s">
        <v>74</v>
      </c>
      <c r="AX392" t="s">
        <v>74</v>
      </c>
      <c r="AY392" t="s">
        <v>74</v>
      </c>
      <c r="AZ392" t="s">
        <v>74</v>
      </c>
      <c r="BA392" t="s">
        <v>74</v>
      </c>
      <c r="BB392" t="s">
        <v>74</v>
      </c>
      <c r="BC392" t="s">
        <v>74</v>
      </c>
      <c r="BD392">
        <v>123073</v>
      </c>
      <c r="BE392" t="s">
        <v>7736</v>
      </c>
      <c r="BF392" t="str">
        <f>HYPERLINK("http://dx.doi.org/10.1016/j.saa.2023.123073","http://dx.doi.org/10.1016/j.saa.2023.123073")</f>
        <v>http://dx.doi.org/10.1016/j.saa.2023.123073</v>
      </c>
      <c r="BG392" t="s">
        <v>74</v>
      </c>
      <c r="BH392" t="s">
        <v>6115</v>
      </c>
      <c r="BI392">
        <v>9</v>
      </c>
      <c r="BJ392" t="s">
        <v>131</v>
      </c>
      <c r="BK392" t="s">
        <v>104</v>
      </c>
      <c r="BL392" t="s">
        <v>131</v>
      </c>
      <c r="BM392" t="s">
        <v>7737</v>
      </c>
      <c r="BN392">
        <v>37453382</v>
      </c>
      <c r="BO392" t="s">
        <v>74</v>
      </c>
      <c r="BP392" t="s">
        <v>74</v>
      </c>
      <c r="BQ392" t="s">
        <v>74</v>
      </c>
      <c r="BR392" t="s">
        <v>107</v>
      </c>
      <c r="BS392" t="s">
        <v>7738</v>
      </c>
      <c r="BT392" t="str">
        <f>HYPERLINK("https%3A%2F%2Fwww.webofscience.com%2Fwos%2Fwoscc%2Ffull-record%2FWOS:001144399100001","View Full Record in Web of Science")</f>
        <v>View Full Record in Web of Science</v>
      </c>
    </row>
    <row r="393" spans="1:72" x14ac:dyDescent="0.15">
      <c r="A393" t="s">
        <v>72</v>
      </c>
      <c r="B393" t="s">
        <v>7739</v>
      </c>
      <c r="C393" t="s">
        <v>74</v>
      </c>
      <c r="D393" t="s">
        <v>74</v>
      </c>
      <c r="E393" t="s">
        <v>74</v>
      </c>
      <c r="F393" t="s">
        <v>7740</v>
      </c>
      <c r="G393" t="s">
        <v>74</v>
      </c>
      <c r="H393" t="s">
        <v>74</v>
      </c>
      <c r="I393" t="s">
        <v>7741</v>
      </c>
      <c r="J393" t="s">
        <v>3027</v>
      </c>
      <c r="K393" t="s">
        <v>74</v>
      </c>
      <c r="L393" t="s">
        <v>74</v>
      </c>
      <c r="M393" t="s">
        <v>78</v>
      </c>
      <c r="N393" t="s">
        <v>79</v>
      </c>
      <c r="O393" t="s">
        <v>74</v>
      </c>
      <c r="P393" t="s">
        <v>74</v>
      </c>
      <c r="Q393" t="s">
        <v>74</v>
      </c>
      <c r="R393" t="s">
        <v>74</v>
      </c>
      <c r="S393" t="s">
        <v>74</v>
      </c>
      <c r="T393" t="s">
        <v>7742</v>
      </c>
      <c r="U393" t="s">
        <v>7743</v>
      </c>
      <c r="V393" t="s">
        <v>7744</v>
      </c>
      <c r="W393" t="s">
        <v>7745</v>
      </c>
      <c r="X393" t="s">
        <v>7746</v>
      </c>
      <c r="Y393" t="s">
        <v>7747</v>
      </c>
      <c r="Z393" t="s">
        <v>7748</v>
      </c>
      <c r="AA393" t="s">
        <v>7749</v>
      </c>
      <c r="AB393" t="s">
        <v>7750</v>
      </c>
      <c r="AC393" t="s">
        <v>7751</v>
      </c>
      <c r="AD393" t="s">
        <v>7752</v>
      </c>
      <c r="AE393" t="s">
        <v>7753</v>
      </c>
      <c r="AF393" t="s">
        <v>74</v>
      </c>
      <c r="AG393">
        <v>77</v>
      </c>
      <c r="AH393">
        <v>0</v>
      </c>
      <c r="AI393">
        <v>0</v>
      </c>
      <c r="AJ393">
        <v>4</v>
      </c>
      <c r="AK393">
        <v>9</v>
      </c>
      <c r="AL393" t="s">
        <v>172</v>
      </c>
      <c r="AM393" t="s">
        <v>173</v>
      </c>
      <c r="AN393" t="s">
        <v>174</v>
      </c>
      <c r="AO393" t="s">
        <v>3040</v>
      </c>
      <c r="AP393" t="s">
        <v>3041</v>
      </c>
      <c r="AQ393" t="s">
        <v>74</v>
      </c>
      <c r="AR393" t="s">
        <v>3042</v>
      </c>
      <c r="AS393" t="s">
        <v>3043</v>
      </c>
      <c r="AT393" t="s">
        <v>2486</v>
      </c>
      <c r="AU393">
        <v>2023</v>
      </c>
      <c r="AV393">
        <v>618</v>
      </c>
      <c r="AW393" t="s">
        <v>74</v>
      </c>
      <c r="AX393" t="s">
        <v>74</v>
      </c>
      <c r="AY393" t="s">
        <v>74</v>
      </c>
      <c r="AZ393" t="s">
        <v>74</v>
      </c>
      <c r="BA393" t="s">
        <v>74</v>
      </c>
      <c r="BB393" t="s">
        <v>74</v>
      </c>
      <c r="BC393" t="s">
        <v>74</v>
      </c>
      <c r="BD393">
        <v>118286</v>
      </c>
      <c r="BE393" t="s">
        <v>7754</v>
      </c>
      <c r="BF393" t="str">
        <f>HYPERLINK("http://dx.doi.org/10.1016/j.epsl.2023.118286","http://dx.doi.org/10.1016/j.epsl.2023.118286")</f>
        <v>http://dx.doi.org/10.1016/j.epsl.2023.118286</v>
      </c>
      <c r="BG393" t="s">
        <v>74</v>
      </c>
      <c r="BH393" t="s">
        <v>6115</v>
      </c>
      <c r="BI393">
        <v>14</v>
      </c>
      <c r="BJ393" t="s">
        <v>597</v>
      </c>
      <c r="BK393" t="s">
        <v>104</v>
      </c>
      <c r="BL393" t="s">
        <v>597</v>
      </c>
      <c r="BM393" t="s">
        <v>7755</v>
      </c>
      <c r="BN393" t="s">
        <v>74</v>
      </c>
      <c r="BO393" t="s">
        <v>1604</v>
      </c>
      <c r="BP393" t="s">
        <v>74</v>
      </c>
      <c r="BQ393" t="s">
        <v>74</v>
      </c>
      <c r="BR393" t="s">
        <v>107</v>
      </c>
      <c r="BS393" t="s">
        <v>7756</v>
      </c>
      <c r="BT393" t="str">
        <f>HYPERLINK("https%3A%2F%2Fwww.webofscience.com%2Fwos%2Fwoscc%2Ffull-record%2FWOS:001046194300001","View Full Record in Web of Science")</f>
        <v>View Full Record in Web of Science</v>
      </c>
    </row>
    <row r="394" spans="1:72" x14ac:dyDescent="0.15">
      <c r="A394" t="s">
        <v>72</v>
      </c>
      <c r="B394" t="s">
        <v>7757</v>
      </c>
      <c r="C394" t="s">
        <v>74</v>
      </c>
      <c r="D394" t="s">
        <v>74</v>
      </c>
      <c r="E394" t="s">
        <v>74</v>
      </c>
      <c r="F394" t="s">
        <v>7758</v>
      </c>
      <c r="G394" t="s">
        <v>74</v>
      </c>
      <c r="H394" t="s">
        <v>74</v>
      </c>
      <c r="I394" t="s">
        <v>7759</v>
      </c>
      <c r="J394" t="s">
        <v>7760</v>
      </c>
      <c r="K394" t="s">
        <v>74</v>
      </c>
      <c r="L394" t="s">
        <v>74</v>
      </c>
      <c r="M394" t="s">
        <v>78</v>
      </c>
      <c r="N394" t="s">
        <v>79</v>
      </c>
      <c r="O394" t="s">
        <v>74</v>
      </c>
      <c r="P394" t="s">
        <v>74</v>
      </c>
      <c r="Q394" t="s">
        <v>74</v>
      </c>
      <c r="R394" t="s">
        <v>74</v>
      </c>
      <c r="S394" t="s">
        <v>74</v>
      </c>
      <c r="T394" t="s">
        <v>7761</v>
      </c>
      <c r="U394" t="s">
        <v>7762</v>
      </c>
      <c r="V394" t="s">
        <v>7763</v>
      </c>
      <c r="W394" t="s">
        <v>7764</v>
      </c>
      <c r="X394" t="s">
        <v>7765</v>
      </c>
      <c r="Y394" t="s">
        <v>7766</v>
      </c>
      <c r="Z394" t="s">
        <v>7767</v>
      </c>
      <c r="AA394" t="s">
        <v>7768</v>
      </c>
      <c r="AB394" t="s">
        <v>7769</v>
      </c>
      <c r="AC394" t="s">
        <v>7770</v>
      </c>
      <c r="AD394" t="s">
        <v>7771</v>
      </c>
      <c r="AE394" t="s">
        <v>7772</v>
      </c>
      <c r="AF394" t="s">
        <v>74</v>
      </c>
      <c r="AG394">
        <v>100</v>
      </c>
      <c r="AH394">
        <v>0</v>
      </c>
      <c r="AI394">
        <v>0</v>
      </c>
      <c r="AJ394">
        <v>1</v>
      </c>
      <c r="AK394">
        <v>1</v>
      </c>
      <c r="AL394" t="s">
        <v>994</v>
      </c>
      <c r="AM394" t="s">
        <v>995</v>
      </c>
      <c r="AN394" t="s">
        <v>996</v>
      </c>
      <c r="AO394" t="s">
        <v>7773</v>
      </c>
      <c r="AP394" t="s">
        <v>74</v>
      </c>
      <c r="AQ394" t="s">
        <v>74</v>
      </c>
      <c r="AR394" t="s">
        <v>7774</v>
      </c>
      <c r="AS394" t="s">
        <v>7775</v>
      </c>
      <c r="AT394" t="s">
        <v>7776</v>
      </c>
      <c r="AU394">
        <v>2023</v>
      </c>
      <c r="AV394">
        <v>11</v>
      </c>
      <c r="AW394" t="s">
        <v>74</v>
      </c>
      <c r="AX394" t="s">
        <v>74</v>
      </c>
      <c r="AY394" t="s">
        <v>74</v>
      </c>
      <c r="AZ394" t="s">
        <v>74</v>
      </c>
      <c r="BA394" t="s">
        <v>74</v>
      </c>
      <c r="BB394" t="s">
        <v>74</v>
      </c>
      <c r="BC394" t="s">
        <v>74</v>
      </c>
      <c r="BD394">
        <v>1174209</v>
      </c>
      <c r="BE394" t="s">
        <v>7777</v>
      </c>
      <c r="BF394" t="str">
        <f>HYPERLINK("http://dx.doi.org/10.3389/fphy.2023.1174209","http://dx.doi.org/10.3389/fphy.2023.1174209")</f>
        <v>http://dx.doi.org/10.3389/fphy.2023.1174209</v>
      </c>
      <c r="BG394" t="s">
        <v>74</v>
      </c>
      <c r="BH394" t="s">
        <v>74</v>
      </c>
      <c r="BI394">
        <v>19</v>
      </c>
      <c r="BJ394" t="s">
        <v>7778</v>
      </c>
      <c r="BK394" t="s">
        <v>104</v>
      </c>
      <c r="BL394" t="s">
        <v>7779</v>
      </c>
      <c r="BM394" t="s">
        <v>7780</v>
      </c>
      <c r="BN394" t="s">
        <v>74</v>
      </c>
      <c r="BO394" t="s">
        <v>206</v>
      </c>
      <c r="BP394" t="s">
        <v>74</v>
      </c>
      <c r="BQ394" t="s">
        <v>74</v>
      </c>
      <c r="BR394" t="s">
        <v>107</v>
      </c>
      <c r="BS394" t="s">
        <v>7781</v>
      </c>
      <c r="BT394" t="str">
        <f>HYPERLINK("https%3A%2F%2Fwww.webofscience.com%2Fwos%2Fwoscc%2Ffull-record%2FWOS:001038398300001","View Full Record in Web of Science")</f>
        <v>View Full Record in Web of Science</v>
      </c>
    </row>
    <row r="395" spans="1:72" x14ac:dyDescent="0.15">
      <c r="A395" t="s">
        <v>72</v>
      </c>
      <c r="B395" t="s">
        <v>7782</v>
      </c>
      <c r="C395" t="s">
        <v>74</v>
      </c>
      <c r="D395" t="s">
        <v>74</v>
      </c>
      <c r="E395" t="s">
        <v>74</v>
      </c>
      <c r="F395" t="s">
        <v>7783</v>
      </c>
      <c r="G395" t="s">
        <v>74</v>
      </c>
      <c r="H395" t="s">
        <v>74</v>
      </c>
      <c r="I395" t="s">
        <v>7784</v>
      </c>
      <c r="J395" t="s">
        <v>983</v>
      </c>
      <c r="K395" t="s">
        <v>74</v>
      </c>
      <c r="L395" t="s">
        <v>74</v>
      </c>
      <c r="M395" t="s">
        <v>78</v>
      </c>
      <c r="N395" t="s">
        <v>79</v>
      </c>
      <c r="O395" t="s">
        <v>74</v>
      </c>
      <c r="P395" t="s">
        <v>74</v>
      </c>
      <c r="Q395" t="s">
        <v>74</v>
      </c>
      <c r="R395" t="s">
        <v>74</v>
      </c>
      <c r="S395" t="s">
        <v>74</v>
      </c>
      <c r="T395" t="s">
        <v>7785</v>
      </c>
      <c r="U395" t="s">
        <v>7786</v>
      </c>
      <c r="V395" t="s">
        <v>7787</v>
      </c>
      <c r="W395" t="s">
        <v>7788</v>
      </c>
      <c r="X395" t="s">
        <v>7789</v>
      </c>
      <c r="Y395" t="s">
        <v>7790</v>
      </c>
      <c r="Z395" t="s">
        <v>7791</v>
      </c>
      <c r="AA395" t="s">
        <v>7792</v>
      </c>
      <c r="AB395" t="s">
        <v>7793</v>
      </c>
      <c r="AC395" t="s">
        <v>7794</v>
      </c>
      <c r="AD395" t="s">
        <v>7795</v>
      </c>
      <c r="AE395" t="s">
        <v>7796</v>
      </c>
      <c r="AF395" t="s">
        <v>74</v>
      </c>
      <c r="AG395">
        <v>60</v>
      </c>
      <c r="AH395">
        <v>1</v>
      </c>
      <c r="AI395">
        <v>1</v>
      </c>
      <c r="AJ395">
        <v>4</v>
      </c>
      <c r="AK395">
        <v>5</v>
      </c>
      <c r="AL395" t="s">
        <v>994</v>
      </c>
      <c r="AM395" t="s">
        <v>995</v>
      </c>
      <c r="AN395" t="s">
        <v>996</v>
      </c>
      <c r="AO395" t="s">
        <v>74</v>
      </c>
      <c r="AP395" t="s">
        <v>997</v>
      </c>
      <c r="AQ395" t="s">
        <v>74</v>
      </c>
      <c r="AR395" t="s">
        <v>998</v>
      </c>
      <c r="AS395" t="s">
        <v>999</v>
      </c>
      <c r="AT395" t="s">
        <v>7776</v>
      </c>
      <c r="AU395">
        <v>2023</v>
      </c>
      <c r="AV395">
        <v>10</v>
      </c>
      <c r="AW395" t="s">
        <v>74</v>
      </c>
      <c r="AX395" t="s">
        <v>74</v>
      </c>
      <c r="AY395" t="s">
        <v>74</v>
      </c>
      <c r="AZ395" t="s">
        <v>74</v>
      </c>
      <c r="BA395" t="s">
        <v>74</v>
      </c>
      <c r="BB395" t="s">
        <v>74</v>
      </c>
      <c r="BC395" t="s">
        <v>74</v>
      </c>
      <c r="BD395">
        <v>1209159</v>
      </c>
      <c r="BE395" t="s">
        <v>7797</v>
      </c>
      <c r="BF395" t="str">
        <f>HYPERLINK("http://dx.doi.org/10.3389/fmars.2023.1209159","http://dx.doi.org/10.3389/fmars.2023.1209159")</f>
        <v>http://dx.doi.org/10.3389/fmars.2023.1209159</v>
      </c>
      <c r="BG395" t="s">
        <v>74</v>
      </c>
      <c r="BH395" t="s">
        <v>74</v>
      </c>
      <c r="BI395">
        <v>16</v>
      </c>
      <c r="BJ395" t="s">
        <v>1001</v>
      </c>
      <c r="BK395" t="s">
        <v>104</v>
      </c>
      <c r="BL395" t="s">
        <v>1002</v>
      </c>
      <c r="BM395" t="s">
        <v>7798</v>
      </c>
      <c r="BN395" t="s">
        <v>74</v>
      </c>
      <c r="BO395" t="s">
        <v>2624</v>
      </c>
      <c r="BP395" t="s">
        <v>74</v>
      </c>
      <c r="BQ395" t="s">
        <v>74</v>
      </c>
      <c r="BR395" t="s">
        <v>107</v>
      </c>
      <c r="BS395" t="s">
        <v>7799</v>
      </c>
      <c r="BT395" t="str">
        <f>HYPERLINK("https%3A%2F%2Fwww.webofscience.com%2Fwos%2Fwoscc%2Ffull-record%2FWOS:001039271800001","View Full Record in Web of Science")</f>
        <v>View Full Record in Web of Science</v>
      </c>
    </row>
    <row r="396" spans="1:72" x14ac:dyDescent="0.15">
      <c r="A396" t="s">
        <v>72</v>
      </c>
      <c r="B396" t="s">
        <v>7800</v>
      </c>
      <c r="C396" t="s">
        <v>74</v>
      </c>
      <c r="D396" t="s">
        <v>74</v>
      </c>
      <c r="E396" t="s">
        <v>74</v>
      </c>
      <c r="F396" t="s">
        <v>7801</v>
      </c>
      <c r="G396" t="s">
        <v>74</v>
      </c>
      <c r="H396" t="s">
        <v>74</v>
      </c>
      <c r="I396" t="s">
        <v>7802</v>
      </c>
      <c r="J396" t="s">
        <v>3334</v>
      </c>
      <c r="K396" t="s">
        <v>74</v>
      </c>
      <c r="L396" t="s">
        <v>74</v>
      </c>
      <c r="M396" t="s">
        <v>78</v>
      </c>
      <c r="N396" t="s">
        <v>79</v>
      </c>
      <c r="O396" t="s">
        <v>74</v>
      </c>
      <c r="P396" t="s">
        <v>74</v>
      </c>
      <c r="Q396" t="s">
        <v>74</v>
      </c>
      <c r="R396" t="s">
        <v>74</v>
      </c>
      <c r="S396" t="s">
        <v>74</v>
      </c>
      <c r="T396" t="s">
        <v>74</v>
      </c>
      <c r="U396" t="s">
        <v>7803</v>
      </c>
      <c r="V396" t="s">
        <v>7804</v>
      </c>
      <c r="W396" t="s">
        <v>7805</v>
      </c>
      <c r="X396" t="s">
        <v>7806</v>
      </c>
      <c r="Y396" t="s">
        <v>7807</v>
      </c>
      <c r="Z396" t="s">
        <v>7808</v>
      </c>
      <c r="AA396" t="s">
        <v>7809</v>
      </c>
      <c r="AB396" t="s">
        <v>7810</v>
      </c>
      <c r="AC396" t="s">
        <v>7811</v>
      </c>
      <c r="AD396" t="s">
        <v>7812</v>
      </c>
      <c r="AE396" t="s">
        <v>7813</v>
      </c>
      <c r="AF396" t="s">
        <v>74</v>
      </c>
      <c r="AG396">
        <v>110</v>
      </c>
      <c r="AH396">
        <v>0</v>
      </c>
      <c r="AI396">
        <v>0</v>
      </c>
      <c r="AJ396">
        <v>3</v>
      </c>
      <c r="AK396">
        <v>8</v>
      </c>
      <c r="AL396" t="s">
        <v>1775</v>
      </c>
      <c r="AM396" t="s">
        <v>1776</v>
      </c>
      <c r="AN396" t="s">
        <v>1777</v>
      </c>
      <c r="AO396" t="s">
        <v>3346</v>
      </c>
      <c r="AP396" t="s">
        <v>3347</v>
      </c>
      <c r="AQ396" t="s">
        <v>74</v>
      </c>
      <c r="AR396" t="s">
        <v>3348</v>
      </c>
      <c r="AS396" t="s">
        <v>3349</v>
      </c>
      <c r="AT396" t="s">
        <v>7776</v>
      </c>
      <c r="AU396">
        <v>2023</v>
      </c>
      <c r="AV396">
        <v>19</v>
      </c>
      <c r="AW396">
        <v>7</v>
      </c>
      <c r="AX396" t="s">
        <v>74</v>
      </c>
      <c r="AY396" t="s">
        <v>74</v>
      </c>
      <c r="AZ396" t="s">
        <v>74</v>
      </c>
      <c r="BA396" t="s">
        <v>74</v>
      </c>
      <c r="BB396">
        <v>1359</v>
      </c>
      <c r="BC396">
        <v>1381</v>
      </c>
      <c r="BD396" t="s">
        <v>74</v>
      </c>
      <c r="BE396" t="s">
        <v>7814</v>
      </c>
      <c r="BF396" t="str">
        <f>HYPERLINK("http://dx.doi.org/10.5194/cp-19-1359-2023","http://dx.doi.org/10.5194/cp-19-1359-2023")</f>
        <v>http://dx.doi.org/10.5194/cp-19-1359-2023</v>
      </c>
      <c r="BG396" t="s">
        <v>74</v>
      </c>
      <c r="BH396" t="s">
        <v>74</v>
      </c>
      <c r="BI396">
        <v>23</v>
      </c>
      <c r="BJ396" t="s">
        <v>3351</v>
      </c>
      <c r="BK396" t="s">
        <v>104</v>
      </c>
      <c r="BL396" t="s">
        <v>3352</v>
      </c>
      <c r="BM396" t="s">
        <v>7815</v>
      </c>
      <c r="BN396" t="s">
        <v>74</v>
      </c>
      <c r="BO396" t="s">
        <v>7816</v>
      </c>
      <c r="BP396" t="s">
        <v>74</v>
      </c>
      <c r="BQ396" t="s">
        <v>74</v>
      </c>
      <c r="BR396" t="s">
        <v>107</v>
      </c>
      <c r="BS396" t="s">
        <v>7817</v>
      </c>
      <c r="BT396" t="str">
        <f>HYPERLINK("https%3A%2F%2Fwww.webofscience.com%2Fwos%2Fwoscc%2Ffull-record%2FWOS:001028863500001","View Full Record in Web of Science")</f>
        <v>View Full Record in Web of Science</v>
      </c>
    </row>
    <row r="397" spans="1:72" x14ac:dyDescent="0.15">
      <c r="A397" t="s">
        <v>72</v>
      </c>
      <c r="B397" t="s">
        <v>7818</v>
      </c>
      <c r="C397" t="s">
        <v>74</v>
      </c>
      <c r="D397" t="s">
        <v>74</v>
      </c>
      <c r="E397" t="s">
        <v>74</v>
      </c>
      <c r="F397" t="s">
        <v>7819</v>
      </c>
      <c r="G397" t="s">
        <v>74</v>
      </c>
      <c r="H397" t="s">
        <v>74</v>
      </c>
      <c r="I397" t="s">
        <v>7820</v>
      </c>
      <c r="J397" t="s">
        <v>7821</v>
      </c>
      <c r="K397" t="s">
        <v>74</v>
      </c>
      <c r="L397" t="s">
        <v>74</v>
      </c>
      <c r="M397" t="s">
        <v>78</v>
      </c>
      <c r="N397" t="s">
        <v>79</v>
      </c>
      <c r="O397" t="s">
        <v>74</v>
      </c>
      <c r="P397" t="s">
        <v>74</v>
      </c>
      <c r="Q397" t="s">
        <v>74</v>
      </c>
      <c r="R397" t="s">
        <v>74</v>
      </c>
      <c r="S397" t="s">
        <v>74</v>
      </c>
      <c r="T397" t="s">
        <v>7822</v>
      </c>
      <c r="U397" t="s">
        <v>7823</v>
      </c>
      <c r="V397" t="s">
        <v>7824</v>
      </c>
      <c r="W397" t="s">
        <v>7825</v>
      </c>
      <c r="X397" t="s">
        <v>7826</v>
      </c>
      <c r="Y397" t="s">
        <v>7827</v>
      </c>
      <c r="Z397" t="s">
        <v>7828</v>
      </c>
      <c r="AA397" t="s">
        <v>74</v>
      </c>
      <c r="AB397" t="s">
        <v>7829</v>
      </c>
      <c r="AC397" t="s">
        <v>7830</v>
      </c>
      <c r="AD397" t="s">
        <v>7831</v>
      </c>
      <c r="AE397" t="s">
        <v>7832</v>
      </c>
      <c r="AF397" t="s">
        <v>74</v>
      </c>
      <c r="AG397">
        <v>56</v>
      </c>
      <c r="AH397">
        <v>0</v>
      </c>
      <c r="AI397">
        <v>0</v>
      </c>
      <c r="AJ397">
        <v>11</v>
      </c>
      <c r="AK397">
        <v>15</v>
      </c>
      <c r="AL397" t="s">
        <v>7833</v>
      </c>
      <c r="AM397" t="s">
        <v>7834</v>
      </c>
      <c r="AN397" t="s">
        <v>7835</v>
      </c>
      <c r="AO397" t="s">
        <v>7836</v>
      </c>
      <c r="AP397" t="s">
        <v>7837</v>
      </c>
      <c r="AQ397" t="s">
        <v>74</v>
      </c>
      <c r="AR397" t="s">
        <v>7838</v>
      </c>
      <c r="AS397" t="s">
        <v>7839</v>
      </c>
      <c r="AT397" t="s">
        <v>7776</v>
      </c>
      <c r="AU397">
        <v>2023</v>
      </c>
      <c r="AV397">
        <v>56</v>
      </c>
      <c r="AW397">
        <v>1</v>
      </c>
      <c r="AX397" t="s">
        <v>74</v>
      </c>
      <c r="AY397" t="s">
        <v>74</v>
      </c>
      <c r="AZ397" t="s">
        <v>74</v>
      </c>
      <c r="BA397" t="s">
        <v>74</v>
      </c>
      <c r="BB397" t="s">
        <v>74</v>
      </c>
      <c r="BC397" t="s">
        <v>74</v>
      </c>
      <c r="BD397">
        <v>40</v>
      </c>
      <c r="BE397" t="s">
        <v>7840</v>
      </c>
      <c r="BF397" t="str">
        <f>HYPERLINK("http://dx.doi.org/10.1186/s40659-023-00454-1","http://dx.doi.org/10.1186/s40659-023-00454-1")</f>
        <v>http://dx.doi.org/10.1186/s40659-023-00454-1</v>
      </c>
      <c r="BG397" t="s">
        <v>74</v>
      </c>
      <c r="BH397" t="s">
        <v>74</v>
      </c>
      <c r="BI397">
        <v>15</v>
      </c>
      <c r="BJ397" t="s">
        <v>1045</v>
      </c>
      <c r="BK397" t="s">
        <v>104</v>
      </c>
      <c r="BL397" t="s">
        <v>1046</v>
      </c>
      <c r="BM397" t="s">
        <v>7841</v>
      </c>
      <c r="BN397">
        <v>37438821</v>
      </c>
      <c r="BO397" t="s">
        <v>821</v>
      </c>
      <c r="BP397" t="s">
        <v>74</v>
      </c>
      <c r="BQ397" t="s">
        <v>74</v>
      </c>
      <c r="BR397" t="s">
        <v>107</v>
      </c>
      <c r="BS397" t="s">
        <v>7842</v>
      </c>
      <c r="BT397" t="str">
        <f>HYPERLINK("https%3A%2F%2Fwww.webofscience.com%2Fwos%2Fwoscc%2Ffull-record%2FWOS:001027104800002","View Full Record in Web of Science")</f>
        <v>View Full Record in Web of Science</v>
      </c>
    </row>
    <row r="398" spans="1:72" x14ac:dyDescent="0.15">
      <c r="A398" t="s">
        <v>72</v>
      </c>
      <c r="B398" t="s">
        <v>7843</v>
      </c>
      <c r="C398" t="s">
        <v>74</v>
      </c>
      <c r="D398" t="s">
        <v>74</v>
      </c>
      <c r="E398" t="s">
        <v>74</v>
      </c>
      <c r="F398" t="s">
        <v>7844</v>
      </c>
      <c r="G398" t="s">
        <v>74</v>
      </c>
      <c r="H398" t="s">
        <v>74</v>
      </c>
      <c r="I398" t="s">
        <v>7845</v>
      </c>
      <c r="J398" t="s">
        <v>4165</v>
      </c>
      <c r="K398" t="s">
        <v>74</v>
      </c>
      <c r="L398" t="s">
        <v>74</v>
      </c>
      <c r="M398" t="s">
        <v>78</v>
      </c>
      <c r="N398" t="s">
        <v>79</v>
      </c>
      <c r="O398" t="s">
        <v>74</v>
      </c>
      <c r="P398" t="s">
        <v>74</v>
      </c>
      <c r="Q398" t="s">
        <v>74</v>
      </c>
      <c r="R398" t="s">
        <v>74</v>
      </c>
      <c r="S398" t="s">
        <v>74</v>
      </c>
      <c r="T398" t="s">
        <v>74</v>
      </c>
      <c r="U398" t="s">
        <v>7846</v>
      </c>
      <c r="V398" t="s">
        <v>7847</v>
      </c>
      <c r="W398" t="s">
        <v>7848</v>
      </c>
      <c r="X398" t="s">
        <v>7849</v>
      </c>
      <c r="Y398" t="s">
        <v>7850</v>
      </c>
      <c r="Z398" t="s">
        <v>7851</v>
      </c>
      <c r="AA398" t="s">
        <v>7852</v>
      </c>
      <c r="AB398" t="s">
        <v>7853</v>
      </c>
      <c r="AC398" t="s">
        <v>74</v>
      </c>
      <c r="AD398" t="s">
        <v>74</v>
      </c>
      <c r="AE398" t="s">
        <v>74</v>
      </c>
      <c r="AF398" t="s">
        <v>74</v>
      </c>
      <c r="AG398">
        <v>54</v>
      </c>
      <c r="AH398">
        <v>0</v>
      </c>
      <c r="AI398">
        <v>0</v>
      </c>
      <c r="AJ398">
        <v>0</v>
      </c>
      <c r="AK398">
        <v>0</v>
      </c>
      <c r="AL398" t="s">
        <v>1775</v>
      </c>
      <c r="AM398" t="s">
        <v>1776</v>
      </c>
      <c r="AN398" t="s">
        <v>1777</v>
      </c>
      <c r="AO398" t="s">
        <v>4177</v>
      </c>
      <c r="AP398" t="s">
        <v>4178</v>
      </c>
      <c r="AQ398" t="s">
        <v>74</v>
      </c>
      <c r="AR398" t="s">
        <v>4179</v>
      </c>
      <c r="AS398" t="s">
        <v>4180</v>
      </c>
      <c r="AT398" t="s">
        <v>7776</v>
      </c>
      <c r="AU398">
        <v>2023</v>
      </c>
      <c r="AV398">
        <v>16</v>
      </c>
      <c r="AW398">
        <v>13</v>
      </c>
      <c r="AX398" t="s">
        <v>74</v>
      </c>
      <c r="AY398" t="s">
        <v>74</v>
      </c>
      <c r="AZ398" t="s">
        <v>74</v>
      </c>
      <c r="BA398" t="s">
        <v>74</v>
      </c>
      <c r="BB398">
        <v>3907</v>
      </c>
      <c r="BC398">
        <v>3926</v>
      </c>
      <c r="BD398" t="s">
        <v>74</v>
      </c>
      <c r="BE398" t="s">
        <v>7854</v>
      </c>
      <c r="BF398" t="str">
        <f>HYPERLINK("http://dx.doi.org/10.5194/gmd-16-3907-2023","http://dx.doi.org/10.5194/gmd-16-3907-2023")</f>
        <v>http://dx.doi.org/10.5194/gmd-16-3907-2023</v>
      </c>
      <c r="BG398" t="s">
        <v>74</v>
      </c>
      <c r="BH398" t="s">
        <v>74</v>
      </c>
      <c r="BI398">
        <v>20</v>
      </c>
      <c r="BJ398" t="s">
        <v>155</v>
      </c>
      <c r="BK398" t="s">
        <v>104</v>
      </c>
      <c r="BL398" t="s">
        <v>156</v>
      </c>
      <c r="BM398" t="s">
        <v>7855</v>
      </c>
      <c r="BN398" t="s">
        <v>74</v>
      </c>
      <c r="BO398" t="s">
        <v>206</v>
      </c>
      <c r="BP398" t="s">
        <v>74</v>
      </c>
      <c r="BQ398" t="s">
        <v>74</v>
      </c>
      <c r="BR398" t="s">
        <v>107</v>
      </c>
      <c r="BS398" t="s">
        <v>7856</v>
      </c>
      <c r="BT398" t="str">
        <f>HYPERLINK("https%3A%2F%2Fwww.webofscience.com%2Fwos%2Fwoscc%2Ffull-record%2FWOS:001024241000001","View Full Record in Web of Science")</f>
        <v>View Full Record in Web of Science</v>
      </c>
    </row>
    <row r="399" spans="1:72" x14ac:dyDescent="0.15">
      <c r="A399" t="s">
        <v>72</v>
      </c>
      <c r="B399" t="s">
        <v>7857</v>
      </c>
      <c r="C399" t="s">
        <v>74</v>
      </c>
      <c r="D399" t="s">
        <v>74</v>
      </c>
      <c r="E399" t="s">
        <v>74</v>
      </c>
      <c r="F399" t="s">
        <v>7858</v>
      </c>
      <c r="G399" t="s">
        <v>74</v>
      </c>
      <c r="H399" t="s">
        <v>74</v>
      </c>
      <c r="I399" t="s">
        <v>7859</v>
      </c>
      <c r="J399" t="s">
        <v>7860</v>
      </c>
      <c r="K399" t="s">
        <v>74</v>
      </c>
      <c r="L399" t="s">
        <v>74</v>
      </c>
      <c r="M399" t="s">
        <v>78</v>
      </c>
      <c r="N399" t="s">
        <v>79</v>
      </c>
      <c r="O399" t="s">
        <v>74</v>
      </c>
      <c r="P399" t="s">
        <v>74</v>
      </c>
      <c r="Q399" t="s">
        <v>74</v>
      </c>
      <c r="R399" t="s">
        <v>74</v>
      </c>
      <c r="S399" t="s">
        <v>74</v>
      </c>
      <c r="T399" t="s">
        <v>74</v>
      </c>
      <c r="U399" t="s">
        <v>7861</v>
      </c>
      <c r="V399" t="s">
        <v>7862</v>
      </c>
      <c r="W399" t="s">
        <v>7863</v>
      </c>
      <c r="X399" t="s">
        <v>7864</v>
      </c>
      <c r="Y399" t="s">
        <v>7865</v>
      </c>
      <c r="Z399" t="s">
        <v>7866</v>
      </c>
      <c r="AA399" t="s">
        <v>7867</v>
      </c>
      <c r="AB399" t="s">
        <v>7868</v>
      </c>
      <c r="AC399" t="s">
        <v>74</v>
      </c>
      <c r="AD399" t="s">
        <v>74</v>
      </c>
      <c r="AE399" t="s">
        <v>74</v>
      </c>
      <c r="AF399" t="s">
        <v>74</v>
      </c>
      <c r="AG399">
        <v>75</v>
      </c>
      <c r="AH399">
        <v>1</v>
      </c>
      <c r="AI399">
        <v>1</v>
      </c>
      <c r="AJ399">
        <v>3</v>
      </c>
      <c r="AK399">
        <v>6</v>
      </c>
      <c r="AL399" t="s">
        <v>298</v>
      </c>
      <c r="AM399" t="s">
        <v>299</v>
      </c>
      <c r="AN399" t="s">
        <v>300</v>
      </c>
      <c r="AO399" t="s">
        <v>7869</v>
      </c>
      <c r="AP399" t="s">
        <v>7870</v>
      </c>
      <c r="AQ399" t="s">
        <v>74</v>
      </c>
      <c r="AR399" t="s">
        <v>7871</v>
      </c>
      <c r="AS399" t="s">
        <v>7872</v>
      </c>
      <c r="AT399" t="s">
        <v>3612</v>
      </c>
      <c r="AU399">
        <v>2023</v>
      </c>
      <c r="AV399">
        <v>85</v>
      </c>
      <c r="AW399">
        <v>1</v>
      </c>
      <c r="AX399" t="s">
        <v>74</v>
      </c>
      <c r="AY399" t="s">
        <v>74</v>
      </c>
      <c r="AZ399" t="s">
        <v>74</v>
      </c>
      <c r="BA399" t="s">
        <v>74</v>
      </c>
      <c r="BB399">
        <v>55</v>
      </c>
      <c r="BC399">
        <v>72</v>
      </c>
      <c r="BD399" t="s">
        <v>74</v>
      </c>
      <c r="BE399" t="s">
        <v>7873</v>
      </c>
      <c r="BF399" t="str">
        <f>HYPERLINK("http://dx.doi.org/10.1007/s00244-023-01011-3","http://dx.doi.org/10.1007/s00244-023-01011-3")</f>
        <v>http://dx.doi.org/10.1007/s00244-023-01011-3</v>
      </c>
      <c r="BG399" t="s">
        <v>74</v>
      </c>
      <c r="BH399" t="s">
        <v>6115</v>
      </c>
      <c r="BI399">
        <v>18</v>
      </c>
      <c r="BJ399" t="s">
        <v>6358</v>
      </c>
      <c r="BK399" t="s">
        <v>104</v>
      </c>
      <c r="BL399" t="s">
        <v>6359</v>
      </c>
      <c r="BM399" t="s">
        <v>7874</v>
      </c>
      <c r="BN399">
        <v>37438517</v>
      </c>
      <c r="BO399" t="s">
        <v>1217</v>
      </c>
      <c r="BP399" t="s">
        <v>74</v>
      </c>
      <c r="BQ399" t="s">
        <v>74</v>
      </c>
      <c r="BR399" t="s">
        <v>107</v>
      </c>
      <c r="BS399" t="s">
        <v>7875</v>
      </c>
      <c r="BT399" t="str">
        <f>HYPERLINK("https%3A%2F%2Fwww.webofscience.com%2Fwos%2Fwoscc%2Ffull-record%2FWOS:001024130800001","View Full Record in Web of Science")</f>
        <v>View Full Record in Web of Science</v>
      </c>
    </row>
    <row r="400" spans="1:72" x14ac:dyDescent="0.15">
      <c r="A400" t="s">
        <v>72</v>
      </c>
      <c r="B400" t="s">
        <v>7876</v>
      </c>
      <c r="C400" t="s">
        <v>74</v>
      </c>
      <c r="D400" t="s">
        <v>74</v>
      </c>
      <c r="E400" t="s">
        <v>74</v>
      </c>
      <c r="F400" t="s">
        <v>7877</v>
      </c>
      <c r="G400" t="s">
        <v>74</v>
      </c>
      <c r="H400" t="s">
        <v>74</v>
      </c>
      <c r="I400" t="s">
        <v>7878</v>
      </c>
      <c r="J400" t="s">
        <v>6547</v>
      </c>
      <c r="K400" t="s">
        <v>74</v>
      </c>
      <c r="L400" t="s">
        <v>74</v>
      </c>
      <c r="M400" t="s">
        <v>78</v>
      </c>
      <c r="N400" t="s">
        <v>79</v>
      </c>
      <c r="O400" t="s">
        <v>74</v>
      </c>
      <c r="P400" t="s">
        <v>74</v>
      </c>
      <c r="Q400" t="s">
        <v>74</v>
      </c>
      <c r="R400" t="s">
        <v>74</v>
      </c>
      <c r="S400" t="s">
        <v>74</v>
      </c>
      <c r="T400" t="s">
        <v>7879</v>
      </c>
      <c r="U400" t="s">
        <v>7880</v>
      </c>
      <c r="V400" t="s">
        <v>7881</v>
      </c>
      <c r="W400" t="s">
        <v>7882</v>
      </c>
      <c r="X400" t="s">
        <v>7883</v>
      </c>
      <c r="Y400" t="s">
        <v>7884</v>
      </c>
      <c r="Z400" t="s">
        <v>7885</v>
      </c>
      <c r="AA400" t="s">
        <v>74</v>
      </c>
      <c r="AB400" t="s">
        <v>74</v>
      </c>
      <c r="AC400" t="s">
        <v>7886</v>
      </c>
      <c r="AD400" t="s">
        <v>7887</v>
      </c>
      <c r="AE400" t="s">
        <v>7888</v>
      </c>
      <c r="AF400" t="s">
        <v>74</v>
      </c>
      <c r="AG400">
        <v>59</v>
      </c>
      <c r="AH400">
        <v>0</v>
      </c>
      <c r="AI400">
        <v>0</v>
      </c>
      <c r="AJ400">
        <v>5</v>
      </c>
      <c r="AK400">
        <v>7</v>
      </c>
      <c r="AL400" t="s">
        <v>172</v>
      </c>
      <c r="AM400" t="s">
        <v>173</v>
      </c>
      <c r="AN400" t="s">
        <v>174</v>
      </c>
      <c r="AO400" t="s">
        <v>6559</v>
      </c>
      <c r="AP400" t="s">
        <v>6560</v>
      </c>
      <c r="AQ400" t="s">
        <v>74</v>
      </c>
      <c r="AR400" t="s">
        <v>6561</v>
      </c>
      <c r="AS400" t="s">
        <v>6562</v>
      </c>
      <c r="AT400" t="s">
        <v>4689</v>
      </c>
      <c r="AU400">
        <v>2023</v>
      </c>
      <c r="AV400">
        <v>227</v>
      </c>
      <c r="AW400" t="s">
        <v>74</v>
      </c>
      <c r="AX400" t="s">
        <v>74</v>
      </c>
      <c r="AY400" t="s">
        <v>74</v>
      </c>
      <c r="AZ400" t="s">
        <v>74</v>
      </c>
      <c r="BA400" t="s">
        <v>74</v>
      </c>
      <c r="BB400" t="s">
        <v>74</v>
      </c>
      <c r="BC400" t="s">
        <v>74</v>
      </c>
      <c r="BD400">
        <v>104186</v>
      </c>
      <c r="BE400" t="s">
        <v>7889</v>
      </c>
      <c r="BF400" t="str">
        <f>HYPERLINK("http://dx.doi.org/10.1016/j.gloplacha.2023.104186","http://dx.doi.org/10.1016/j.gloplacha.2023.104186")</f>
        <v>http://dx.doi.org/10.1016/j.gloplacha.2023.104186</v>
      </c>
      <c r="BG400" t="s">
        <v>74</v>
      </c>
      <c r="BH400" t="s">
        <v>6115</v>
      </c>
      <c r="BI400">
        <v>10</v>
      </c>
      <c r="BJ400" t="s">
        <v>1783</v>
      </c>
      <c r="BK400" t="s">
        <v>104</v>
      </c>
      <c r="BL400" t="s">
        <v>1784</v>
      </c>
      <c r="BM400" t="s">
        <v>7890</v>
      </c>
      <c r="BN400" t="s">
        <v>74</v>
      </c>
      <c r="BO400" t="s">
        <v>74</v>
      </c>
      <c r="BP400" t="s">
        <v>74</v>
      </c>
      <c r="BQ400" t="s">
        <v>74</v>
      </c>
      <c r="BR400" t="s">
        <v>107</v>
      </c>
      <c r="BS400" t="s">
        <v>7891</v>
      </c>
      <c r="BT400" t="str">
        <f>HYPERLINK("https%3A%2F%2Fwww.webofscience.com%2Fwos%2Fwoscc%2Ffull-record%2FWOS:001047027800001","View Full Record in Web of Science")</f>
        <v>View Full Record in Web of Science</v>
      </c>
    </row>
    <row r="401" spans="1:72" x14ac:dyDescent="0.15">
      <c r="A401" t="s">
        <v>72</v>
      </c>
      <c r="B401" t="s">
        <v>7892</v>
      </c>
      <c r="C401" t="s">
        <v>74</v>
      </c>
      <c r="D401" t="s">
        <v>74</v>
      </c>
      <c r="E401" t="s">
        <v>74</v>
      </c>
      <c r="F401" t="s">
        <v>7893</v>
      </c>
      <c r="G401" t="s">
        <v>74</v>
      </c>
      <c r="H401" t="s">
        <v>74</v>
      </c>
      <c r="I401" t="s">
        <v>7894</v>
      </c>
      <c r="J401" t="s">
        <v>7895</v>
      </c>
      <c r="K401" t="s">
        <v>74</v>
      </c>
      <c r="L401" t="s">
        <v>74</v>
      </c>
      <c r="M401" t="s">
        <v>78</v>
      </c>
      <c r="N401" t="s">
        <v>79</v>
      </c>
      <c r="O401" t="s">
        <v>74</v>
      </c>
      <c r="P401" t="s">
        <v>74</v>
      </c>
      <c r="Q401" t="s">
        <v>74</v>
      </c>
      <c r="R401" t="s">
        <v>74</v>
      </c>
      <c r="S401" t="s">
        <v>74</v>
      </c>
      <c r="T401" t="s">
        <v>7896</v>
      </c>
      <c r="U401" t="s">
        <v>7897</v>
      </c>
      <c r="V401" t="s">
        <v>7898</v>
      </c>
      <c r="W401" t="s">
        <v>7899</v>
      </c>
      <c r="X401" t="s">
        <v>7900</v>
      </c>
      <c r="Y401" t="s">
        <v>7901</v>
      </c>
      <c r="Z401" t="s">
        <v>7902</v>
      </c>
      <c r="AA401" t="s">
        <v>7903</v>
      </c>
      <c r="AB401" t="s">
        <v>7904</v>
      </c>
      <c r="AC401" t="s">
        <v>7905</v>
      </c>
      <c r="AD401" t="s">
        <v>7906</v>
      </c>
      <c r="AE401" t="s">
        <v>7907</v>
      </c>
      <c r="AF401" t="s">
        <v>74</v>
      </c>
      <c r="AG401">
        <v>66</v>
      </c>
      <c r="AH401">
        <v>0</v>
      </c>
      <c r="AI401">
        <v>0</v>
      </c>
      <c r="AJ401">
        <v>4</v>
      </c>
      <c r="AK401">
        <v>6</v>
      </c>
      <c r="AL401" t="s">
        <v>3454</v>
      </c>
      <c r="AM401" t="s">
        <v>1528</v>
      </c>
      <c r="AN401" t="s">
        <v>3455</v>
      </c>
      <c r="AO401" t="s">
        <v>7908</v>
      </c>
      <c r="AP401" t="s">
        <v>7909</v>
      </c>
      <c r="AQ401" t="s">
        <v>74</v>
      </c>
      <c r="AR401" t="s">
        <v>7910</v>
      </c>
      <c r="AS401" t="s">
        <v>7911</v>
      </c>
      <c r="AT401" t="s">
        <v>7912</v>
      </c>
      <c r="AU401">
        <v>2023</v>
      </c>
      <c r="AV401">
        <v>20</v>
      </c>
      <c r="AW401">
        <v>204</v>
      </c>
      <c r="AX401" t="s">
        <v>74</v>
      </c>
      <c r="AY401" t="s">
        <v>74</v>
      </c>
      <c r="AZ401" t="s">
        <v>74</v>
      </c>
      <c r="BA401" t="s">
        <v>74</v>
      </c>
      <c r="BB401" t="s">
        <v>74</v>
      </c>
      <c r="BC401" t="s">
        <v>74</v>
      </c>
      <c r="BD401">
        <v>20230293</v>
      </c>
      <c r="BE401" t="s">
        <v>7913</v>
      </c>
      <c r="BF401" t="str">
        <f>HYPERLINK("http://dx.doi.org/10.1098/rsif.2023.0293","http://dx.doi.org/10.1098/rsif.2023.0293")</f>
        <v>http://dx.doi.org/10.1098/rsif.2023.0293</v>
      </c>
      <c r="BG401" t="s">
        <v>74</v>
      </c>
      <c r="BH401" t="s">
        <v>74</v>
      </c>
      <c r="BI401">
        <v>15</v>
      </c>
      <c r="BJ401" t="s">
        <v>1881</v>
      </c>
      <c r="BK401" t="s">
        <v>104</v>
      </c>
      <c r="BL401" t="s">
        <v>1882</v>
      </c>
      <c r="BM401" t="s">
        <v>7914</v>
      </c>
      <c r="BN401">
        <v>37434502</v>
      </c>
      <c r="BO401" t="s">
        <v>936</v>
      </c>
      <c r="BP401" t="s">
        <v>74</v>
      </c>
      <c r="BQ401" t="s">
        <v>74</v>
      </c>
      <c r="BR401" t="s">
        <v>107</v>
      </c>
      <c r="BS401" t="s">
        <v>7915</v>
      </c>
      <c r="BT401" t="str">
        <f>HYPERLINK("https%3A%2F%2Fwww.webofscience.com%2Fwos%2Fwoscc%2Ffull-record%2FWOS:001027939000001","View Full Record in Web of Science")</f>
        <v>View Full Record in Web of Science</v>
      </c>
    </row>
    <row r="402" spans="1:72" x14ac:dyDescent="0.15">
      <c r="A402" t="s">
        <v>72</v>
      </c>
      <c r="B402" t="s">
        <v>7916</v>
      </c>
      <c r="C402" t="s">
        <v>74</v>
      </c>
      <c r="D402" t="s">
        <v>74</v>
      </c>
      <c r="E402" t="s">
        <v>74</v>
      </c>
      <c r="F402" t="s">
        <v>7917</v>
      </c>
      <c r="G402" t="s">
        <v>74</v>
      </c>
      <c r="H402" t="s">
        <v>74</v>
      </c>
      <c r="I402" t="s">
        <v>7918</v>
      </c>
      <c r="J402" t="s">
        <v>7919</v>
      </c>
      <c r="K402" t="s">
        <v>74</v>
      </c>
      <c r="L402" t="s">
        <v>74</v>
      </c>
      <c r="M402" t="s">
        <v>78</v>
      </c>
      <c r="N402" t="s">
        <v>424</v>
      </c>
      <c r="O402" t="s">
        <v>74</v>
      </c>
      <c r="P402" t="s">
        <v>74</v>
      </c>
      <c r="Q402" t="s">
        <v>74</v>
      </c>
      <c r="R402" t="s">
        <v>74</v>
      </c>
      <c r="S402" t="s">
        <v>74</v>
      </c>
      <c r="T402" t="s">
        <v>74</v>
      </c>
      <c r="U402" t="s">
        <v>7920</v>
      </c>
      <c r="V402" t="s">
        <v>7921</v>
      </c>
      <c r="W402" t="s">
        <v>7922</v>
      </c>
      <c r="X402" t="s">
        <v>7923</v>
      </c>
      <c r="Y402" t="s">
        <v>7924</v>
      </c>
      <c r="Z402" t="s">
        <v>7925</v>
      </c>
      <c r="AA402" t="s">
        <v>7926</v>
      </c>
      <c r="AB402" t="s">
        <v>7927</v>
      </c>
      <c r="AC402" t="s">
        <v>74</v>
      </c>
      <c r="AD402" t="s">
        <v>74</v>
      </c>
      <c r="AE402" t="s">
        <v>74</v>
      </c>
      <c r="AF402" t="s">
        <v>74</v>
      </c>
      <c r="AG402">
        <v>15</v>
      </c>
      <c r="AH402">
        <v>3</v>
      </c>
      <c r="AI402">
        <v>3</v>
      </c>
      <c r="AJ402">
        <v>5</v>
      </c>
      <c r="AK402">
        <v>7</v>
      </c>
      <c r="AL402" t="s">
        <v>146</v>
      </c>
      <c r="AM402" t="s">
        <v>147</v>
      </c>
      <c r="AN402" t="s">
        <v>148</v>
      </c>
      <c r="AO402" t="s">
        <v>74</v>
      </c>
      <c r="AP402" t="s">
        <v>7928</v>
      </c>
      <c r="AQ402" t="s">
        <v>74</v>
      </c>
      <c r="AR402" t="s">
        <v>7929</v>
      </c>
      <c r="AS402" t="s">
        <v>7930</v>
      </c>
      <c r="AT402" t="s">
        <v>4689</v>
      </c>
      <c r="AU402">
        <v>2023</v>
      </c>
      <c r="AV402">
        <v>5</v>
      </c>
      <c r="AW402">
        <v>8</v>
      </c>
      <c r="AX402" t="s">
        <v>74</v>
      </c>
      <c r="AY402" t="s">
        <v>74</v>
      </c>
      <c r="AZ402" t="s">
        <v>74</v>
      </c>
      <c r="BA402" t="s">
        <v>74</v>
      </c>
      <c r="BB402">
        <v>446</v>
      </c>
      <c r="BC402">
        <v>449</v>
      </c>
      <c r="BD402" t="s">
        <v>74</v>
      </c>
      <c r="BE402" t="s">
        <v>7931</v>
      </c>
      <c r="BF402" t="str">
        <f>HYPERLINK("http://dx.doi.org/10.1038/s42254-023-00610-2","http://dx.doi.org/10.1038/s42254-023-00610-2")</f>
        <v>http://dx.doi.org/10.1038/s42254-023-00610-2</v>
      </c>
      <c r="BG402" t="s">
        <v>74</v>
      </c>
      <c r="BH402" t="s">
        <v>6115</v>
      </c>
      <c r="BI402">
        <v>4</v>
      </c>
      <c r="BJ402" t="s">
        <v>7932</v>
      </c>
      <c r="BK402" t="s">
        <v>104</v>
      </c>
      <c r="BL402" t="s">
        <v>7779</v>
      </c>
      <c r="BM402" t="s">
        <v>7933</v>
      </c>
      <c r="BN402" t="s">
        <v>74</v>
      </c>
      <c r="BO402" t="s">
        <v>74</v>
      </c>
      <c r="BP402" t="s">
        <v>74</v>
      </c>
      <c r="BQ402" t="s">
        <v>74</v>
      </c>
      <c r="BR402" t="s">
        <v>107</v>
      </c>
      <c r="BS402" t="s">
        <v>7934</v>
      </c>
      <c r="BT402" t="str">
        <f>HYPERLINK("https%3A%2F%2Fwww.webofscience.com%2Fwos%2Fwoscc%2Ffull-record%2FWOS:001026683800001","View Full Record in Web of Science")</f>
        <v>View Full Record in Web of Science</v>
      </c>
    </row>
    <row r="403" spans="1:72" x14ac:dyDescent="0.15">
      <c r="A403" t="s">
        <v>72</v>
      </c>
      <c r="B403" t="s">
        <v>7935</v>
      </c>
      <c r="C403" t="s">
        <v>74</v>
      </c>
      <c r="D403" t="s">
        <v>74</v>
      </c>
      <c r="E403" t="s">
        <v>74</v>
      </c>
      <c r="F403" t="s">
        <v>7936</v>
      </c>
      <c r="G403" t="s">
        <v>74</v>
      </c>
      <c r="H403" t="s">
        <v>74</v>
      </c>
      <c r="I403" t="s">
        <v>7937</v>
      </c>
      <c r="J403" t="s">
        <v>7938</v>
      </c>
      <c r="K403" t="s">
        <v>74</v>
      </c>
      <c r="L403" t="s">
        <v>74</v>
      </c>
      <c r="M403" t="s">
        <v>78</v>
      </c>
      <c r="N403" t="s">
        <v>424</v>
      </c>
      <c r="O403" t="s">
        <v>74</v>
      </c>
      <c r="P403" t="s">
        <v>74</v>
      </c>
      <c r="Q403" t="s">
        <v>74</v>
      </c>
      <c r="R403" t="s">
        <v>74</v>
      </c>
      <c r="S403" t="s">
        <v>74</v>
      </c>
      <c r="T403" t="s">
        <v>7939</v>
      </c>
      <c r="U403" t="s">
        <v>7940</v>
      </c>
      <c r="V403" t="s">
        <v>7941</v>
      </c>
      <c r="W403" t="s">
        <v>7942</v>
      </c>
      <c r="X403" t="s">
        <v>7943</v>
      </c>
      <c r="Y403" t="s">
        <v>7944</v>
      </c>
      <c r="Z403" t="s">
        <v>7945</v>
      </c>
      <c r="AA403" t="s">
        <v>74</v>
      </c>
      <c r="AB403" t="s">
        <v>74</v>
      </c>
      <c r="AC403" t="s">
        <v>7946</v>
      </c>
      <c r="AD403" t="s">
        <v>7946</v>
      </c>
      <c r="AE403" t="s">
        <v>7947</v>
      </c>
      <c r="AF403" t="s">
        <v>74</v>
      </c>
      <c r="AG403">
        <v>378</v>
      </c>
      <c r="AH403">
        <v>0</v>
      </c>
      <c r="AI403">
        <v>0</v>
      </c>
      <c r="AJ403">
        <v>2</v>
      </c>
      <c r="AK403">
        <v>6</v>
      </c>
      <c r="AL403" t="s">
        <v>298</v>
      </c>
      <c r="AM403" t="s">
        <v>299</v>
      </c>
      <c r="AN403" t="s">
        <v>300</v>
      </c>
      <c r="AO403" t="s">
        <v>7948</v>
      </c>
      <c r="AP403" t="s">
        <v>7949</v>
      </c>
      <c r="AQ403" t="s">
        <v>74</v>
      </c>
      <c r="AR403" t="s">
        <v>7938</v>
      </c>
      <c r="AS403" t="s">
        <v>7950</v>
      </c>
      <c r="AT403" t="s">
        <v>4781</v>
      </c>
      <c r="AU403">
        <v>2024</v>
      </c>
      <c r="AV403">
        <v>35</v>
      </c>
      <c r="AW403">
        <v>1</v>
      </c>
      <c r="AX403" t="s">
        <v>74</v>
      </c>
      <c r="AY403" t="s">
        <v>74</v>
      </c>
      <c r="AZ403" t="s">
        <v>74</v>
      </c>
      <c r="BA403" t="s">
        <v>74</v>
      </c>
      <c r="BB403">
        <v>1</v>
      </c>
      <c r="BC403">
        <v>46</v>
      </c>
      <c r="BD403" t="s">
        <v>74</v>
      </c>
      <c r="BE403" t="s">
        <v>7951</v>
      </c>
      <c r="BF403" t="str">
        <f>HYPERLINK("http://dx.doi.org/10.1007/s10532-023-10042-5","http://dx.doi.org/10.1007/s10532-023-10042-5")</f>
        <v>http://dx.doi.org/10.1007/s10532-023-10042-5</v>
      </c>
      <c r="BG403" t="s">
        <v>74</v>
      </c>
      <c r="BH403" t="s">
        <v>6115</v>
      </c>
      <c r="BI403">
        <v>46</v>
      </c>
      <c r="BJ403" t="s">
        <v>1484</v>
      </c>
      <c r="BK403" t="s">
        <v>104</v>
      </c>
      <c r="BL403" t="s">
        <v>1484</v>
      </c>
      <c r="BM403" t="s">
        <v>7952</v>
      </c>
      <c r="BN403">
        <v>37436665</v>
      </c>
      <c r="BO403" t="s">
        <v>74</v>
      </c>
      <c r="BP403" t="s">
        <v>74</v>
      </c>
      <c r="BQ403" t="s">
        <v>74</v>
      </c>
      <c r="BR403" t="s">
        <v>107</v>
      </c>
      <c r="BS403" t="s">
        <v>7953</v>
      </c>
      <c r="BT403" t="str">
        <f>HYPERLINK("https%3A%2F%2Fwww.webofscience.com%2Fwos%2Fwoscc%2Ffull-record%2FWOS:001026743900002","View Full Record in Web of Science")</f>
        <v>View Full Record in Web of Science</v>
      </c>
    </row>
    <row r="404" spans="1:72" x14ac:dyDescent="0.15">
      <c r="A404" t="s">
        <v>72</v>
      </c>
      <c r="B404" t="s">
        <v>7954</v>
      </c>
      <c r="C404" t="s">
        <v>74</v>
      </c>
      <c r="D404" t="s">
        <v>74</v>
      </c>
      <c r="E404" t="s">
        <v>74</v>
      </c>
      <c r="F404" t="s">
        <v>7955</v>
      </c>
      <c r="G404" t="s">
        <v>74</v>
      </c>
      <c r="H404" t="s">
        <v>74</v>
      </c>
      <c r="I404" t="s">
        <v>7956</v>
      </c>
      <c r="J404" t="s">
        <v>7957</v>
      </c>
      <c r="K404" t="s">
        <v>74</v>
      </c>
      <c r="L404" t="s">
        <v>74</v>
      </c>
      <c r="M404" t="s">
        <v>78</v>
      </c>
      <c r="N404" t="s">
        <v>1911</v>
      </c>
      <c r="O404" t="s">
        <v>74</v>
      </c>
      <c r="P404" t="s">
        <v>74</v>
      </c>
      <c r="Q404" t="s">
        <v>74</v>
      </c>
      <c r="R404" t="s">
        <v>74</v>
      </c>
      <c r="S404" t="s">
        <v>74</v>
      </c>
      <c r="T404" t="s">
        <v>7958</v>
      </c>
      <c r="U404" t="s">
        <v>7959</v>
      </c>
      <c r="V404" t="s">
        <v>7960</v>
      </c>
      <c r="W404" t="s">
        <v>7961</v>
      </c>
      <c r="X404" t="s">
        <v>7962</v>
      </c>
      <c r="Y404" t="s">
        <v>7963</v>
      </c>
      <c r="Z404" t="s">
        <v>7964</v>
      </c>
      <c r="AA404" t="s">
        <v>7965</v>
      </c>
      <c r="AB404" t="s">
        <v>7966</v>
      </c>
      <c r="AC404" t="s">
        <v>74</v>
      </c>
      <c r="AD404" t="s">
        <v>74</v>
      </c>
      <c r="AE404" t="s">
        <v>74</v>
      </c>
      <c r="AF404" t="s">
        <v>74</v>
      </c>
      <c r="AG404">
        <v>53</v>
      </c>
      <c r="AH404">
        <v>0</v>
      </c>
      <c r="AI404">
        <v>0</v>
      </c>
      <c r="AJ404">
        <v>2</v>
      </c>
      <c r="AK404">
        <v>2</v>
      </c>
      <c r="AL404" t="s">
        <v>1803</v>
      </c>
      <c r="AM404" t="s">
        <v>1804</v>
      </c>
      <c r="AN404" t="s">
        <v>1805</v>
      </c>
      <c r="AO404" t="s">
        <v>7967</v>
      </c>
      <c r="AP404" t="s">
        <v>7968</v>
      </c>
      <c r="AQ404" t="s">
        <v>74</v>
      </c>
      <c r="AR404" t="s">
        <v>7969</v>
      </c>
      <c r="AS404" t="s">
        <v>7970</v>
      </c>
      <c r="AT404" t="s">
        <v>7971</v>
      </c>
      <c r="AU404">
        <v>2023</v>
      </c>
      <c r="AV404" t="s">
        <v>74</v>
      </c>
      <c r="AW404" t="s">
        <v>74</v>
      </c>
      <c r="AX404" t="s">
        <v>74</v>
      </c>
      <c r="AY404" t="s">
        <v>74</v>
      </c>
      <c r="AZ404" t="s">
        <v>74</v>
      </c>
      <c r="BA404" t="s">
        <v>74</v>
      </c>
      <c r="BB404" t="s">
        <v>74</v>
      </c>
      <c r="BC404" t="s">
        <v>74</v>
      </c>
      <c r="BD404" t="s">
        <v>74</v>
      </c>
      <c r="BE404" t="s">
        <v>7972</v>
      </c>
      <c r="BF404" t="str">
        <f>HYPERLINK("http://dx.doi.org/10.1017/jog.2023.41","http://dx.doi.org/10.1017/jog.2023.41")</f>
        <v>http://dx.doi.org/10.1017/jog.2023.41</v>
      </c>
      <c r="BG404" t="s">
        <v>74</v>
      </c>
      <c r="BH404" t="s">
        <v>6115</v>
      </c>
      <c r="BI404">
        <v>11</v>
      </c>
      <c r="BJ404" t="s">
        <v>1783</v>
      </c>
      <c r="BK404" t="s">
        <v>104</v>
      </c>
      <c r="BL404" t="s">
        <v>1784</v>
      </c>
      <c r="BM404" t="s">
        <v>7973</v>
      </c>
      <c r="BN404" t="s">
        <v>74</v>
      </c>
      <c r="BO404" t="s">
        <v>771</v>
      </c>
      <c r="BP404" t="s">
        <v>74</v>
      </c>
      <c r="BQ404" t="s">
        <v>74</v>
      </c>
      <c r="BR404" t="s">
        <v>107</v>
      </c>
      <c r="BS404" t="s">
        <v>7974</v>
      </c>
      <c r="BT404" t="str">
        <f>HYPERLINK("https%3A%2F%2Fwww.webofscience.com%2Fwos%2Fwoscc%2Ffull-record%2FWOS:001074489900001","View Full Record in Web of Science")</f>
        <v>View Full Record in Web of Science</v>
      </c>
    </row>
    <row r="405" spans="1:72" x14ac:dyDescent="0.15">
      <c r="A405" t="s">
        <v>72</v>
      </c>
      <c r="B405" t="s">
        <v>7975</v>
      </c>
      <c r="C405" t="s">
        <v>74</v>
      </c>
      <c r="D405" t="s">
        <v>74</v>
      </c>
      <c r="E405" t="s">
        <v>74</v>
      </c>
      <c r="F405" t="s">
        <v>7976</v>
      </c>
      <c r="G405" t="s">
        <v>74</v>
      </c>
      <c r="H405" t="s">
        <v>74</v>
      </c>
      <c r="I405" t="s">
        <v>7977</v>
      </c>
      <c r="J405" t="s">
        <v>7978</v>
      </c>
      <c r="K405" t="s">
        <v>74</v>
      </c>
      <c r="L405" t="s">
        <v>74</v>
      </c>
      <c r="M405" t="s">
        <v>78</v>
      </c>
      <c r="N405" t="s">
        <v>79</v>
      </c>
      <c r="O405" t="s">
        <v>74</v>
      </c>
      <c r="P405" t="s">
        <v>74</v>
      </c>
      <c r="Q405" t="s">
        <v>74</v>
      </c>
      <c r="R405" t="s">
        <v>74</v>
      </c>
      <c r="S405" t="s">
        <v>74</v>
      </c>
      <c r="T405" t="s">
        <v>7979</v>
      </c>
      <c r="U405" t="s">
        <v>74</v>
      </c>
      <c r="V405" t="s">
        <v>7980</v>
      </c>
      <c r="W405" t="s">
        <v>7981</v>
      </c>
      <c r="X405" t="s">
        <v>7982</v>
      </c>
      <c r="Y405" t="s">
        <v>7983</v>
      </c>
      <c r="Z405" t="s">
        <v>7984</v>
      </c>
      <c r="AA405" t="s">
        <v>7985</v>
      </c>
      <c r="AB405" t="s">
        <v>7986</v>
      </c>
      <c r="AC405" t="s">
        <v>7987</v>
      </c>
      <c r="AD405" t="s">
        <v>7988</v>
      </c>
      <c r="AE405" t="s">
        <v>7989</v>
      </c>
      <c r="AF405" t="s">
        <v>74</v>
      </c>
      <c r="AG405">
        <v>40</v>
      </c>
      <c r="AH405">
        <v>0</v>
      </c>
      <c r="AI405">
        <v>0</v>
      </c>
      <c r="AJ405">
        <v>1</v>
      </c>
      <c r="AK405">
        <v>1</v>
      </c>
      <c r="AL405" t="s">
        <v>1803</v>
      </c>
      <c r="AM405" t="s">
        <v>1804</v>
      </c>
      <c r="AN405" t="s">
        <v>1805</v>
      </c>
      <c r="AO405" t="s">
        <v>7990</v>
      </c>
      <c r="AP405" t="s">
        <v>7991</v>
      </c>
      <c r="AQ405" t="s">
        <v>74</v>
      </c>
      <c r="AR405" t="s">
        <v>7992</v>
      </c>
      <c r="AS405" t="s">
        <v>7993</v>
      </c>
      <c r="AT405" t="s">
        <v>97</v>
      </c>
      <c r="AU405">
        <v>2022</v>
      </c>
      <c r="AV405">
        <v>63</v>
      </c>
      <c r="AW405" t="s">
        <v>7994</v>
      </c>
      <c r="AX405" t="s">
        <v>74</v>
      </c>
      <c r="AY405" t="s">
        <v>74</v>
      </c>
      <c r="AZ405" t="s">
        <v>74</v>
      </c>
      <c r="BA405" t="s">
        <v>74</v>
      </c>
      <c r="BB405">
        <v>125</v>
      </c>
      <c r="BC405">
        <v>131</v>
      </c>
      <c r="BD405" t="s">
        <v>74</v>
      </c>
      <c r="BE405" t="s">
        <v>7995</v>
      </c>
      <c r="BF405" t="str">
        <f>HYPERLINK("http://dx.doi.org/10.1017/aog.2023.32","http://dx.doi.org/10.1017/aog.2023.32")</f>
        <v>http://dx.doi.org/10.1017/aog.2023.32</v>
      </c>
      <c r="BG405" t="s">
        <v>74</v>
      </c>
      <c r="BH405" t="s">
        <v>6115</v>
      </c>
      <c r="BI405">
        <v>7</v>
      </c>
      <c r="BJ405" t="s">
        <v>1783</v>
      </c>
      <c r="BK405" t="s">
        <v>104</v>
      </c>
      <c r="BL405" t="s">
        <v>1784</v>
      </c>
      <c r="BM405" t="s">
        <v>7996</v>
      </c>
      <c r="BN405" t="s">
        <v>74</v>
      </c>
      <c r="BO405" t="s">
        <v>181</v>
      </c>
      <c r="BP405" t="s">
        <v>74</v>
      </c>
      <c r="BQ405" t="s">
        <v>74</v>
      </c>
      <c r="BR405" t="s">
        <v>107</v>
      </c>
      <c r="BS405" t="s">
        <v>7997</v>
      </c>
      <c r="BT405" t="str">
        <f>HYPERLINK("https%3A%2F%2Fwww.webofscience.com%2Fwos%2Fwoscc%2Ffull-record%2FWOS:001074722900001","View Full Record in Web of Science")</f>
        <v>View Full Record in Web of Science</v>
      </c>
    </row>
    <row r="406" spans="1:72" x14ac:dyDescent="0.15">
      <c r="A406" t="s">
        <v>72</v>
      </c>
      <c r="B406" t="s">
        <v>7998</v>
      </c>
      <c r="C406" t="s">
        <v>74</v>
      </c>
      <c r="D406" t="s">
        <v>74</v>
      </c>
      <c r="E406" t="s">
        <v>74</v>
      </c>
      <c r="F406" t="s">
        <v>7999</v>
      </c>
      <c r="G406" t="s">
        <v>74</v>
      </c>
      <c r="H406" t="s">
        <v>74</v>
      </c>
      <c r="I406" t="s">
        <v>8000</v>
      </c>
      <c r="J406" t="s">
        <v>2650</v>
      </c>
      <c r="K406" t="s">
        <v>74</v>
      </c>
      <c r="L406" t="s">
        <v>74</v>
      </c>
      <c r="M406" t="s">
        <v>78</v>
      </c>
      <c r="N406" t="s">
        <v>79</v>
      </c>
      <c r="O406" t="s">
        <v>74</v>
      </c>
      <c r="P406" t="s">
        <v>74</v>
      </c>
      <c r="Q406" t="s">
        <v>74</v>
      </c>
      <c r="R406" t="s">
        <v>74</v>
      </c>
      <c r="S406" t="s">
        <v>74</v>
      </c>
      <c r="T406" t="s">
        <v>8001</v>
      </c>
      <c r="U406" t="s">
        <v>8002</v>
      </c>
      <c r="V406" t="s">
        <v>8003</v>
      </c>
      <c r="W406" t="s">
        <v>8004</v>
      </c>
      <c r="X406" t="s">
        <v>8005</v>
      </c>
      <c r="Y406" t="s">
        <v>8006</v>
      </c>
      <c r="Z406" t="s">
        <v>8007</v>
      </c>
      <c r="AA406" t="s">
        <v>74</v>
      </c>
      <c r="AB406" t="s">
        <v>74</v>
      </c>
      <c r="AC406" t="s">
        <v>8008</v>
      </c>
      <c r="AD406" t="s">
        <v>8009</v>
      </c>
      <c r="AE406" t="s">
        <v>8010</v>
      </c>
      <c r="AF406" t="s">
        <v>74</v>
      </c>
      <c r="AG406">
        <v>66</v>
      </c>
      <c r="AH406">
        <v>0</v>
      </c>
      <c r="AI406">
        <v>0</v>
      </c>
      <c r="AJ406">
        <v>2</v>
      </c>
      <c r="AK406">
        <v>15</v>
      </c>
      <c r="AL406" t="s">
        <v>172</v>
      </c>
      <c r="AM406" t="s">
        <v>173</v>
      </c>
      <c r="AN406" t="s">
        <v>174</v>
      </c>
      <c r="AO406" t="s">
        <v>2662</v>
      </c>
      <c r="AP406" t="s">
        <v>2663</v>
      </c>
      <c r="AQ406" t="s">
        <v>74</v>
      </c>
      <c r="AR406" t="s">
        <v>2664</v>
      </c>
      <c r="AS406" t="s">
        <v>2665</v>
      </c>
      <c r="AT406" t="s">
        <v>1859</v>
      </c>
      <c r="AU406">
        <v>2024</v>
      </c>
      <c r="AV406">
        <v>241</v>
      </c>
      <c r="AW406" t="s">
        <v>74</v>
      </c>
      <c r="AX406" t="s">
        <v>74</v>
      </c>
      <c r="AY406" t="s">
        <v>74</v>
      </c>
      <c r="AZ406" t="s">
        <v>74</v>
      </c>
      <c r="BA406" t="s">
        <v>74</v>
      </c>
      <c r="BB406" t="s">
        <v>74</v>
      </c>
      <c r="BC406" t="s">
        <v>74</v>
      </c>
      <c r="BD406">
        <v>103916</v>
      </c>
      <c r="BE406" t="s">
        <v>8011</v>
      </c>
      <c r="BF406" t="str">
        <f>HYPERLINK("http://dx.doi.org/10.1016/j.jmarsys.2023.103916","http://dx.doi.org/10.1016/j.jmarsys.2023.103916")</f>
        <v>http://dx.doi.org/10.1016/j.jmarsys.2023.103916</v>
      </c>
      <c r="BG406" t="s">
        <v>74</v>
      </c>
      <c r="BH406" t="s">
        <v>6115</v>
      </c>
      <c r="BI406">
        <v>9</v>
      </c>
      <c r="BJ406" t="s">
        <v>2667</v>
      </c>
      <c r="BK406" t="s">
        <v>104</v>
      </c>
      <c r="BL406" t="s">
        <v>2668</v>
      </c>
      <c r="BM406" t="s">
        <v>8012</v>
      </c>
      <c r="BN406" t="s">
        <v>74</v>
      </c>
      <c r="BO406" t="s">
        <v>549</v>
      </c>
      <c r="BP406" t="s">
        <v>74</v>
      </c>
      <c r="BQ406" t="s">
        <v>74</v>
      </c>
      <c r="BR406" t="s">
        <v>107</v>
      </c>
      <c r="BS406" t="s">
        <v>8013</v>
      </c>
      <c r="BT406" t="str">
        <f>HYPERLINK("https%3A%2F%2Fwww.webofscience.com%2Fwos%2Fwoscc%2Ffull-record%2FWOS:001045880100001","View Full Record in Web of Science")</f>
        <v>View Full Record in Web of Science</v>
      </c>
    </row>
    <row r="407" spans="1:72" x14ac:dyDescent="0.15">
      <c r="A407" t="s">
        <v>72</v>
      </c>
      <c r="B407" t="s">
        <v>8014</v>
      </c>
      <c r="C407" t="s">
        <v>74</v>
      </c>
      <c r="D407" t="s">
        <v>74</v>
      </c>
      <c r="E407" t="s">
        <v>74</v>
      </c>
      <c r="F407" t="s">
        <v>8015</v>
      </c>
      <c r="G407" t="s">
        <v>74</v>
      </c>
      <c r="H407" t="s">
        <v>74</v>
      </c>
      <c r="I407" t="s">
        <v>8016</v>
      </c>
      <c r="J407" t="s">
        <v>6635</v>
      </c>
      <c r="K407" t="s">
        <v>74</v>
      </c>
      <c r="L407" t="s">
        <v>74</v>
      </c>
      <c r="M407" t="s">
        <v>78</v>
      </c>
      <c r="N407" t="s">
        <v>79</v>
      </c>
      <c r="O407" t="s">
        <v>74</v>
      </c>
      <c r="P407" t="s">
        <v>74</v>
      </c>
      <c r="Q407" t="s">
        <v>74</v>
      </c>
      <c r="R407" t="s">
        <v>74</v>
      </c>
      <c r="S407" t="s">
        <v>74</v>
      </c>
      <c r="T407" t="s">
        <v>8017</v>
      </c>
      <c r="U407" t="s">
        <v>8018</v>
      </c>
      <c r="V407" t="s">
        <v>8019</v>
      </c>
      <c r="W407" t="s">
        <v>8020</v>
      </c>
      <c r="X407" t="s">
        <v>8021</v>
      </c>
      <c r="Y407" t="s">
        <v>8022</v>
      </c>
      <c r="Z407" t="s">
        <v>8023</v>
      </c>
      <c r="AA407" t="s">
        <v>74</v>
      </c>
      <c r="AB407" t="s">
        <v>8024</v>
      </c>
      <c r="AC407" t="s">
        <v>8025</v>
      </c>
      <c r="AD407" t="s">
        <v>8026</v>
      </c>
      <c r="AE407" t="s">
        <v>8027</v>
      </c>
      <c r="AF407" t="s">
        <v>74</v>
      </c>
      <c r="AG407">
        <v>74</v>
      </c>
      <c r="AH407">
        <v>1</v>
      </c>
      <c r="AI407">
        <v>1</v>
      </c>
      <c r="AJ407">
        <v>9</v>
      </c>
      <c r="AK407">
        <v>16</v>
      </c>
      <c r="AL407" t="s">
        <v>6648</v>
      </c>
      <c r="AM407" t="s">
        <v>589</v>
      </c>
      <c r="AN407" t="s">
        <v>6649</v>
      </c>
      <c r="AO407" t="s">
        <v>6650</v>
      </c>
      <c r="AP407" t="s">
        <v>6651</v>
      </c>
      <c r="AQ407" t="s">
        <v>74</v>
      </c>
      <c r="AR407" t="s">
        <v>6652</v>
      </c>
      <c r="AS407" t="s">
        <v>6653</v>
      </c>
      <c r="AT407" t="s">
        <v>8028</v>
      </c>
      <c r="AU407">
        <v>2023</v>
      </c>
      <c r="AV407">
        <v>120</v>
      </c>
      <c r="AW407">
        <v>28</v>
      </c>
      <c r="AX407" t="s">
        <v>74</v>
      </c>
      <c r="AY407" t="s">
        <v>74</v>
      </c>
      <c r="AZ407" t="s">
        <v>74</v>
      </c>
      <c r="BA407" t="s">
        <v>74</v>
      </c>
      <c r="BB407" t="s">
        <v>74</v>
      </c>
      <c r="BC407" t="s">
        <v>74</v>
      </c>
      <c r="BD407" t="s">
        <v>8029</v>
      </c>
      <c r="BE407" t="s">
        <v>8030</v>
      </c>
      <c r="BF407" t="str">
        <f>HYPERLINK("http://dx.doi.org/10.1073/pnas.2220111120","http://dx.doi.org/10.1073/pnas.2220111120")</f>
        <v>http://dx.doi.org/10.1073/pnas.2220111120</v>
      </c>
      <c r="BG407" t="s">
        <v>74</v>
      </c>
      <c r="BH407" t="s">
        <v>74</v>
      </c>
      <c r="BI407">
        <v>8</v>
      </c>
      <c r="BJ407" t="s">
        <v>1881</v>
      </c>
      <c r="BK407" t="s">
        <v>104</v>
      </c>
      <c r="BL407" t="s">
        <v>1882</v>
      </c>
      <c r="BM407" t="s">
        <v>8031</v>
      </c>
      <c r="BN407">
        <v>37399381</v>
      </c>
      <c r="BO407" t="s">
        <v>8032</v>
      </c>
      <c r="BP407" t="s">
        <v>74</v>
      </c>
      <c r="BQ407" t="s">
        <v>74</v>
      </c>
      <c r="BR407" t="s">
        <v>107</v>
      </c>
      <c r="BS407" t="s">
        <v>8033</v>
      </c>
      <c r="BT407" t="str">
        <f>HYPERLINK("https%3A%2F%2Fwww.webofscience.com%2Fwos%2Fwoscc%2Ffull-record%2FWOS:001041361900001","View Full Record in Web of Science")</f>
        <v>View Full Record in Web of Science</v>
      </c>
    </row>
    <row r="408" spans="1:72" x14ac:dyDescent="0.15">
      <c r="A408" t="s">
        <v>72</v>
      </c>
      <c r="B408" t="s">
        <v>8034</v>
      </c>
      <c r="C408" t="s">
        <v>74</v>
      </c>
      <c r="D408" t="s">
        <v>74</v>
      </c>
      <c r="E408" t="s">
        <v>74</v>
      </c>
      <c r="F408" t="s">
        <v>8035</v>
      </c>
      <c r="G408" t="s">
        <v>74</v>
      </c>
      <c r="H408" t="s">
        <v>74</v>
      </c>
      <c r="I408" t="s">
        <v>8036</v>
      </c>
      <c r="J408" t="s">
        <v>3756</v>
      </c>
      <c r="K408" t="s">
        <v>74</v>
      </c>
      <c r="L408" t="s">
        <v>74</v>
      </c>
      <c r="M408" t="s">
        <v>78</v>
      </c>
      <c r="N408" t="s">
        <v>79</v>
      </c>
      <c r="O408" t="s">
        <v>74</v>
      </c>
      <c r="P408" t="s">
        <v>74</v>
      </c>
      <c r="Q408" t="s">
        <v>74</v>
      </c>
      <c r="R408" t="s">
        <v>74</v>
      </c>
      <c r="S408" t="s">
        <v>74</v>
      </c>
      <c r="T408" t="s">
        <v>8037</v>
      </c>
      <c r="U408" t="s">
        <v>8038</v>
      </c>
      <c r="V408" t="s">
        <v>8039</v>
      </c>
      <c r="W408" t="s">
        <v>8040</v>
      </c>
      <c r="X408" t="s">
        <v>8041</v>
      </c>
      <c r="Y408" t="s">
        <v>8042</v>
      </c>
      <c r="Z408" t="s">
        <v>8043</v>
      </c>
      <c r="AA408" t="s">
        <v>74</v>
      </c>
      <c r="AB408" t="s">
        <v>8044</v>
      </c>
      <c r="AC408" t="s">
        <v>8045</v>
      </c>
      <c r="AD408" t="s">
        <v>8046</v>
      </c>
      <c r="AE408" t="s">
        <v>8047</v>
      </c>
      <c r="AF408" t="s">
        <v>74</v>
      </c>
      <c r="AG408">
        <v>40</v>
      </c>
      <c r="AH408">
        <v>0</v>
      </c>
      <c r="AI408">
        <v>0</v>
      </c>
      <c r="AJ408">
        <v>1</v>
      </c>
      <c r="AK408">
        <v>1</v>
      </c>
      <c r="AL408" t="s">
        <v>298</v>
      </c>
      <c r="AM408" t="s">
        <v>299</v>
      </c>
      <c r="AN408" t="s">
        <v>300</v>
      </c>
      <c r="AO408" t="s">
        <v>3767</v>
      </c>
      <c r="AP408" t="s">
        <v>3768</v>
      </c>
      <c r="AQ408" t="s">
        <v>74</v>
      </c>
      <c r="AR408" t="s">
        <v>3769</v>
      </c>
      <c r="AS408" t="s">
        <v>3770</v>
      </c>
      <c r="AT408" t="s">
        <v>97</v>
      </c>
      <c r="AU408">
        <v>2023</v>
      </c>
      <c r="AV408">
        <v>46</v>
      </c>
      <c r="AW408">
        <v>9</v>
      </c>
      <c r="AX408" t="s">
        <v>74</v>
      </c>
      <c r="AY408" t="s">
        <v>74</v>
      </c>
      <c r="AZ408" t="s">
        <v>74</v>
      </c>
      <c r="BA408" t="s">
        <v>74</v>
      </c>
      <c r="BB408">
        <v>933</v>
      </c>
      <c r="BC408">
        <v>957</v>
      </c>
      <c r="BD408" t="s">
        <v>74</v>
      </c>
      <c r="BE408" t="s">
        <v>8048</v>
      </c>
      <c r="BF408" t="str">
        <f>HYPERLINK("http://dx.doi.org/10.1007/s00300-023-03175-z","http://dx.doi.org/10.1007/s00300-023-03175-z")</f>
        <v>http://dx.doi.org/10.1007/s00300-023-03175-z</v>
      </c>
      <c r="BG408" t="s">
        <v>74</v>
      </c>
      <c r="BH408" t="s">
        <v>6115</v>
      </c>
      <c r="BI408">
        <v>25</v>
      </c>
      <c r="BJ408" t="s">
        <v>3772</v>
      </c>
      <c r="BK408" t="s">
        <v>104</v>
      </c>
      <c r="BL408" t="s">
        <v>1905</v>
      </c>
      <c r="BM408" t="s">
        <v>4538</v>
      </c>
      <c r="BN408" t="s">
        <v>74</v>
      </c>
      <c r="BO408" t="s">
        <v>549</v>
      </c>
      <c r="BP408" t="s">
        <v>74</v>
      </c>
      <c r="BQ408" t="s">
        <v>74</v>
      </c>
      <c r="BR408" t="s">
        <v>107</v>
      </c>
      <c r="BS408" t="s">
        <v>8049</v>
      </c>
      <c r="BT408" t="str">
        <f>HYPERLINK("https%3A%2F%2Fwww.webofscience.com%2Fwos%2Fwoscc%2Ffull-record%2FWOS:001026371700001","View Full Record in Web of Science")</f>
        <v>View Full Record in Web of Science</v>
      </c>
    </row>
    <row r="409" spans="1:72" x14ac:dyDescent="0.15">
      <c r="A409" t="s">
        <v>72</v>
      </c>
      <c r="B409" t="s">
        <v>8050</v>
      </c>
      <c r="C409" t="s">
        <v>74</v>
      </c>
      <c r="D409" t="s">
        <v>74</v>
      </c>
      <c r="E409" t="s">
        <v>74</v>
      </c>
      <c r="F409" t="s">
        <v>8051</v>
      </c>
      <c r="G409" t="s">
        <v>74</v>
      </c>
      <c r="H409" t="s">
        <v>74</v>
      </c>
      <c r="I409" t="s">
        <v>8052</v>
      </c>
      <c r="J409" t="s">
        <v>8053</v>
      </c>
      <c r="K409" t="s">
        <v>74</v>
      </c>
      <c r="L409" t="s">
        <v>74</v>
      </c>
      <c r="M409" t="s">
        <v>78</v>
      </c>
      <c r="N409" t="s">
        <v>79</v>
      </c>
      <c r="O409" t="s">
        <v>74</v>
      </c>
      <c r="P409" t="s">
        <v>74</v>
      </c>
      <c r="Q409" t="s">
        <v>74</v>
      </c>
      <c r="R409" t="s">
        <v>74</v>
      </c>
      <c r="S409" t="s">
        <v>74</v>
      </c>
      <c r="T409" t="s">
        <v>8054</v>
      </c>
      <c r="U409" t="s">
        <v>8055</v>
      </c>
      <c r="V409" t="s">
        <v>8056</v>
      </c>
      <c r="W409" t="s">
        <v>8057</v>
      </c>
      <c r="X409" t="s">
        <v>8058</v>
      </c>
      <c r="Y409" t="s">
        <v>8059</v>
      </c>
      <c r="Z409" t="s">
        <v>8060</v>
      </c>
      <c r="AA409" t="s">
        <v>8061</v>
      </c>
      <c r="AB409" t="s">
        <v>8062</v>
      </c>
      <c r="AC409" t="s">
        <v>74</v>
      </c>
      <c r="AD409" t="s">
        <v>74</v>
      </c>
      <c r="AE409" t="s">
        <v>74</v>
      </c>
      <c r="AF409" t="s">
        <v>74</v>
      </c>
      <c r="AG409">
        <v>15</v>
      </c>
      <c r="AH409">
        <v>0</v>
      </c>
      <c r="AI409">
        <v>0</v>
      </c>
      <c r="AJ409">
        <v>3</v>
      </c>
      <c r="AK409">
        <v>4</v>
      </c>
      <c r="AL409" t="s">
        <v>298</v>
      </c>
      <c r="AM409" t="s">
        <v>299</v>
      </c>
      <c r="AN409" t="s">
        <v>300</v>
      </c>
      <c r="AO409" t="s">
        <v>8063</v>
      </c>
      <c r="AP409" t="s">
        <v>8064</v>
      </c>
      <c r="AQ409" t="s">
        <v>74</v>
      </c>
      <c r="AR409" t="s">
        <v>8065</v>
      </c>
      <c r="AS409" t="s">
        <v>8066</v>
      </c>
      <c r="AT409" t="s">
        <v>3082</v>
      </c>
      <c r="AU409">
        <v>2023</v>
      </c>
      <c r="AV409">
        <v>86</v>
      </c>
      <c r="AW409">
        <v>4</v>
      </c>
      <c r="AX409" t="s">
        <v>74</v>
      </c>
      <c r="AY409" t="s">
        <v>74</v>
      </c>
      <c r="AZ409" t="s">
        <v>74</v>
      </c>
      <c r="BA409" t="s">
        <v>74</v>
      </c>
      <c r="BB409">
        <v>3128</v>
      </c>
      <c r="BC409">
        <v>3132</v>
      </c>
      <c r="BD409" t="s">
        <v>74</v>
      </c>
      <c r="BE409" t="s">
        <v>8067</v>
      </c>
      <c r="BF409" t="str">
        <f>HYPERLINK("http://dx.doi.org/10.1007/s00248-023-02263-1","http://dx.doi.org/10.1007/s00248-023-02263-1")</f>
        <v>http://dx.doi.org/10.1007/s00248-023-02263-1</v>
      </c>
      <c r="BG409" t="s">
        <v>74</v>
      </c>
      <c r="BH409" t="s">
        <v>6115</v>
      </c>
      <c r="BI409">
        <v>5</v>
      </c>
      <c r="BJ409" t="s">
        <v>8068</v>
      </c>
      <c r="BK409" t="s">
        <v>104</v>
      </c>
      <c r="BL409" t="s">
        <v>8069</v>
      </c>
      <c r="BM409" t="s">
        <v>8070</v>
      </c>
      <c r="BN409">
        <v>37433980</v>
      </c>
      <c r="BO409" t="s">
        <v>74</v>
      </c>
      <c r="BP409" t="s">
        <v>74</v>
      </c>
      <c r="BQ409" t="s">
        <v>74</v>
      </c>
      <c r="BR409" t="s">
        <v>107</v>
      </c>
      <c r="BS409" t="s">
        <v>8071</v>
      </c>
      <c r="BT409" t="str">
        <f>HYPERLINK("https%3A%2F%2Fwww.webofscience.com%2Fwos%2Fwoscc%2Ffull-record%2FWOS:001026362200001","View Full Record in Web of Science")</f>
        <v>View Full Record in Web of Science</v>
      </c>
    </row>
    <row r="410" spans="1:72" x14ac:dyDescent="0.15">
      <c r="A410" t="s">
        <v>72</v>
      </c>
      <c r="B410" t="s">
        <v>8072</v>
      </c>
      <c r="C410" t="s">
        <v>74</v>
      </c>
      <c r="D410" t="s">
        <v>74</v>
      </c>
      <c r="E410" t="s">
        <v>74</v>
      </c>
      <c r="F410" t="s">
        <v>8073</v>
      </c>
      <c r="G410" t="s">
        <v>74</v>
      </c>
      <c r="H410" t="s">
        <v>74</v>
      </c>
      <c r="I410" t="s">
        <v>8074</v>
      </c>
      <c r="J410" t="s">
        <v>8075</v>
      </c>
      <c r="K410" t="s">
        <v>74</v>
      </c>
      <c r="L410" t="s">
        <v>74</v>
      </c>
      <c r="M410" t="s">
        <v>78</v>
      </c>
      <c r="N410" t="s">
        <v>79</v>
      </c>
      <c r="O410" t="s">
        <v>74</v>
      </c>
      <c r="P410" t="s">
        <v>74</v>
      </c>
      <c r="Q410" t="s">
        <v>74</v>
      </c>
      <c r="R410" t="s">
        <v>74</v>
      </c>
      <c r="S410" t="s">
        <v>74</v>
      </c>
      <c r="T410" t="s">
        <v>8076</v>
      </c>
      <c r="U410" t="s">
        <v>8077</v>
      </c>
      <c r="V410" t="s">
        <v>8078</v>
      </c>
      <c r="W410" t="s">
        <v>8079</v>
      </c>
      <c r="X410" t="s">
        <v>8080</v>
      </c>
      <c r="Y410" t="s">
        <v>8081</v>
      </c>
      <c r="Z410" t="s">
        <v>8082</v>
      </c>
      <c r="AA410" t="s">
        <v>8083</v>
      </c>
      <c r="AB410" t="s">
        <v>8084</v>
      </c>
      <c r="AC410" t="s">
        <v>8085</v>
      </c>
      <c r="AD410" t="s">
        <v>8086</v>
      </c>
      <c r="AE410" t="s">
        <v>8087</v>
      </c>
      <c r="AF410" t="s">
        <v>74</v>
      </c>
      <c r="AG410">
        <v>109</v>
      </c>
      <c r="AH410">
        <v>0</v>
      </c>
      <c r="AI410">
        <v>0</v>
      </c>
      <c r="AJ410">
        <v>3</v>
      </c>
      <c r="AK410">
        <v>4</v>
      </c>
      <c r="AL410" t="s">
        <v>537</v>
      </c>
      <c r="AM410" t="s">
        <v>538</v>
      </c>
      <c r="AN410" t="s">
        <v>539</v>
      </c>
      <c r="AO410" t="s">
        <v>8088</v>
      </c>
      <c r="AP410" t="s">
        <v>8089</v>
      </c>
      <c r="AQ410" t="s">
        <v>74</v>
      </c>
      <c r="AR410" t="s">
        <v>8090</v>
      </c>
      <c r="AS410" t="s">
        <v>8091</v>
      </c>
      <c r="AT410" t="s">
        <v>8092</v>
      </c>
      <c r="AU410">
        <v>2023</v>
      </c>
      <c r="AV410">
        <v>199</v>
      </c>
      <c r="AW410">
        <v>2</v>
      </c>
      <c r="AX410" t="s">
        <v>74</v>
      </c>
      <c r="AY410" t="s">
        <v>74</v>
      </c>
      <c r="AZ410" t="s">
        <v>74</v>
      </c>
      <c r="BA410" t="s">
        <v>74</v>
      </c>
      <c r="BB410">
        <v>445</v>
      </c>
      <c r="BC410">
        <v>476</v>
      </c>
      <c r="BD410" t="s">
        <v>74</v>
      </c>
      <c r="BE410" t="s">
        <v>8093</v>
      </c>
      <c r="BF410" t="str">
        <f>HYPERLINK("http://dx.doi.org/10.1093/zoolinnean/zlad013","http://dx.doi.org/10.1093/zoolinnean/zlad013")</f>
        <v>http://dx.doi.org/10.1093/zoolinnean/zlad013</v>
      </c>
      <c r="BG410" t="s">
        <v>74</v>
      </c>
      <c r="BH410" t="s">
        <v>6115</v>
      </c>
      <c r="BI410">
        <v>32</v>
      </c>
      <c r="BJ410" t="s">
        <v>620</v>
      </c>
      <c r="BK410" t="s">
        <v>104</v>
      </c>
      <c r="BL410" t="s">
        <v>620</v>
      </c>
      <c r="BM410" t="s">
        <v>8094</v>
      </c>
      <c r="BN410" t="s">
        <v>74</v>
      </c>
      <c r="BO410" t="s">
        <v>74</v>
      </c>
      <c r="BP410" t="s">
        <v>74</v>
      </c>
      <c r="BQ410" t="s">
        <v>74</v>
      </c>
      <c r="BR410" t="s">
        <v>107</v>
      </c>
      <c r="BS410" t="s">
        <v>8095</v>
      </c>
      <c r="BT410" t="str">
        <f>HYPERLINK("https%3A%2F%2Fwww.webofscience.com%2Fwos%2Fwoscc%2Ffull-record%2FWOS:001026138800001","View Full Record in Web of Science")</f>
        <v>View Full Record in Web of Science</v>
      </c>
    </row>
    <row r="411" spans="1:72" x14ac:dyDescent="0.15">
      <c r="A411" t="s">
        <v>72</v>
      </c>
      <c r="B411" t="s">
        <v>8096</v>
      </c>
      <c r="C411" t="s">
        <v>74</v>
      </c>
      <c r="D411" t="s">
        <v>74</v>
      </c>
      <c r="E411" t="s">
        <v>74</v>
      </c>
      <c r="F411" t="s">
        <v>8097</v>
      </c>
      <c r="G411" t="s">
        <v>74</v>
      </c>
      <c r="H411" t="s">
        <v>74</v>
      </c>
      <c r="I411" t="s">
        <v>8098</v>
      </c>
      <c r="J411" t="s">
        <v>1763</v>
      </c>
      <c r="K411" t="s">
        <v>74</v>
      </c>
      <c r="L411" t="s">
        <v>74</v>
      </c>
      <c r="M411" t="s">
        <v>78</v>
      </c>
      <c r="N411" t="s">
        <v>79</v>
      </c>
      <c r="O411" t="s">
        <v>74</v>
      </c>
      <c r="P411" t="s">
        <v>74</v>
      </c>
      <c r="Q411" t="s">
        <v>74</v>
      </c>
      <c r="R411" t="s">
        <v>74</v>
      </c>
      <c r="S411" t="s">
        <v>74</v>
      </c>
      <c r="T411" t="s">
        <v>74</v>
      </c>
      <c r="U411" t="s">
        <v>8099</v>
      </c>
      <c r="V411" t="s">
        <v>8100</v>
      </c>
      <c r="W411" t="s">
        <v>8101</v>
      </c>
      <c r="X411" t="s">
        <v>8102</v>
      </c>
      <c r="Y411" t="s">
        <v>8103</v>
      </c>
      <c r="Z411" t="s">
        <v>8104</v>
      </c>
      <c r="AA411" t="s">
        <v>8105</v>
      </c>
      <c r="AB411" t="s">
        <v>8106</v>
      </c>
      <c r="AC411" t="s">
        <v>8107</v>
      </c>
      <c r="AD411" t="s">
        <v>8108</v>
      </c>
      <c r="AE411" t="s">
        <v>8109</v>
      </c>
      <c r="AF411" t="s">
        <v>74</v>
      </c>
      <c r="AG411">
        <v>85</v>
      </c>
      <c r="AH411">
        <v>1</v>
      </c>
      <c r="AI411">
        <v>1</v>
      </c>
      <c r="AJ411">
        <v>4</v>
      </c>
      <c r="AK411">
        <v>5</v>
      </c>
      <c r="AL411" t="s">
        <v>1775</v>
      </c>
      <c r="AM411" t="s">
        <v>1776</v>
      </c>
      <c r="AN411" t="s">
        <v>1777</v>
      </c>
      <c r="AO411" t="s">
        <v>1778</v>
      </c>
      <c r="AP411" t="s">
        <v>1779</v>
      </c>
      <c r="AQ411" t="s">
        <v>74</v>
      </c>
      <c r="AR411" t="s">
        <v>1763</v>
      </c>
      <c r="AS411" t="s">
        <v>1780</v>
      </c>
      <c r="AT411" t="s">
        <v>8028</v>
      </c>
      <c r="AU411">
        <v>2023</v>
      </c>
      <c r="AV411">
        <v>17</v>
      </c>
      <c r="AW411">
        <v>7</v>
      </c>
      <c r="AX411" t="s">
        <v>74</v>
      </c>
      <c r="AY411" t="s">
        <v>74</v>
      </c>
      <c r="AZ411" t="s">
        <v>74</v>
      </c>
      <c r="BA411" t="s">
        <v>74</v>
      </c>
      <c r="BB411">
        <v>2681</v>
      </c>
      <c r="BC411">
        <v>2700</v>
      </c>
      <c r="BD411" t="s">
        <v>74</v>
      </c>
      <c r="BE411" t="s">
        <v>8110</v>
      </c>
      <c r="BF411" t="str">
        <f>HYPERLINK("http://dx.doi.org/10.5194/tc-17-2681-2023","http://dx.doi.org/10.5194/tc-17-2681-2023")</f>
        <v>http://dx.doi.org/10.5194/tc-17-2681-2023</v>
      </c>
      <c r="BG411" t="s">
        <v>74</v>
      </c>
      <c r="BH411" t="s">
        <v>74</v>
      </c>
      <c r="BI411">
        <v>20</v>
      </c>
      <c r="BJ411" t="s">
        <v>1783</v>
      </c>
      <c r="BK411" t="s">
        <v>104</v>
      </c>
      <c r="BL411" t="s">
        <v>1784</v>
      </c>
      <c r="BM411" t="s">
        <v>8111</v>
      </c>
      <c r="BN411" t="s">
        <v>74</v>
      </c>
      <c r="BO411" t="s">
        <v>206</v>
      </c>
      <c r="BP411" t="s">
        <v>74</v>
      </c>
      <c r="BQ411" t="s">
        <v>74</v>
      </c>
      <c r="BR411" t="s">
        <v>107</v>
      </c>
      <c r="BS411" t="s">
        <v>8112</v>
      </c>
      <c r="BT411" t="str">
        <f>HYPERLINK("https%3A%2F%2Fwww.webofscience.com%2Fwos%2Fwoscc%2Ffull-record%2FWOS:001025946700001","View Full Record in Web of Science")</f>
        <v>View Full Record in Web of Science</v>
      </c>
    </row>
    <row r="412" spans="1:72" x14ac:dyDescent="0.15">
      <c r="A412" t="s">
        <v>72</v>
      </c>
      <c r="B412" t="s">
        <v>8113</v>
      </c>
      <c r="C412" t="s">
        <v>74</v>
      </c>
      <c r="D412" t="s">
        <v>74</v>
      </c>
      <c r="E412" t="s">
        <v>74</v>
      </c>
      <c r="F412" t="s">
        <v>8114</v>
      </c>
      <c r="G412" t="s">
        <v>74</v>
      </c>
      <c r="H412" t="s">
        <v>74</v>
      </c>
      <c r="I412" t="s">
        <v>8115</v>
      </c>
      <c r="J412" t="s">
        <v>1971</v>
      </c>
      <c r="K412" t="s">
        <v>74</v>
      </c>
      <c r="L412" t="s">
        <v>74</v>
      </c>
      <c r="M412" t="s">
        <v>78</v>
      </c>
      <c r="N412" t="s">
        <v>79</v>
      </c>
      <c r="O412" t="s">
        <v>74</v>
      </c>
      <c r="P412" t="s">
        <v>74</v>
      </c>
      <c r="Q412" t="s">
        <v>74</v>
      </c>
      <c r="R412" t="s">
        <v>74</v>
      </c>
      <c r="S412" t="s">
        <v>74</v>
      </c>
      <c r="T412" t="s">
        <v>8116</v>
      </c>
      <c r="U412" t="s">
        <v>8117</v>
      </c>
      <c r="V412" t="s">
        <v>8118</v>
      </c>
      <c r="W412" t="s">
        <v>8119</v>
      </c>
      <c r="X412" t="s">
        <v>8120</v>
      </c>
      <c r="Y412" t="s">
        <v>8121</v>
      </c>
      <c r="Z412" t="s">
        <v>8122</v>
      </c>
      <c r="AA412" t="s">
        <v>8123</v>
      </c>
      <c r="AB412" t="s">
        <v>8124</v>
      </c>
      <c r="AC412" t="s">
        <v>8125</v>
      </c>
      <c r="AD412" t="s">
        <v>8126</v>
      </c>
      <c r="AE412" t="s">
        <v>8127</v>
      </c>
      <c r="AF412" t="s">
        <v>74</v>
      </c>
      <c r="AG412">
        <v>109</v>
      </c>
      <c r="AH412">
        <v>2</v>
      </c>
      <c r="AI412">
        <v>2</v>
      </c>
      <c r="AJ412">
        <v>9</v>
      </c>
      <c r="AK412">
        <v>18</v>
      </c>
      <c r="AL412" t="s">
        <v>298</v>
      </c>
      <c r="AM412" t="s">
        <v>299</v>
      </c>
      <c r="AN412" t="s">
        <v>300</v>
      </c>
      <c r="AO412" t="s">
        <v>1984</v>
      </c>
      <c r="AP412" t="s">
        <v>1985</v>
      </c>
      <c r="AQ412" t="s">
        <v>74</v>
      </c>
      <c r="AR412" t="s">
        <v>1986</v>
      </c>
      <c r="AS412" t="s">
        <v>1987</v>
      </c>
      <c r="AT412" t="s">
        <v>1394</v>
      </c>
      <c r="AU412">
        <v>2023</v>
      </c>
      <c r="AV412">
        <v>61</v>
      </c>
      <c r="AW412" t="s">
        <v>8128</v>
      </c>
      <c r="AX412" t="s">
        <v>74</v>
      </c>
      <c r="AY412" t="s">
        <v>74</v>
      </c>
      <c r="AZ412" t="s">
        <v>74</v>
      </c>
      <c r="BA412" t="s">
        <v>74</v>
      </c>
      <c r="BB412">
        <v>5699</v>
      </c>
      <c r="BC412">
        <v>5714</v>
      </c>
      <c r="BD412" t="s">
        <v>74</v>
      </c>
      <c r="BE412" t="s">
        <v>8129</v>
      </c>
      <c r="BF412" t="str">
        <f>HYPERLINK("http://dx.doi.org/10.1007/s00382-023-06878-5","http://dx.doi.org/10.1007/s00382-023-06878-5")</f>
        <v>http://dx.doi.org/10.1007/s00382-023-06878-5</v>
      </c>
      <c r="BG412" t="s">
        <v>74</v>
      </c>
      <c r="BH412" t="s">
        <v>6115</v>
      </c>
      <c r="BI412">
        <v>16</v>
      </c>
      <c r="BJ412" t="s">
        <v>103</v>
      </c>
      <c r="BK412" t="s">
        <v>104</v>
      </c>
      <c r="BL412" t="s">
        <v>103</v>
      </c>
      <c r="BM412" t="s">
        <v>8130</v>
      </c>
      <c r="BN412" t="s">
        <v>74</v>
      </c>
      <c r="BO412" t="s">
        <v>418</v>
      </c>
      <c r="BP412" t="s">
        <v>74</v>
      </c>
      <c r="BQ412" t="s">
        <v>74</v>
      </c>
      <c r="BR412" t="s">
        <v>107</v>
      </c>
      <c r="BS412" t="s">
        <v>8131</v>
      </c>
      <c r="BT412" t="str">
        <f>HYPERLINK("https%3A%2F%2Fwww.webofscience.com%2Fwos%2Fwoscc%2Ffull-record%2FWOS:001025615500001","View Full Record in Web of Science")</f>
        <v>View Full Record in Web of Science</v>
      </c>
    </row>
    <row r="413" spans="1:72" x14ac:dyDescent="0.15">
      <c r="A413" t="s">
        <v>72</v>
      </c>
      <c r="B413" t="s">
        <v>8132</v>
      </c>
      <c r="C413" t="s">
        <v>74</v>
      </c>
      <c r="D413" t="s">
        <v>74</v>
      </c>
      <c r="E413" t="s">
        <v>74</v>
      </c>
      <c r="F413" t="s">
        <v>8133</v>
      </c>
      <c r="G413" t="s">
        <v>74</v>
      </c>
      <c r="H413" t="s">
        <v>74</v>
      </c>
      <c r="I413" t="s">
        <v>8134</v>
      </c>
      <c r="J413" t="s">
        <v>1763</v>
      </c>
      <c r="K413" t="s">
        <v>74</v>
      </c>
      <c r="L413" t="s">
        <v>74</v>
      </c>
      <c r="M413" t="s">
        <v>78</v>
      </c>
      <c r="N413" t="s">
        <v>79</v>
      </c>
      <c r="O413" t="s">
        <v>74</v>
      </c>
      <c r="P413" t="s">
        <v>74</v>
      </c>
      <c r="Q413" t="s">
        <v>74</v>
      </c>
      <c r="R413" t="s">
        <v>74</v>
      </c>
      <c r="S413" t="s">
        <v>74</v>
      </c>
      <c r="T413" t="s">
        <v>74</v>
      </c>
      <c r="U413" t="s">
        <v>8135</v>
      </c>
      <c r="V413" t="s">
        <v>8136</v>
      </c>
      <c r="W413" t="s">
        <v>8137</v>
      </c>
      <c r="X413" t="s">
        <v>8138</v>
      </c>
      <c r="Y413" t="s">
        <v>8139</v>
      </c>
      <c r="Z413" t="s">
        <v>8140</v>
      </c>
      <c r="AA413" t="s">
        <v>74</v>
      </c>
      <c r="AB413" t="s">
        <v>8141</v>
      </c>
      <c r="AC413" t="s">
        <v>8142</v>
      </c>
      <c r="AD413" t="s">
        <v>8143</v>
      </c>
      <c r="AE413" t="s">
        <v>8144</v>
      </c>
      <c r="AF413" t="s">
        <v>74</v>
      </c>
      <c r="AG413">
        <v>89</v>
      </c>
      <c r="AH413">
        <v>0</v>
      </c>
      <c r="AI413">
        <v>0</v>
      </c>
      <c r="AJ413">
        <v>1</v>
      </c>
      <c r="AK413">
        <v>5</v>
      </c>
      <c r="AL413" t="s">
        <v>1775</v>
      </c>
      <c r="AM413" t="s">
        <v>1776</v>
      </c>
      <c r="AN413" t="s">
        <v>1777</v>
      </c>
      <c r="AO413" t="s">
        <v>1778</v>
      </c>
      <c r="AP413" t="s">
        <v>1779</v>
      </c>
      <c r="AQ413" t="s">
        <v>74</v>
      </c>
      <c r="AR413" t="s">
        <v>1763</v>
      </c>
      <c r="AS413" t="s">
        <v>1780</v>
      </c>
      <c r="AT413" t="s">
        <v>8028</v>
      </c>
      <c r="AU413">
        <v>2023</v>
      </c>
      <c r="AV413">
        <v>17</v>
      </c>
      <c r="AW413">
        <v>7</v>
      </c>
      <c r="AX413" t="s">
        <v>74</v>
      </c>
      <c r="AY413" t="s">
        <v>74</v>
      </c>
      <c r="AZ413" t="s">
        <v>74</v>
      </c>
      <c r="BA413" t="s">
        <v>74</v>
      </c>
      <c r="BB413">
        <v>2645</v>
      </c>
      <c r="BC413">
        <v>2664</v>
      </c>
      <c r="BD413" t="s">
        <v>74</v>
      </c>
      <c r="BE413" t="s">
        <v>8145</v>
      </c>
      <c r="BF413" t="str">
        <f>HYPERLINK("http://dx.doi.org/10.5194/tc-17-2645-2023","http://dx.doi.org/10.5194/tc-17-2645-2023")</f>
        <v>http://dx.doi.org/10.5194/tc-17-2645-2023</v>
      </c>
      <c r="BG413" t="s">
        <v>74</v>
      </c>
      <c r="BH413" t="s">
        <v>74</v>
      </c>
      <c r="BI413">
        <v>20</v>
      </c>
      <c r="BJ413" t="s">
        <v>1783</v>
      </c>
      <c r="BK413" t="s">
        <v>104</v>
      </c>
      <c r="BL413" t="s">
        <v>1784</v>
      </c>
      <c r="BM413" t="s">
        <v>8146</v>
      </c>
      <c r="BN413" t="s">
        <v>74</v>
      </c>
      <c r="BO413" t="s">
        <v>2589</v>
      </c>
      <c r="BP413" t="s">
        <v>74</v>
      </c>
      <c r="BQ413" t="s">
        <v>74</v>
      </c>
      <c r="BR413" t="s">
        <v>107</v>
      </c>
      <c r="BS413" t="s">
        <v>8147</v>
      </c>
      <c r="BT413" t="str">
        <f>HYPERLINK("https%3A%2F%2Fwww.webofscience.com%2Fwos%2Fwoscc%2Ffull-record%2FWOS:001025829400001","View Full Record in Web of Science")</f>
        <v>View Full Record in Web of Science</v>
      </c>
    </row>
    <row r="414" spans="1:72" x14ac:dyDescent="0.15">
      <c r="A414" t="s">
        <v>72</v>
      </c>
      <c r="B414" t="s">
        <v>8148</v>
      </c>
      <c r="C414" t="s">
        <v>74</v>
      </c>
      <c r="D414" t="s">
        <v>74</v>
      </c>
      <c r="E414" t="s">
        <v>74</v>
      </c>
      <c r="F414" t="s">
        <v>8149</v>
      </c>
      <c r="G414" t="s">
        <v>74</v>
      </c>
      <c r="H414" t="s">
        <v>74</v>
      </c>
      <c r="I414" t="s">
        <v>8150</v>
      </c>
      <c r="J414" t="s">
        <v>2438</v>
      </c>
      <c r="K414" t="s">
        <v>74</v>
      </c>
      <c r="L414" t="s">
        <v>74</v>
      </c>
      <c r="M414" t="s">
        <v>78</v>
      </c>
      <c r="N414" t="s">
        <v>79</v>
      </c>
      <c r="O414" t="s">
        <v>74</v>
      </c>
      <c r="P414" t="s">
        <v>74</v>
      </c>
      <c r="Q414" t="s">
        <v>74</v>
      </c>
      <c r="R414" t="s">
        <v>74</v>
      </c>
      <c r="S414" t="s">
        <v>74</v>
      </c>
      <c r="T414" t="s">
        <v>8151</v>
      </c>
      <c r="U414" t="s">
        <v>8152</v>
      </c>
      <c r="V414" t="s">
        <v>8153</v>
      </c>
      <c r="W414" t="s">
        <v>8154</v>
      </c>
      <c r="X414" t="s">
        <v>8155</v>
      </c>
      <c r="Y414" t="s">
        <v>8156</v>
      </c>
      <c r="Z414" t="s">
        <v>8157</v>
      </c>
      <c r="AA414" t="s">
        <v>74</v>
      </c>
      <c r="AB414" t="s">
        <v>8158</v>
      </c>
      <c r="AC414" t="s">
        <v>8159</v>
      </c>
      <c r="AD414" t="s">
        <v>8160</v>
      </c>
      <c r="AE414" t="s">
        <v>8161</v>
      </c>
      <c r="AF414" t="s">
        <v>74</v>
      </c>
      <c r="AG414">
        <v>133</v>
      </c>
      <c r="AH414">
        <v>3</v>
      </c>
      <c r="AI414">
        <v>3</v>
      </c>
      <c r="AJ414">
        <v>6</v>
      </c>
      <c r="AK414">
        <v>8</v>
      </c>
      <c r="AL414" t="s">
        <v>172</v>
      </c>
      <c r="AM414" t="s">
        <v>173</v>
      </c>
      <c r="AN414" t="s">
        <v>174</v>
      </c>
      <c r="AO414" t="s">
        <v>2444</v>
      </c>
      <c r="AP414" t="s">
        <v>2445</v>
      </c>
      <c r="AQ414" t="s">
        <v>74</v>
      </c>
      <c r="AR414" t="s">
        <v>2446</v>
      </c>
      <c r="AS414" t="s">
        <v>2447</v>
      </c>
      <c r="AT414" t="s">
        <v>1810</v>
      </c>
      <c r="AU414">
        <v>2023</v>
      </c>
      <c r="AV414">
        <v>567</v>
      </c>
      <c r="AW414" t="s">
        <v>74</v>
      </c>
      <c r="AX414" t="s">
        <v>74</v>
      </c>
      <c r="AY414" t="s">
        <v>74</v>
      </c>
      <c r="AZ414" t="s">
        <v>74</v>
      </c>
      <c r="BA414" t="s">
        <v>74</v>
      </c>
      <c r="BB414" t="s">
        <v>74</v>
      </c>
      <c r="BC414" t="s">
        <v>74</v>
      </c>
      <c r="BD414">
        <v>151926</v>
      </c>
      <c r="BE414" t="s">
        <v>8162</v>
      </c>
      <c r="BF414" t="str">
        <f>HYPERLINK("http://dx.doi.org/10.1016/j.jembe.2023.151926","http://dx.doi.org/10.1016/j.jembe.2023.151926")</f>
        <v>http://dx.doi.org/10.1016/j.jembe.2023.151926</v>
      </c>
      <c r="BG414" t="s">
        <v>74</v>
      </c>
      <c r="BH414" t="s">
        <v>6115</v>
      </c>
      <c r="BI414">
        <v>13</v>
      </c>
      <c r="BJ414" t="s">
        <v>1707</v>
      </c>
      <c r="BK414" t="s">
        <v>104</v>
      </c>
      <c r="BL414" t="s">
        <v>1002</v>
      </c>
      <c r="BM414" t="s">
        <v>8163</v>
      </c>
      <c r="BN414" t="s">
        <v>74</v>
      </c>
      <c r="BO414" t="s">
        <v>74</v>
      </c>
      <c r="BP414" t="s">
        <v>74</v>
      </c>
      <c r="BQ414" t="s">
        <v>74</v>
      </c>
      <c r="BR414" t="s">
        <v>107</v>
      </c>
      <c r="BS414" t="s">
        <v>8164</v>
      </c>
      <c r="BT414" t="str">
        <f>HYPERLINK("https%3A%2F%2Fwww.webofscience.com%2Fwos%2Fwoscc%2Ffull-record%2FWOS:001039405800001","View Full Record in Web of Science")</f>
        <v>View Full Record in Web of Science</v>
      </c>
    </row>
    <row r="415" spans="1:72" x14ac:dyDescent="0.15">
      <c r="A415" t="s">
        <v>72</v>
      </c>
      <c r="B415" t="s">
        <v>8165</v>
      </c>
      <c r="C415" t="s">
        <v>74</v>
      </c>
      <c r="D415" t="s">
        <v>74</v>
      </c>
      <c r="E415" t="s">
        <v>74</v>
      </c>
      <c r="F415" t="s">
        <v>8166</v>
      </c>
      <c r="G415" t="s">
        <v>74</v>
      </c>
      <c r="H415" t="s">
        <v>74</v>
      </c>
      <c r="I415" t="s">
        <v>8167</v>
      </c>
      <c r="J415" t="s">
        <v>8168</v>
      </c>
      <c r="K415" t="s">
        <v>74</v>
      </c>
      <c r="L415" t="s">
        <v>74</v>
      </c>
      <c r="M415" t="s">
        <v>78</v>
      </c>
      <c r="N415" t="s">
        <v>79</v>
      </c>
      <c r="O415" t="s">
        <v>74</v>
      </c>
      <c r="P415" t="s">
        <v>74</v>
      </c>
      <c r="Q415" t="s">
        <v>74</v>
      </c>
      <c r="R415" t="s">
        <v>74</v>
      </c>
      <c r="S415" t="s">
        <v>74</v>
      </c>
      <c r="T415" t="s">
        <v>8169</v>
      </c>
      <c r="U415" t="s">
        <v>8170</v>
      </c>
      <c r="V415" t="s">
        <v>8171</v>
      </c>
      <c r="W415" t="s">
        <v>8172</v>
      </c>
      <c r="X415" t="s">
        <v>8173</v>
      </c>
      <c r="Y415" t="s">
        <v>8174</v>
      </c>
      <c r="Z415" t="s">
        <v>8175</v>
      </c>
      <c r="AA415" t="s">
        <v>8176</v>
      </c>
      <c r="AB415" t="s">
        <v>8177</v>
      </c>
      <c r="AC415" t="s">
        <v>8178</v>
      </c>
      <c r="AD415" t="s">
        <v>8179</v>
      </c>
      <c r="AE415" t="s">
        <v>8180</v>
      </c>
      <c r="AF415" t="s">
        <v>74</v>
      </c>
      <c r="AG415">
        <v>92</v>
      </c>
      <c r="AH415">
        <v>0</v>
      </c>
      <c r="AI415">
        <v>0</v>
      </c>
      <c r="AJ415">
        <v>1</v>
      </c>
      <c r="AK415">
        <v>3</v>
      </c>
      <c r="AL415" t="s">
        <v>2305</v>
      </c>
      <c r="AM415" t="s">
        <v>538</v>
      </c>
      <c r="AN415" t="s">
        <v>2306</v>
      </c>
      <c r="AO415" t="s">
        <v>8181</v>
      </c>
      <c r="AP415" t="s">
        <v>8182</v>
      </c>
      <c r="AQ415" t="s">
        <v>74</v>
      </c>
      <c r="AR415" t="s">
        <v>8183</v>
      </c>
      <c r="AS415" t="s">
        <v>8184</v>
      </c>
      <c r="AT415" t="s">
        <v>4689</v>
      </c>
      <c r="AU415">
        <v>2023</v>
      </c>
      <c r="AV415">
        <v>128</v>
      </c>
      <c r="AW415" t="s">
        <v>74</v>
      </c>
      <c r="AX415" t="s">
        <v>74</v>
      </c>
      <c r="AY415" t="s">
        <v>74</v>
      </c>
      <c r="AZ415" t="s">
        <v>74</v>
      </c>
      <c r="BA415" t="s">
        <v>74</v>
      </c>
      <c r="BB415" t="s">
        <v>74</v>
      </c>
      <c r="BC415" t="s">
        <v>74</v>
      </c>
      <c r="BD415">
        <v>104474</v>
      </c>
      <c r="BE415" t="s">
        <v>8185</v>
      </c>
      <c r="BF415" t="str">
        <f>HYPERLINK("http://dx.doi.org/10.1016/j.jsames.2023.104474","http://dx.doi.org/10.1016/j.jsames.2023.104474")</f>
        <v>http://dx.doi.org/10.1016/j.jsames.2023.104474</v>
      </c>
      <c r="BG415" t="s">
        <v>74</v>
      </c>
      <c r="BH415" t="s">
        <v>6115</v>
      </c>
      <c r="BI415">
        <v>12</v>
      </c>
      <c r="BJ415" t="s">
        <v>155</v>
      </c>
      <c r="BK415" t="s">
        <v>104</v>
      </c>
      <c r="BL415" t="s">
        <v>156</v>
      </c>
      <c r="BM415" t="s">
        <v>8186</v>
      </c>
      <c r="BN415" t="s">
        <v>74</v>
      </c>
      <c r="BO415" t="s">
        <v>74</v>
      </c>
      <c r="BP415" t="s">
        <v>74</v>
      </c>
      <c r="BQ415" t="s">
        <v>74</v>
      </c>
      <c r="BR415" t="s">
        <v>107</v>
      </c>
      <c r="BS415" t="s">
        <v>8187</v>
      </c>
      <c r="BT415" t="str">
        <f>HYPERLINK("https%3A%2F%2Fwww.webofscience.com%2Fwos%2Fwoscc%2Ffull-record%2FWOS:001040208300001","View Full Record in Web of Science")</f>
        <v>View Full Record in Web of Science</v>
      </c>
    </row>
    <row r="416" spans="1:72" x14ac:dyDescent="0.15">
      <c r="A416" t="s">
        <v>72</v>
      </c>
      <c r="B416" t="s">
        <v>8188</v>
      </c>
      <c r="C416" t="s">
        <v>74</v>
      </c>
      <c r="D416" t="s">
        <v>74</v>
      </c>
      <c r="E416" t="s">
        <v>74</v>
      </c>
      <c r="F416" t="s">
        <v>8189</v>
      </c>
      <c r="G416" t="s">
        <v>74</v>
      </c>
      <c r="H416" t="s">
        <v>74</v>
      </c>
      <c r="I416" t="s">
        <v>8190</v>
      </c>
      <c r="J416" t="s">
        <v>8191</v>
      </c>
      <c r="K416" t="s">
        <v>74</v>
      </c>
      <c r="L416" t="s">
        <v>74</v>
      </c>
      <c r="M416" t="s">
        <v>78</v>
      </c>
      <c r="N416" t="s">
        <v>79</v>
      </c>
      <c r="O416" t="s">
        <v>74</v>
      </c>
      <c r="P416" t="s">
        <v>74</v>
      </c>
      <c r="Q416" t="s">
        <v>74</v>
      </c>
      <c r="R416" t="s">
        <v>74</v>
      </c>
      <c r="S416" t="s">
        <v>74</v>
      </c>
      <c r="T416" t="s">
        <v>8192</v>
      </c>
      <c r="U416" t="s">
        <v>8193</v>
      </c>
      <c r="V416" t="s">
        <v>8194</v>
      </c>
      <c r="W416" t="s">
        <v>8195</v>
      </c>
      <c r="X416" t="s">
        <v>8196</v>
      </c>
      <c r="Y416" t="s">
        <v>8197</v>
      </c>
      <c r="Z416" t="s">
        <v>8198</v>
      </c>
      <c r="AA416" t="s">
        <v>74</v>
      </c>
      <c r="AB416" t="s">
        <v>74</v>
      </c>
      <c r="AC416" t="s">
        <v>74</v>
      </c>
      <c r="AD416" t="s">
        <v>74</v>
      </c>
      <c r="AE416" t="s">
        <v>74</v>
      </c>
      <c r="AF416" t="s">
        <v>74</v>
      </c>
      <c r="AG416">
        <v>244</v>
      </c>
      <c r="AH416">
        <v>9</v>
      </c>
      <c r="AI416">
        <v>9</v>
      </c>
      <c r="AJ416">
        <v>12</v>
      </c>
      <c r="AK416">
        <v>15</v>
      </c>
      <c r="AL416" t="s">
        <v>172</v>
      </c>
      <c r="AM416" t="s">
        <v>173</v>
      </c>
      <c r="AN416" t="s">
        <v>174</v>
      </c>
      <c r="AO416" t="s">
        <v>8199</v>
      </c>
      <c r="AP416" t="s">
        <v>8200</v>
      </c>
      <c r="AQ416" t="s">
        <v>74</v>
      </c>
      <c r="AR416" t="s">
        <v>8201</v>
      </c>
      <c r="AS416" t="s">
        <v>8202</v>
      </c>
      <c r="AT416" t="s">
        <v>4689</v>
      </c>
      <c r="AU416">
        <v>2023</v>
      </c>
      <c r="AV416">
        <v>120</v>
      </c>
      <c r="AW416" t="s">
        <v>74</v>
      </c>
      <c r="AX416" t="s">
        <v>74</v>
      </c>
      <c r="AY416" t="s">
        <v>74</v>
      </c>
      <c r="AZ416" t="s">
        <v>74</v>
      </c>
      <c r="BA416" t="s">
        <v>74</v>
      </c>
      <c r="BB416">
        <v>235</v>
      </c>
      <c r="BC416">
        <v>263</v>
      </c>
      <c r="BD416" t="s">
        <v>74</v>
      </c>
      <c r="BE416" t="s">
        <v>8203</v>
      </c>
      <c r="BF416" t="str">
        <f>HYPERLINK("http://dx.doi.org/10.1016/j.gr.2022.07.015","http://dx.doi.org/10.1016/j.gr.2022.07.015")</f>
        <v>http://dx.doi.org/10.1016/j.gr.2022.07.015</v>
      </c>
      <c r="BG416" t="s">
        <v>74</v>
      </c>
      <c r="BH416" t="s">
        <v>6115</v>
      </c>
      <c r="BI416">
        <v>29</v>
      </c>
      <c r="BJ416" t="s">
        <v>155</v>
      </c>
      <c r="BK416" t="s">
        <v>104</v>
      </c>
      <c r="BL416" t="s">
        <v>156</v>
      </c>
      <c r="BM416" t="s">
        <v>8204</v>
      </c>
      <c r="BN416" t="s">
        <v>74</v>
      </c>
      <c r="BO416" t="s">
        <v>2670</v>
      </c>
      <c r="BP416" t="s">
        <v>74</v>
      </c>
      <c r="BQ416" t="s">
        <v>74</v>
      </c>
      <c r="BR416" t="s">
        <v>107</v>
      </c>
      <c r="BS416" t="s">
        <v>8205</v>
      </c>
      <c r="BT416" t="str">
        <f>HYPERLINK("https%3A%2F%2Fwww.webofscience.com%2Fwos%2Fwoscc%2Ffull-record%2FWOS:001038027700001","View Full Record in Web of Science")</f>
        <v>View Full Record in Web of Science</v>
      </c>
    </row>
    <row r="417" spans="1:72" x14ac:dyDescent="0.15">
      <c r="A417" t="s">
        <v>72</v>
      </c>
      <c r="B417" t="s">
        <v>8206</v>
      </c>
      <c r="C417" t="s">
        <v>74</v>
      </c>
      <c r="D417" t="s">
        <v>74</v>
      </c>
      <c r="E417" t="s">
        <v>74</v>
      </c>
      <c r="F417" t="s">
        <v>8207</v>
      </c>
      <c r="G417" t="s">
        <v>74</v>
      </c>
      <c r="H417" t="s">
        <v>74</v>
      </c>
      <c r="I417" t="s">
        <v>8208</v>
      </c>
      <c r="J417" t="s">
        <v>8209</v>
      </c>
      <c r="K417" t="s">
        <v>74</v>
      </c>
      <c r="L417" t="s">
        <v>74</v>
      </c>
      <c r="M417" t="s">
        <v>78</v>
      </c>
      <c r="N417" t="s">
        <v>79</v>
      </c>
      <c r="O417" t="s">
        <v>74</v>
      </c>
      <c r="P417" t="s">
        <v>74</v>
      </c>
      <c r="Q417" t="s">
        <v>74</v>
      </c>
      <c r="R417" t="s">
        <v>74</v>
      </c>
      <c r="S417" t="s">
        <v>74</v>
      </c>
      <c r="T417" t="s">
        <v>8210</v>
      </c>
      <c r="U417" t="s">
        <v>8211</v>
      </c>
      <c r="V417" t="s">
        <v>8212</v>
      </c>
      <c r="W417" t="s">
        <v>8213</v>
      </c>
      <c r="X417" t="s">
        <v>8214</v>
      </c>
      <c r="Y417" t="s">
        <v>8215</v>
      </c>
      <c r="Z417" t="s">
        <v>8216</v>
      </c>
      <c r="AA417" t="s">
        <v>8217</v>
      </c>
      <c r="AB417" t="s">
        <v>8218</v>
      </c>
      <c r="AC417" t="s">
        <v>8219</v>
      </c>
      <c r="AD417" t="s">
        <v>8220</v>
      </c>
      <c r="AE417" t="s">
        <v>8221</v>
      </c>
      <c r="AF417" t="s">
        <v>74</v>
      </c>
      <c r="AG417">
        <v>36</v>
      </c>
      <c r="AH417">
        <v>0</v>
      </c>
      <c r="AI417">
        <v>0</v>
      </c>
      <c r="AJ417">
        <v>1</v>
      </c>
      <c r="AK417">
        <v>2</v>
      </c>
      <c r="AL417" t="s">
        <v>1477</v>
      </c>
      <c r="AM417" t="s">
        <v>1478</v>
      </c>
      <c r="AN417" t="s">
        <v>1479</v>
      </c>
      <c r="AO417" t="s">
        <v>8222</v>
      </c>
      <c r="AP417" t="s">
        <v>8223</v>
      </c>
      <c r="AQ417" t="s">
        <v>74</v>
      </c>
      <c r="AR417" t="s">
        <v>8224</v>
      </c>
      <c r="AS417" t="s">
        <v>8225</v>
      </c>
      <c r="AT417" t="s">
        <v>1859</v>
      </c>
      <c r="AU417">
        <v>2024</v>
      </c>
      <c r="AV417">
        <v>165</v>
      </c>
      <c r="AW417">
        <v>1</v>
      </c>
      <c r="AX417" t="s">
        <v>74</v>
      </c>
      <c r="AY417" t="s">
        <v>74</v>
      </c>
      <c r="AZ417" t="s">
        <v>74</v>
      </c>
      <c r="BA417" t="s">
        <v>74</v>
      </c>
      <c r="BB417">
        <v>105</v>
      </c>
      <c r="BC417">
        <v>113</v>
      </c>
      <c r="BD417" t="s">
        <v>74</v>
      </c>
      <c r="BE417" t="s">
        <v>8226</v>
      </c>
      <c r="BF417" t="str">
        <f>HYPERLINK("http://dx.doi.org/10.1007/s10336-023-02087-3","http://dx.doi.org/10.1007/s10336-023-02087-3")</f>
        <v>http://dx.doi.org/10.1007/s10336-023-02087-3</v>
      </c>
      <c r="BG417" t="s">
        <v>74</v>
      </c>
      <c r="BH417" t="s">
        <v>6115</v>
      </c>
      <c r="BI417">
        <v>9</v>
      </c>
      <c r="BJ417" t="s">
        <v>8227</v>
      </c>
      <c r="BK417" t="s">
        <v>104</v>
      </c>
      <c r="BL417" t="s">
        <v>620</v>
      </c>
      <c r="BM417" t="s">
        <v>8228</v>
      </c>
      <c r="BN417" t="s">
        <v>74</v>
      </c>
      <c r="BO417" t="s">
        <v>74</v>
      </c>
      <c r="BP417" t="s">
        <v>74</v>
      </c>
      <c r="BQ417" t="s">
        <v>74</v>
      </c>
      <c r="BR417" t="s">
        <v>107</v>
      </c>
      <c r="BS417" t="s">
        <v>8229</v>
      </c>
      <c r="BT417" t="str">
        <f>HYPERLINK("https%3A%2F%2Fwww.webofscience.com%2Fwos%2Fwoscc%2Ffull-record%2FWOS:001025548000001","View Full Record in Web of Science")</f>
        <v>View Full Record in Web of Science</v>
      </c>
    </row>
    <row r="418" spans="1:72" x14ac:dyDescent="0.15">
      <c r="A418" t="s">
        <v>72</v>
      </c>
      <c r="B418" t="s">
        <v>8230</v>
      </c>
      <c r="C418" t="s">
        <v>74</v>
      </c>
      <c r="D418" t="s">
        <v>74</v>
      </c>
      <c r="E418" t="s">
        <v>74</v>
      </c>
      <c r="F418" t="s">
        <v>8231</v>
      </c>
      <c r="G418" t="s">
        <v>74</v>
      </c>
      <c r="H418" t="s">
        <v>74</v>
      </c>
      <c r="I418" t="s">
        <v>8232</v>
      </c>
      <c r="J418" t="s">
        <v>8233</v>
      </c>
      <c r="K418" t="s">
        <v>74</v>
      </c>
      <c r="L418" t="s">
        <v>74</v>
      </c>
      <c r="M418" t="s">
        <v>78</v>
      </c>
      <c r="N418" t="s">
        <v>79</v>
      </c>
      <c r="O418" t="s">
        <v>74</v>
      </c>
      <c r="P418" t="s">
        <v>74</v>
      </c>
      <c r="Q418" t="s">
        <v>74</v>
      </c>
      <c r="R418" t="s">
        <v>74</v>
      </c>
      <c r="S418" t="s">
        <v>74</v>
      </c>
      <c r="T418" t="s">
        <v>8234</v>
      </c>
      <c r="U418" t="s">
        <v>8235</v>
      </c>
      <c r="V418" t="s">
        <v>8236</v>
      </c>
      <c r="W418" t="s">
        <v>8237</v>
      </c>
      <c r="X418" t="s">
        <v>8238</v>
      </c>
      <c r="Y418" t="s">
        <v>8239</v>
      </c>
      <c r="Z418" t="s">
        <v>8240</v>
      </c>
      <c r="AA418" t="s">
        <v>8241</v>
      </c>
      <c r="AB418" t="s">
        <v>8242</v>
      </c>
      <c r="AC418" t="s">
        <v>8243</v>
      </c>
      <c r="AD418" t="s">
        <v>8244</v>
      </c>
      <c r="AE418" t="s">
        <v>8245</v>
      </c>
      <c r="AF418" t="s">
        <v>74</v>
      </c>
      <c r="AG418">
        <v>128</v>
      </c>
      <c r="AH418">
        <v>1</v>
      </c>
      <c r="AI418">
        <v>1</v>
      </c>
      <c r="AJ418">
        <v>25</v>
      </c>
      <c r="AK418">
        <v>32</v>
      </c>
      <c r="AL418" t="s">
        <v>460</v>
      </c>
      <c r="AM418" t="s">
        <v>461</v>
      </c>
      <c r="AN418" t="s">
        <v>462</v>
      </c>
      <c r="AO418" t="s">
        <v>8246</v>
      </c>
      <c r="AP418" t="s">
        <v>8247</v>
      </c>
      <c r="AQ418" t="s">
        <v>74</v>
      </c>
      <c r="AR418" t="s">
        <v>8233</v>
      </c>
      <c r="AS418" t="s">
        <v>8248</v>
      </c>
      <c r="AT418" t="s">
        <v>97</v>
      </c>
      <c r="AU418">
        <v>2023</v>
      </c>
      <c r="AV418">
        <v>2023</v>
      </c>
      <c r="AW418">
        <v>9</v>
      </c>
      <c r="AX418" t="s">
        <v>74</v>
      </c>
      <c r="AY418" t="s">
        <v>74</v>
      </c>
      <c r="AZ418" t="s">
        <v>74</v>
      </c>
      <c r="BA418" t="s">
        <v>74</v>
      </c>
      <c r="BB418" t="s">
        <v>74</v>
      </c>
      <c r="BC418" t="s">
        <v>74</v>
      </c>
      <c r="BD418" t="s">
        <v>74</v>
      </c>
      <c r="BE418" t="s">
        <v>8249</v>
      </c>
      <c r="BF418" t="str">
        <f>HYPERLINK("http://dx.doi.org/10.1111/ecog.06568","http://dx.doi.org/10.1111/ecog.06568")</f>
        <v>http://dx.doi.org/10.1111/ecog.06568</v>
      </c>
      <c r="BG418" t="s">
        <v>74</v>
      </c>
      <c r="BH418" t="s">
        <v>6115</v>
      </c>
      <c r="BI418">
        <v>20</v>
      </c>
      <c r="BJ418" t="s">
        <v>3772</v>
      </c>
      <c r="BK418" t="s">
        <v>104</v>
      </c>
      <c r="BL418" t="s">
        <v>1905</v>
      </c>
      <c r="BM418" t="s">
        <v>8250</v>
      </c>
      <c r="BN418" t="s">
        <v>74</v>
      </c>
      <c r="BO418" t="s">
        <v>447</v>
      </c>
      <c r="BP418" t="s">
        <v>74</v>
      </c>
      <c r="BQ418" t="s">
        <v>74</v>
      </c>
      <c r="BR418" t="s">
        <v>107</v>
      </c>
      <c r="BS418" t="s">
        <v>8251</v>
      </c>
      <c r="BT418" t="str">
        <f>HYPERLINK("https%3A%2F%2Fwww.webofscience.com%2Fwos%2Fwoscc%2Ffull-record%2FWOS:001024907500001","View Full Record in Web of Science")</f>
        <v>View Full Record in Web of Science</v>
      </c>
    </row>
    <row r="419" spans="1:72" x14ac:dyDescent="0.15">
      <c r="A419" t="s">
        <v>72</v>
      </c>
      <c r="B419" t="s">
        <v>8252</v>
      </c>
      <c r="C419" t="s">
        <v>74</v>
      </c>
      <c r="D419" t="s">
        <v>74</v>
      </c>
      <c r="E419" t="s">
        <v>74</v>
      </c>
      <c r="F419" t="s">
        <v>8253</v>
      </c>
      <c r="G419" t="s">
        <v>74</v>
      </c>
      <c r="H419" t="s">
        <v>74</v>
      </c>
      <c r="I419" t="s">
        <v>8254</v>
      </c>
      <c r="J419" t="s">
        <v>8255</v>
      </c>
      <c r="K419" t="s">
        <v>74</v>
      </c>
      <c r="L419" t="s">
        <v>74</v>
      </c>
      <c r="M419" t="s">
        <v>78</v>
      </c>
      <c r="N419" t="s">
        <v>79</v>
      </c>
      <c r="O419" t="s">
        <v>74</v>
      </c>
      <c r="P419" t="s">
        <v>74</v>
      </c>
      <c r="Q419" t="s">
        <v>74</v>
      </c>
      <c r="R419" t="s">
        <v>74</v>
      </c>
      <c r="S419" t="s">
        <v>74</v>
      </c>
      <c r="T419" t="s">
        <v>8256</v>
      </c>
      <c r="U419" t="s">
        <v>8257</v>
      </c>
      <c r="V419" t="s">
        <v>8258</v>
      </c>
      <c r="W419" t="s">
        <v>8259</v>
      </c>
      <c r="X419" t="s">
        <v>8260</v>
      </c>
      <c r="Y419" t="s">
        <v>8261</v>
      </c>
      <c r="Z419" t="s">
        <v>8262</v>
      </c>
      <c r="AA419" t="s">
        <v>8263</v>
      </c>
      <c r="AB419" t="s">
        <v>8264</v>
      </c>
      <c r="AC419" t="s">
        <v>8265</v>
      </c>
      <c r="AD419" t="s">
        <v>8266</v>
      </c>
      <c r="AE419" t="s">
        <v>8267</v>
      </c>
      <c r="AF419" t="s">
        <v>74</v>
      </c>
      <c r="AG419">
        <v>58</v>
      </c>
      <c r="AH419">
        <v>0</v>
      </c>
      <c r="AI419">
        <v>0</v>
      </c>
      <c r="AJ419">
        <v>0</v>
      </c>
      <c r="AK419">
        <v>1</v>
      </c>
      <c r="AL419" t="s">
        <v>2118</v>
      </c>
      <c r="AM419" t="s">
        <v>2119</v>
      </c>
      <c r="AN419" t="s">
        <v>2120</v>
      </c>
      <c r="AO419" t="s">
        <v>8268</v>
      </c>
      <c r="AP419" t="s">
        <v>8269</v>
      </c>
      <c r="AQ419" t="s">
        <v>74</v>
      </c>
      <c r="AR419" t="s">
        <v>8270</v>
      </c>
      <c r="AS419" t="s">
        <v>8271</v>
      </c>
      <c r="AT419" t="s">
        <v>97</v>
      </c>
      <c r="AU419">
        <v>2023</v>
      </c>
      <c r="AV419">
        <v>200</v>
      </c>
      <c r="AW419" t="s">
        <v>74</v>
      </c>
      <c r="AX419" t="s">
        <v>74</v>
      </c>
      <c r="AY419" t="s">
        <v>74</v>
      </c>
      <c r="AZ419" t="s">
        <v>74</v>
      </c>
      <c r="BA419" t="s">
        <v>74</v>
      </c>
      <c r="BB419" t="s">
        <v>74</v>
      </c>
      <c r="BC419" t="s">
        <v>74</v>
      </c>
      <c r="BD419">
        <v>107970</v>
      </c>
      <c r="BE419" t="s">
        <v>8272</v>
      </c>
      <c r="BF419" t="str">
        <f>HYPERLINK("http://dx.doi.org/10.1016/j.jip.2023.107970","http://dx.doi.org/10.1016/j.jip.2023.107970")</f>
        <v>http://dx.doi.org/10.1016/j.jip.2023.107970</v>
      </c>
      <c r="BG419" t="s">
        <v>74</v>
      </c>
      <c r="BH419" t="s">
        <v>6115</v>
      </c>
      <c r="BI419">
        <v>12</v>
      </c>
      <c r="BJ419" t="s">
        <v>620</v>
      </c>
      <c r="BK419" t="s">
        <v>104</v>
      </c>
      <c r="BL419" t="s">
        <v>620</v>
      </c>
      <c r="BM419" t="s">
        <v>8273</v>
      </c>
      <c r="BN419">
        <v>37422088</v>
      </c>
      <c r="BO419" t="s">
        <v>936</v>
      </c>
      <c r="BP419" t="s">
        <v>74</v>
      </c>
      <c r="BQ419" t="s">
        <v>74</v>
      </c>
      <c r="BR419" t="s">
        <v>107</v>
      </c>
      <c r="BS419" t="s">
        <v>8274</v>
      </c>
      <c r="BT419" t="str">
        <f>HYPERLINK("https%3A%2F%2Fwww.webofscience.com%2Fwos%2Fwoscc%2Ffull-record%2FWOS:001039553700001","View Full Record in Web of Science")</f>
        <v>View Full Record in Web of Science</v>
      </c>
    </row>
    <row r="420" spans="1:72" x14ac:dyDescent="0.15">
      <c r="A420" t="s">
        <v>72</v>
      </c>
      <c r="B420" t="s">
        <v>8275</v>
      </c>
      <c r="C420" t="s">
        <v>74</v>
      </c>
      <c r="D420" t="s">
        <v>74</v>
      </c>
      <c r="E420" t="s">
        <v>74</v>
      </c>
      <c r="F420" t="s">
        <v>8276</v>
      </c>
      <c r="G420" t="s">
        <v>74</v>
      </c>
      <c r="H420" t="s">
        <v>74</v>
      </c>
      <c r="I420" t="s">
        <v>8277</v>
      </c>
      <c r="J420" t="s">
        <v>8278</v>
      </c>
      <c r="K420" t="s">
        <v>74</v>
      </c>
      <c r="L420" t="s">
        <v>74</v>
      </c>
      <c r="M420" t="s">
        <v>78</v>
      </c>
      <c r="N420" t="s">
        <v>79</v>
      </c>
      <c r="O420" t="s">
        <v>74</v>
      </c>
      <c r="P420" t="s">
        <v>74</v>
      </c>
      <c r="Q420" t="s">
        <v>74</v>
      </c>
      <c r="R420" t="s">
        <v>74</v>
      </c>
      <c r="S420" t="s">
        <v>74</v>
      </c>
      <c r="T420" t="s">
        <v>74</v>
      </c>
      <c r="U420" t="s">
        <v>8279</v>
      </c>
      <c r="V420" t="s">
        <v>8280</v>
      </c>
      <c r="W420" t="s">
        <v>8281</v>
      </c>
      <c r="X420" t="s">
        <v>8282</v>
      </c>
      <c r="Y420" t="s">
        <v>8283</v>
      </c>
      <c r="Z420" t="s">
        <v>8284</v>
      </c>
      <c r="AA420" t="s">
        <v>8285</v>
      </c>
      <c r="AB420" t="s">
        <v>8286</v>
      </c>
      <c r="AC420" t="s">
        <v>8287</v>
      </c>
      <c r="AD420" t="s">
        <v>8288</v>
      </c>
      <c r="AE420" t="s">
        <v>8289</v>
      </c>
      <c r="AF420" t="s">
        <v>74</v>
      </c>
      <c r="AG420">
        <v>87</v>
      </c>
      <c r="AH420">
        <v>5</v>
      </c>
      <c r="AI420">
        <v>5</v>
      </c>
      <c r="AJ420">
        <v>2</v>
      </c>
      <c r="AK420">
        <v>8</v>
      </c>
      <c r="AL420" t="s">
        <v>2617</v>
      </c>
      <c r="AM420" t="s">
        <v>1528</v>
      </c>
      <c r="AN420" t="s">
        <v>2618</v>
      </c>
      <c r="AO420" t="s">
        <v>74</v>
      </c>
      <c r="AP420" t="s">
        <v>8290</v>
      </c>
      <c r="AQ420" t="s">
        <v>74</v>
      </c>
      <c r="AR420" t="s">
        <v>8291</v>
      </c>
      <c r="AS420" t="s">
        <v>8292</v>
      </c>
      <c r="AT420" t="s">
        <v>8293</v>
      </c>
      <c r="AU420">
        <v>2023</v>
      </c>
      <c r="AV420">
        <v>3</v>
      </c>
      <c r="AW420">
        <v>1</v>
      </c>
      <c r="AX420" t="s">
        <v>74</v>
      </c>
      <c r="AY420" t="s">
        <v>74</v>
      </c>
      <c r="AZ420" t="s">
        <v>74</v>
      </c>
      <c r="BA420" t="s">
        <v>74</v>
      </c>
      <c r="BB420" t="s">
        <v>74</v>
      </c>
      <c r="BC420" t="s">
        <v>74</v>
      </c>
      <c r="BD420">
        <v>70</v>
      </c>
      <c r="BE420" t="s">
        <v>8294</v>
      </c>
      <c r="BF420" t="str">
        <f>HYPERLINK("http://dx.doi.org/10.1038/s43705-023-00274-0","http://dx.doi.org/10.1038/s43705-023-00274-0")</f>
        <v>http://dx.doi.org/10.1038/s43705-023-00274-0</v>
      </c>
      <c r="BG420" t="s">
        <v>74</v>
      </c>
      <c r="BH420" t="s">
        <v>74</v>
      </c>
      <c r="BI420">
        <v>11</v>
      </c>
      <c r="BJ420" t="s">
        <v>8295</v>
      </c>
      <c r="BK420" t="s">
        <v>518</v>
      </c>
      <c r="BL420" t="s">
        <v>8296</v>
      </c>
      <c r="BM420" t="s">
        <v>8297</v>
      </c>
      <c r="BN420">
        <v>37422553</v>
      </c>
      <c r="BO420" t="s">
        <v>821</v>
      </c>
      <c r="BP420" t="s">
        <v>74</v>
      </c>
      <c r="BQ420" t="s">
        <v>74</v>
      </c>
      <c r="BR420" t="s">
        <v>107</v>
      </c>
      <c r="BS420" t="s">
        <v>8298</v>
      </c>
      <c r="BT420" t="str">
        <f>HYPERLINK("https%3A%2F%2Fwww.webofscience.com%2Fwos%2Fwoscc%2Ffull-record%2FWOS:001052226800001","View Full Record in Web of Science")</f>
        <v>View Full Record in Web of Science</v>
      </c>
    </row>
    <row r="421" spans="1:72" x14ac:dyDescent="0.15">
      <c r="A421" t="s">
        <v>72</v>
      </c>
      <c r="B421" t="s">
        <v>8299</v>
      </c>
      <c r="C421" t="s">
        <v>74</v>
      </c>
      <c r="D421" t="s">
        <v>74</v>
      </c>
      <c r="E421" t="s">
        <v>74</v>
      </c>
      <c r="F421" t="s">
        <v>8300</v>
      </c>
      <c r="G421" t="s">
        <v>74</v>
      </c>
      <c r="H421" t="s">
        <v>74</v>
      </c>
      <c r="I421" t="s">
        <v>8301</v>
      </c>
      <c r="J421" t="s">
        <v>8302</v>
      </c>
      <c r="K421" t="s">
        <v>74</v>
      </c>
      <c r="L421" t="s">
        <v>74</v>
      </c>
      <c r="M421" t="s">
        <v>78</v>
      </c>
      <c r="N421" t="s">
        <v>79</v>
      </c>
      <c r="O421" t="s">
        <v>74</v>
      </c>
      <c r="P421" t="s">
        <v>74</v>
      </c>
      <c r="Q421" t="s">
        <v>74</v>
      </c>
      <c r="R421" t="s">
        <v>74</v>
      </c>
      <c r="S421" t="s">
        <v>74</v>
      </c>
      <c r="T421" t="s">
        <v>8303</v>
      </c>
      <c r="U421" t="s">
        <v>8304</v>
      </c>
      <c r="V421" t="s">
        <v>8305</v>
      </c>
      <c r="W421" t="s">
        <v>8306</v>
      </c>
      <c r="X421" t="s">
        <v>8307</v>
      </c>
      <c r="Y421" t="s">
        <v>8308</v>
      </c>
      <c r="Z421" t="s">
        <v>8309</v>
      </c>
      <c r="AA421" t="s">
        <v>74</v>
      </c>
      <c r="AB421" t="s">
        <v>8310</v>
      </c>
      <c r="AC421" t="s">
        <v>8311</v>
      </c>
      <c r="AD421" t="s">
        <v>8312</v>
      </c>
      <c r="AE421" t="s">
        <v>8313</v>
      </c>
      <c r="AF421" t="s">
        <v>74</v>
      </c>
      <c r="AG421">
        <v>137</v>
      </c>
      <c r="AH421">
        <v>3</v>
      </c>
      <c r="AI421">
        <v>3</v>
      </c>
      <c r="AJ421">
        <v>3</v>
      </c>
      <c r="AK421">
        <v>7</v>
      </c>
      <c r="AL421" t="s">
        <v>2118</v>
      </c>
      <c r="AM421" t="s">
        <v>2119</v>
      </c>
      <c r="AN421" t="s">
        <v>2120</v>
      </c>
      <c r="AO421" t="s">
        <v>8314</v>
      </c>
      <c r="AP421" t="s">
        <v>8315</v>
      </c>
      <c r="AQ421" t="s">
        <v>74</v>
      </c>
      <c r="AR421" t="s">
        <v>8316</v>
      </c>
      <c r="AS421" t="s">
        <v>8317</v>
      </c>
      <c r="AT421" t="s">
        <v>97</v>
      </c>
      <c r="AU421">
        <v>2023</v>
      </c>
      <c r="AV421">
        <v>186</v>
      </c>
      <c r="AW421" t="s">
        <v>74</v>
      </c>
      <c r="AX421" t="s">
        <v>74</v>
      </c>
      <c r="AY421" t="s">
        <v>74</v>
      </c>
      <c r="AZ421" t="s">
        <v>74</v>
      </c>
      <c r="BA421" t="s">
        <v>74</v>
      </c>
      <c r="BB421" t="s">
        <v>74</v>
      </c>
      <c r="BC421" t="s">
        <v>74</v>
      </c>
      <c r="BD421">
        <v>107855</v>
      </c>
      <c r="BE421" t="s">
        <v>8318</v>
      </c>
      <c r="BF421" t="str">
        <f>HYPERLINK("http://dx.doi.org/10.1016/j.ympev.2023.107855","http://dx.doi.org/10.1016/j.ympev.2023.107855")</f>
        <v>http://dx.doi.org/10.1016/j.ympev.2023.107855</v>
      </c>
      <c r="BG421" t="s">
        <v>74</v>
      </c>
      <c r="BH421" t="s">
        <v>6115</v>
      </c>
      <c r="BI421">
        <v>21</v>
      </c>
      <c r="BJ421" t="s">
        <v>8319</v>
      </c>
      <c r="BK421" t="s">
        <v>104</v>
      </c>
      <c r="BL421" t="s">
        <v>8319</v>
      </c>
      <c r="BM421" t="s">
        <v>8320</v>
      </c>
      <c r="BN421">
        <v>37311493</v>
      </c>
      <c r="BO421" t="s">
        <v>74</v>
      </c>
      <c r="BP421" t="s">
        <v>74</v>
      </c>
      <c r="BQ421" t="s">
        <v>74</v>
      </c>
      <c r="BR421" t="s">
        <v>107</v>
      </c>
      <c r="BS421" t="s">
        <v>8321</v>
      </c>
      <c r="BT421" t="str">
        <f>HYPERLINK("https%3A%2F%2Fwww.webofscience.com%2Fwos%2Fwoscc%2Ffull-record%2FWOS:001039670000001","View Full Record in Web of Science")</f>
        <v>View Full Record in Web of Science</v>
      </c>
    </row>
    <row r="422" spans="1:72" x14ac:dyDescent="0.15">
      <c r="A422" t="s">
        <v>72</v>
      </c>
      <c r="B422" t="s">
        <v>8322</v>
      </c>
      <c r="C422" t="s">
        <v>74</v>
      </c>
      <c r="D422" t="s">
        <v>74</v>
      </c>
      <c r="E422" t="s">
        <v>74</v>
      </c>
      <c r="F422" t="s">
        <v>8323</v>
      </c>
      <c r="G422" t="s">
        <v>74</v>
      </c>
      <c r="H422" t="s">
        <v>74</v>
      </c>
      <c r="I422" t="s">
        <v>8324</v>
      </c>
      <c r="J422" t="s">
        <v>8325</v>
      </c>
      <c r="K422" t="s">
        <v>74</v>
      </c>
      <c r="L422" t="s">
        <v>74</v>
      </c>
      <c r="M422" t="s">
        <v>78</v>
      </c>
      <c r="N422" t="s">
        <v>79</v>
      </c>
      <c r="O422" t="s">
        <v>74</v>
      </c>
      <c r="P422" t="s">
        <v>74</v>
      </c>
      <c r="Q422" t="s">
        <v>74</v>
      </c>
      <c r="R422" t="s">
        <v>74</v>
      </c>
      <c r="S422" t="s">
        <v>74</v>
      </c>
      <c r="T422" t="s">
        <v>8326</v>
      </c>
      <c r="U422" t="s">
        <v>8327</v>
      </c>
      <c r="V422" t="s">
        <v>8328</v>
      </c>
      <c r="W422" t="s">
        <v>8329</v>
      </c>
      <c r="X422" t="s">
        <v>8330</v>
      </c>
      <c r="Y422" t="s">
        <v>8331</v>
      </c>
      <c r="Z422" t="s">
        <v>8332</v>
      </c>
      <c r="AA422" t="s">
        <v>74</v>
      </c>
      <c r="AB422" t="s">
        <v>8333</v>
      </c>
      <c r="AC422" t="s">
        <v>74</v>
      </c>
      <c r="AD422" t="s">
        <v>74</v>
      </c>
      <c r="AE422" t="s">
        <v>74</v>
      </c>
      <c r="AF422" t="s">
        <v>74</v>
      </c>
      <c r="AG422">
        <v>49</v>
      </c>
      <c r="AH422">
        <v>0</v>
      </c>
      <c r="AI422">
        <v>0</v>
      </c>
      <c r="AJ422">
        <v>38</v>
      </c>
      <c r="AK422">
        <v>53</v>
      </c>
      <c r="AL422" t="s">
        <v>172</v>
      </c>
      <c r="AM422" t="s">
        <v>173</v>
      </c>
      <c r="AN422" t="s">
        <v>174</v>
      </c>
      <c r="AO422" t="s">
        <v>8334</v>
      </c>
      <c r="AP422" t="s">
        <v>74</v>
      </c>
      <c r="AQ422" t="s">
        <v>74</v>
      </c>
      <c r="AR422" t="s">
        <v>8335</v>
      </c>
      <c r="AS422" t="s">
        <v>8336</v>
      </c>
      <c r="AT422" t="s">
        <v>4689</v>
      </c>
      <c r="AU422">
        <v>2023</v>
      </c>
      <c r="AV422">
        <v>42</v>
      </c>
      <c r="AW422" t="s">
        <v>74</v>
      </c>
      <c r="AX422" t="s">
        <v>74</v>
      </c>
      <c r="AY422" t="s">
        <v>74</v>
      </c>
      <c r="AZ422" t="s">
        <v>74</v>
      </c>
      <c r="BA422" t="s">
        <v>74</v>
      </c>
      <c r="BB422" t="s">
        <v>74</v>
      </c>
      <c r="BC422" t="s">
        <v>74</v>
      </c>
      <c r="BD422">
        <v>100840</v>
      </c>
      <c r="BE422" t="s">
        <v>8337</v>
      </c>
      <c r="BF422" t="str">
        <f>HYPERLINK("http://dx.doi.org/10.1016/j.cogsc.2023.100840","http://dx.doi.org/10.1016/j.cogsc.2023.100840")</f>
        <v>http://dx.doi.org/10.1016/j.cogsc.2023.100840</v>
      </c>
      <c r="BG422" t="s">
        <v>74</v>
      </c>
      <c r="BH422" t="s">
        <v>6115</v>
      </c>
      <c r="BI422">
        <v>8</v>
      </c>
      <c r="BJ422" t="s">
        <v>8338</v>
      </c>
      <c r="BK422" t="s">
        <v>104</v>
      </c>
      <c r="BL422" t="s">
        <v>8339</v>
      </c>
      <c r="BM422" t="s">
        <v>8340</v>
      </c>
      <c r="BN422" t="s">
        <v>74</v>
      </c>
      <c r="BO422" t="s">
        <v>74</v>
      </c>
      <c r="BP422" t="s">
        <v>74</v>
      </c>
      <c r="BQ422" t="s">
        <v>74</v>
      </c>
      <c r="BR422" t="s">
        <v>107</v>
      </c>
      <c r="BS422" t="s">
        <v>8341</v>
      </c>
      <c r="BT422" t="str">
        <f>HYPERLINK("https%3A%2F%2Fwww.webofscience.com%2Fwos%2Fwoscc%2Ffull-record%2FWOS:001039302900001","View Full Record in Web of Science")</f>
        <v>View Full Record in Web of Science</v>
      </c>
    </row>
    <row r="423" spans="1:72" x14ac:dyDescent="0.15">
      <c r="A423" t="s">
        <v>72</v>
      </c>
      <c r="B423" t="s">
        <v>8342</v>
      </c>
      <c r="C423" t="s">
        <v>74</v>
      </c>
      <c r="D423" t="s">
        <v>74</v>
      </c>
      <c r="E423" t="s">
        <v>74</v>
      </c>
      <c r="F423" t="s">
        <v>8343</v>
      </c>
      <c r="G423" t="s">
        <v>74</v>
      </c>
      <c r="H423" t="s">
        <v>74</v>
      </c>
      <c r="I423" t="s">
        <v>8344</v>
      </c>
      <c r="J423" t="s">
        <v>8345</v>
      </c>
      <c r="K423" t="s">
        <v>74</v>
      </c>
      <c r="L423" t="s">
        <v>74</v>
      </c>
      <c r="M423" t="s">
        <v>78</v>
      </c>
      <c r="N423" t="s">
        <v>3197</v>
      </c>
      <c r="O423" t="s">
        <v>74</v>
      </c>
      <c r="P423" t="s">
        <v>74</v>
      </c>
      <c r="Q423" t="s">
        <v>74</v>
      </c>
      <c r="R423" t="s">
        <v>74</v>
      </c>
      <c r="S423" t="s">
        <v>74</v>
      </c>
      <c r="T423" t="s">
        <v>8346</v>
      </c>
      <c r="U423" t="s">
        <v>74</v>
      </c>
      <c r="V423" t="s">
        <v>8347</v>
      </c>
      <c r="W423" t="s">
        <v>8348</v>
      </c>
      <c r="X423" t="s">
        <v>8349</v>
      </c>
      <c r="Y423" t="s">
        <v>8350</v>
      </c>
      <c r="Z423" t="s">
        <v>8351</v>
      </c>
      <c r="AA423" t="s">
        <v>74</v>
      </c>
      <c r="AB423" t="s">
        <v>74</v>
      </c>
      <c r="AC423" t="s">
        <v>8352</v>
      </c>
      <c r="AD423" t="s">
        <v>8353</v>
      </c>
      <c r="AE423" t="s">
        <v>8354</v>
      </c>
      <c r="AF423" t="s">
        <v>74</v>
      </c>
      <c r="AG423">
        <v>7</v>
      </c>
      <c r="AH423">
        <v>0</v>
      </c>
      <c r="AI423">
        <v>0</v>
      </c>
      <c r="AJ423">
        <v>2</v>
      </c>
      <c r="AK423">
        <v>3</v>
      </c>
      <c r="AL423" t="s">
        <v>172</v>
      </c>
      <c r="AM423" t="s">
        <v>173</v>
      </c>
      <c r="AN423" t="s">
        <v>174</v>
      </c>
      <c r="AO423" t="s">
        <v>8355</v>
      </c>
      <c r="AP423" t="s">
        <v>74</v>
      </c>
      <c r="AQ423" t="s">
        <v>74</v>
      </c>
      <c r="AR423" t="s">
        <v>8356</v>
      </c>
      <c r="AS423" t="s">
        <v>8357</v>
      </c>
      <c r="AT423" t="s">
        <v>4689</v>
      </c>
      <c r="AU423">
        <v>2023</v>
      </c>
      <c r="AV423">
        <v>49</v>
      </c>
      <c r="AW423" t="s">
        <v>74</v>
      </c>
      <c r="AX423" t="s">
        <v>74</v>
      </c>
      <c r="AY423" t="s">
        <v>74</v>
      </c>
      <c r="AZ423" t="s">
        <v>74</v>
      </c>
      <c r="BA423" t="s">
        <v>74</v>
      </c>
      <c r="BB423" t="s">
        <v>74</v>
      </c>
      <c r="BC423" t="s">
        <v>74</v>
      </c>
      <c r="BD423">
        <v>109351</v>
      </c>
      <c r="BE423" t="s">
        <v>8358</v>
      </c>
      <c r="BF423" t="str">
        <f>HYPERLINK("http://dx.doi.org/10.1016/j.dib.2023.109351","http://dx.doi.org/10.1016/j.dib.2023.109351")</f>
        <v>http://dx.doi.org/10.1016/j.dib.2023.109351</v>
      </c>
      <c r="BG423" t="s">
        <v>74</v>
      </c>
      <c r="BH423" t="s">
        <v>6115</v>
      </c>
      <c r="BI423">
        <v>7</v>
      </c>
      <c r="BJ423" t="s">
        <v>1881</v>
      </c>
      <c r="BK423" t="s">
        <v>518</v>
      </c>
      <c r="BL423" t="s">
        <v>1882</v>
      </c>
      <c r="BM423" t="s">
        <v>8359</v>
      </c>
      <c r="BN423">
        <v>37456107</v>
      </c>
      <c r="BO423" t="s">
        <v>181</v>
      </c>
      <c r="BP423" t="s">
        <v>74</v>
      </c>
      <c r="BQ423" t="s">
        <v>74</v>
      </c>
      <c r="BR423" t="s">
        <v>107</v>
      </c>
      <c r="BS423" t="s">
        <v>8360</v>
      </c>
      <c r="BT423" t="str">
        <f>HYPERLINK("https%3A%2F%2Fwww.webofscience.com%2Fwos%2Fwoscc%2Ffull-record%2FWOS:001037403200001","View Full Record in Web of Science")</f>
        <v>View Full Record in Web of Science</v>
      </c>
    </row>
    <row r="424" spans="1:72" x14ac:dyDescent="0.15">
      <c r="A424" t="s">
        <v>72</v>
      </c>
      <c r="B424" t="s">
        <v>8361</v>
      </c>
      <c r="C424" t="s">
        <v>74</v>
      </c>
      <c r="D424" t="s">
        <v>74</v>
      </c>
      <c r="E424" t="s">
        <v>74</v>
      </c>
      <c r="F424" t="s">
        <v>8362</v>
      </c>
      <c r="G424" t="s">
        <v>74</v>
      </c>
      <c r="H424" t="s">
        <v>74</v>
      </c>
      <c r="I424" t="s">
        <v>8363</v>
      </c>
      <c r="J424" t="s">
        <v>4066</v>
      </c>
      <c r="K424" t="s">
        <v>74</v>
      </c>
      <c r="L424" t="s">
        <v>74</v>
      </c>
      <c r="M424" t="s">
        <v>78</v>
      </c>
      <c r="N424" t="s">
        <v>424</v>
      </c>
      <c r="O424" t="s">
        <v>74</v>
      </c>
      <c r="P424" t="s">
        <v>74</v>
      </c>
      <c r="Q424" t="s">
        <v>74</v>
      </c>
      <c r="R424" t="s">
        <v>74</v>
      </c>
      <c r="S424" t="s">
        <v>74</v>
      </c>
      <c r="T424" t="s">
        <v>8364</v>
      </c>
      <c r="U424" t="s">
        <v>8365</v>
      </c>
      <c r="V424" t="s">
        <v>8366</v>
      </c>
      <c r="W424" t="s">
        <v>8367</v>
      </c>
      <c r="X424" t="s">
        <v>8368</v>
      </c>
      <c r="Y424" t="s">
        <v>8369</v>
      </c>
      <c r="Z424" t="s">
        <v>8370</v>
      </c>
      <c r="AA424" t="s">
        <v>8371</v>
      </c>
      <c r="AB424" t="s">
        <v>74</v>
      </c>
      <c r="AC424" t="s">
        <v>8372</v>
      </c>
      <c r="AD424" t="s">
        <v>8373</v>
      </c>
      <c r="AE424" t="s">
        <v>8374</v>
      </c>
      <c r="AF424" t="s">
        <v>74</v>
      </c>
      <c r="AG424">
        <v>105</v>
      </c>
      <c r="AH424">
        <v>3</v>
      </c>
      <c r="AI424">
        <v>3</v>
      </c>
      <c r="AJ424">
        <v>10</v>
      </c>
      <c r="AK424">
        <v>17</v>
      </c>
      <c r="AL424" t="s">
        <v>2305</v>
      </c>
      <c r="AM424" t="s">
        <v>538</v>
      </c>
      <c r="AN424" t="s">
        <v>2306</v>
      </c>
      <c r="AO424" t="s">
        <v>4078</v>
      </c>
      <c r="AP424" t="s">
        <v>4079</v>
      </c>
      <c r="AQ424" t="s">
        <v>74</v>
      </c>
      <c r="AR424" t="s">
        <v>4080</v>
      </c>
      <c r="AS424" t="s">
        <v>4081</v>
      </c>
      <c r="AT424" t="s">
        <v>4689</v>
      </c>
      <c r="AU424">
        <v>2023</v>
      </c>
      <c r="AV424">
        <v>216</v>
      </c>
      <c r="AW424" t="s">
        <v>74</v>
      </c>
      <c r="AX424" t="s">
        <v>74</v>
      </c>
      <c r="AY424" t="s">
        <v>74</v>
      </c>
      <c r="AZ424" t="s">
        <v>74</v>
      </c>
      <c r="BA424" t="s">
        <v>74</v>
      </c>
      <c r="BB424" t="s">
        <v>74</v>
      </c>
      <c r="BC424" t="s">
        <v>74</v>
      </c>
      <c r="BD424">
        <v>103081</v>
      </c>
      <c r="BE424" t="s">
        <v>8375</v>
      </c>
      <c r="BF424" t="str">
        <f>HYPERLINK("http://dx.doi.org/10.1016/j.pocean.2023.103081","http://dx.doi.org/10.1016/j.pocean.2023.103081")</f>
        <v>http://dx.doi.org/10.1016/j.pocean.2023.103081</v>
      </c>
      <c r="BG424" t="s">
        <v>74</v>
      </c>
      <c r="BH424" t="s">
        <v>6115</v>
      </c>
      <c r="BI424">
        <v>13</v>
      </c>
      <c r="BJ424" t="s">
        <v>306</v>
      </c>
      <c r="BK424" t="s">
        <v>104</v>
      </c>
      <c r="BL424" t="s">
        <v>306</v>
      </c>
      <c r="BM424" t="s">
        <v>8376</v>
      </c>
      <c r="BN424" t="s">
        <v>74</v>
      </c>
      <c r="BO424" t="s">
        <v>74</v>
      </c>
      <c r="BP424" t="s">
        <v>74</v>
      </c>
      <c r="BQ424" t="s">
        <v>74</v>
      </c>
      <c r="BR424" t="s">
        <v>107</v>
      </c>
      <c r="BS424" t="s">
        <v>8377</v>
      </c>
      <c r="BT424" t="str">
        <f>HYPERLINK("https%3A%2F%2Fwww.webofscience.com%2Fwos%2Fwoscc%2Ffull-record%2FWOS:001037388500001","View Full Record in Web of Science")</f>
        <v>View Full Record in Web of Science</v>
      </c>
    </row>
    <row r="425" spans="1:72" x14ac:dyDescent="0.15">
      <c r="A425" t="s">
        <v>72</v>
      </c>
      <c r="B425" t="s">
        <v>8378</v>
      </c>
      <c r="C425" t="s">
        <v>74</v>
      </c>
      <c r="D425" t="s">
        <v>74</v>
      </c>
      <c r="E425" t="s">
        <v>74</v>
      </c>
      <c r="F425" t="s">
        <v>8379</v>
      </c>
      <c r="G425" t="s">
        <v>74</v>
      </c>
      <c r="H425" t="s">
        <v>74</v>
      </c>
      <c r="I425" t="s">
        <v>8380</v>
      </c>
      <c r="J425" t="s">
        <v>8381</v>
      </c>
      <c r="K425" t="s">
        <v>74</v>
      </c>
      <c r="L425" t="s">
        <v>74</v>
      </c>
      <c r="M425" t="s">
        <v>78</v>
      </c>
      <c r="N425" t="s">
        <v>79</v>
      </c>
      <c r="O425" t="s">
        <v>74</v>
      </c>
      <c r="P425" t="s">
        <v>74</v>
      </c>
      <c r="Q425" t="s">
        <v>74</v>
      </c>
      <c r="R425" t="s">
        <v>74</v>
      </c>
      <c r="S425" t="s">
        <v>74</v>
      </c>
      <c r="T425" t="s">
        <v>8382</v>
      </c>
      <c r="U425" t="s">
        <v>8383</v>
      </c>
      <c r="V425" t="s">
        <v>8384</v>
      </c>
      <c r="W425" t="s">
        <v>8385</v>
      </c>
      <c r="X425" t="s">
        <v>8386</v>
      </c>
      <c r="Y425" t="s">
        <v>8387</v>
      </c>
      <c r="Z425" t="s">
        <v>8388</v>
      </c>
      <c r="AA425" t="s">
        <v>74</v>
      </c>
      <c r="AB425" t="s">
        <v>74</v>
      </c>
      <c r="AC425" t="s">
        <v>8389</v>
      </c>
      <c r="AD425" t="s">
        <v>8390</v>
      </c>
      <c r="AE425" t="s">
        <v>8391</v>
      </c>
      <c r="AF425" t="s">
        <v>74</v>
      </c>
      <c r="AG425">
        <v>81</v>
      </c>
      <c r="AH425">
        <v>0</v>
      </c>
      <c r="AI425">
        <v>0</v>
      </c>
      <c r="AJ425">
        <v>1</v>
      </c>
      <c r="AK425">
        <v>1</v>
      </c>
      <c r="AL425" t="s">
        <v>8392</v>
      </c>
      <c r="AM425" t="s">
        <v>370</v>
      </c>
      <c r="AN425" t="s">
        <v>8393</v>
      </c>
      <c r="AO425" t="s">
        <v>8394</v>
      </c>
      <c r="AP425" t="s">
        <v>8395</v>
      </c>
      <c r="AQ425" t="s">
        <v>74</v>
      </c>
      <c r="AR425" t="s">
        <v>8396</v>
      </c>
      <c r="AS425" t="s">
        <v>8397</v>
      </c>
      <c r="AT425" t="s">
        <v>4689</v>
      </c>
      <c r="AU425">
        <v>2023</v>
      </c>
      <c r="AV425">
        <v>180</v>
      </c>
      <c r="AW425">
        <v>8</v>
      </c>
      <c r="AX425" t="s">
        <v>74</v>
      </c>
      <c r="AY425" t="s">
        <v>74</v>
      </c>
      <c r="AZ425" t="s">
        <v>74</v>
      </c>
      <c r="BA425" t="s">
        <v>74</v>
      </c>
      <c r="BB425">
        <v>3053</v>
      </c>
      <c r="BC425">
        <v>3070</v>
      </c>
      <c r="BD425" t="s">
        <v>74</v>
      </c>
      <c r="BE425" t="s">
        <v>8398</v>
      </c>
      <c r="BF425" t="str">
        <f>HYPERLINK("http://dx.doi.org/10.1007/s00024-023-03317-8","http://dx.doi.org/10.1007/s00024-023-03317-8")</f>
        <v>http://dx.doi.org/10.1007/s00024-023-03317-8</v>
      </c>
      <c r="BG425" t="s">
        <v>74</v>
      </c>
      <c r="BH425" t="s">
        <v>6115</v>
      </c>
      <c r="BI425">
        <v>18</v>
      </c>
      <c r="BJ425" t="s">
        <v>597</v>
      </c>
      <c r="BK425" t="s">
        <v>104</v>
      </c>
      <c r="BL425" t="s">
        <v>597</v>
      </c>
      <c r="BM425" t="s">
        <v>8399</v>
      </c>
      <c r="BN425" t="s">
        <v>74</v>
      </c>
      <c r="BO425" t="s">
        <v>74</v>
      </c>
      <c r="BP425" t="s">
        <v>74</v>
      </c>
      <c r="BQ425" t="s">
        <v>74</v>
      </c>
      <c r="BR425" t="s">
        <v>107</v>
      </c>
      <c r="BS425" t="s">
        <v>8400</v>
      </c>
      <c r="BT425" t="str">
        <f>HYPERLINK("https%3A%2F%2Fwww.webofscience.com%2Fwos%2Fwoscc%2Ffull-record%2FWOS:001024255300001","View Full Record in Web of Science")</f>
        <v>View Full Record in Web of Science</v>
      </c>
    </row>
    <row r="426" spans="1:72" x14ac:dyDescent="0.15">
      <c r="A426" t="s">
        <v>72</v>
      </c>
      <c r="B426" t="s">
        <v>8401</v>
      </c>
      <c r="C426" t="s">
        <v>74</v>
      </c>
      <c r="D426" t="s">
        <v>74</v>
      </c>
      <c r="E426" t="s">
        <v>74</v>
      </c>
      <c r="F426" t="s">
        <v>8402</v>
      </c>
      <c r="G426" t="s">
        <v>74</v>
      </c>
      <c r="H426" t="s">
        <v>74</v>
      </c>
      <c r="I426" t="s">
        <v>8403</v>
      </c>
      <c r="J426" t="s">
        <v>8404</v>
      </c>
      <c r="K426" t="s">
        <v>74</v>
      </c>
      <c r="L426" t="s">
        <v>74</v>
      </c>
      <c r="M426" t="s">
        <v>78</v>
      </c>
      <c r="N426" t="s">
        <v>79</v>
      </c>
      <c r="O426" t="s">
        <v>74</v>
      </c>
      <c r="P426" t="s">
        <v>74</v>
      </c>
      <c r="Q426" t="s">
        <v>74</v>
      </c>
      <c r="R426" t="s">
        <v>74</v>
      </c>
      <c r="S426" t="s">
        <v>74</v>
      </c>
      <c r="T426" t="s">
        <v>8405</v>
      </c>
      <c r="U426" t="s">
        <v>8406</v>
      </c>
      <c r="V426" t="s">
        <v>8407</v>
      </c>
      <c r="W426" t="s">
        <v>8408</v>
      </c>
      <c r="X426" t="s">
        <v>1718</v>
      </c>
      <c r="Y426" t="s">
        <v>8409</v>
      </c>
      <c r="Z426" t="s">
        <v>8410</v>
      </c>
      <c r="AA426" t="s">
        <v>8411</v>
      </c>
      <c r="AB426" t="s">
        <v>74</v>
      </c>
      <c r="AC426" t="s">
        <v>8412</v>
      </c>
      <c r="AD426" t="s">
        <v>8413</v>
      </c>
      <c r="AE426" t="s">
        <v>8414</v>
      </c>
      <c r="AF426" t="s">
        <v>74</v>
      </c>
      <c r="AG426">
        <v>38</v>
      </c>
      <c r="AH426">
        <v>2</v>
      </c>
      <c r="AI426">
        <v>2</v>
      </c>
      <c r="AJ426">
        <v>29</v>
      </c>
      <c r="AK426">
        <v>51</v>
      </c>
      <c r="AL426" t="s">
        <v>3672</v>
      </c>
      <c r="AM426" t="s">
        <v>538</v>
      </c>
      <c r="AN426" t="s">
        <v>3673</v>
      </c>
      <c r="AO426" t="s">
        <v>8415</v>
      </c>
      <c r="AP426" t="s">
        <v>8416</v>
      </c>
      <c r="AQ426" t="s">
        <v>74</v>
      </c>
      <c r="AR426" t="s">
        <v>8417</v>
      </c>
      <c r="AS426" t="s">
        <v>8418</v>
      </c>
      <c r="AT426" t="s">
        <v>2048</v>
      </c>
      <c r="AU426">
        <v>2023</v>
      </c>
      <c r="AV426">
        <v>428</v>
      </c>
      <c r="AW426" t="s">
        <v>74</v>
      </c>
      <c r="AX426" t="s">
        <v>74</v>
      </c>
      <c r="AY426" t="s">
        <v>74</v>
      </c>
      <c r="AZ426" t="s">
        <v>74</v>
      </c>
      <c r="BA426" t="s">
        <v>74</v>
      </c>
      <c r="BB426" t="s">
        <v>74</v>
      </c>
      <c r="BC426" t="s">
        <v>74</v>
      </c>
      <c r="BD426">
        <v>136765</v>
      </c>
      <c r="BE426" t="s">
        <v>8419</v>
      </c>
      <c r="BF426" t="str">
        <f>HYPERLINK("http://dx.doi.org/10.1016/j.foodchem.2023.136765","http://dx.doi.org/10.1016/j.foodchem.2023.136765")</f>
        <v>http://dx.doi.org/10.1016/j.foodchem.2023.136765</v>
      </c>
      <c r="BG426" t="s">
        <v>74</v>
      </c>
      <c r="BH426" t="s">
        <v>6115</v>
      </c>
      <c r="BI426">
        <v>10</v>
      </c>
      <c r="BJ426" t="s">
        <v>8420</v>
      </c>
      <c r="BK426" t="s">
        <v>104</v>
      </c>
      <c r="BL426" t="s">
        <v>8421</v>
      </c>
      <c r="BM426" t="s">
        <v>8422</v>
      </c>
      <c r="BN426">
        <v>37423109</v>
      </c>
      <c r="BO426" t="s">
        <v>74</v>
      </c>
      <c r="BP426" t="s">
        <v>74</v>
      </c>
      <c r="BQ426" t="s">
        <v>74</v>
      </c>
      <c r="BR426" t="s">
        <v>107</v>
      </c>
      <c r="BS426" t="s">
        <v>8423</v>
      </c>
      <c r="BT426" t="str">
        <f>HYPERLINK("https%3A%2F%2Fwww.webofscience.com%2Fwos%2Fwoscc%2Ffull-record%2FWOS:001039947200001","View Full Record in Web of Science")</f>
        <v>View Full Record in Web of Science</v>
      </c>
    </row>
    <row r="427" spans="1:72" x14ac:dyDescent="0.15">
      <c r="A427" t="s">
        <v>72</v>
      </c>
      <c r="B427" t="s">
        <v>8424</v>
      </c>
      <c r="C427" t="s">
        <v>74</v>
      </c>
      <c r="D427" t="s">
        <v>74</v>
      </c>
      <c r="E427" t="s">
        <v>74</v>
      </c>
      <c r="F427" t="s">
        <v>8425</v>
      </c>
      <c r="G427" t="s">
        <v>74</v>
      </c>
      <c r="H427" t="s">
        <v>74</v>
      </c>
      <c r="I427" t="s">
        <v>8426</v>
      </c>
      <c r="J427" t="s">
        <v>4497</v>
      </c>
      <c r="K427" t="s">
        <v>74</v>
      </c>
      <c r="L427" t="s">
        <v>74</v>
      </c>
      <c r="M427" t="s">
        <v>78</v>
      </c>
      <c r="N427" t="s">
        <v>79</v>
      </c>
      <c r="O427" t="s">
        <v>74</v>
      </c>
      <c r="P427" t="s">
        <v>74</v>
      </c>
      <c r="Q427" t="s">
        <v>74</v>
      </c>
      <c r="R427" t="s">
        <v>74</v>
      </c>
      <c r="S427" t="s">
        <v>74</v>
      </c>
      <c r="T427" t="s">
        <v>8427</v>
      </c>
      <c r="U427" t="s">
        <v>8428</v>
      </c>
      <c r="V427" t="s">
        <v>8429</v>
      </c>
      <c r="W427" t="s">
        <v>8430</v>
      </c>
      <c r="X427" t="s">
        <v>8431</v>
      </c>
      <c r="Y427" t="s">
        <v>8432</v>
      </c>
      <c r="Z427" t="s">
        <v>8433</v>
      </c>
      <c r="AA427" t="s">
        <v>74</v>
      </c>
      <c r="AB427" t="s">
        <v>8434</v>
      </c>
      <c r="AC427" t="s">
        <v>8435</v>
      </c>
      <c r="AD427" t="s">
        <v>8436</v>
      </c>
      <c r="AE427" t="s">
        <v>8437</v>
      </c>
      <c r="AF427" t="s">
        <v>74</v>
      </c>
      <c r="AG427">
        <v>61</v>
      </c>
      <c r="AH427">
        <v>5</v>
      </c>
      <c r="AI427">
        <v>5</v>
      </c>
      <c r="AJ427">
        <v>6</v>
      </c>
      <c r="AK427">
        <v>12</v>
      </c>
      <c r="AL427" t="s">
        <v>172</v>
      </c>
      <c r="AM427" t="s">
        <v>173</v>
      </c>
      <c r="AN427" t="s">
        <v>174</v>
      </c>
      <c r="AO427" t="s">
        <v>4506</v>
      </c>
      <c r="AP427" t="s">
        <v>4507</v>
      </c>
      <c r="AQ427" t="s">
        <v>74</v>
      </c>
      <c r="AR427" t="s">
        <v>4497</v>
      </c>
      <c r="AS427" t="s">
        <v>4508</v>
      </c>
      <c r="AT427" t="s">
        <v>2125</v>
      </c>
      <c r="AU427">
        <v>2023</v>
      </c>
      <c r="AV427">
        <v>576</v>
      </c>
      <c r="AW427" t="s">
        <v>74</v>
      </c>
      <c r="AX427" t="s">
        <v>74</v>
      </c>
      <c r="AY427" t="s">
        <v>74</v>
      </c>
      <c r="AZ427" t="s">
        <v>74</v>
      </c>
      <c r="BA427" t="s">
        <v>74</v>
      </c>
      <c r="BB427" t="s">
        <v>74</v>
      </c>
      <c r="BC427" t="s">
        <v>74</v>
      </c>
      <c r="BD427">
        <v>739863</v>
      </c>
      <c r="BE427" t="s">
        <v>8438</v>
      </c>
      <c r="BF427" t="str">
        <f>HYPERLINK("http://dx.doi.org/10.1016/j.aquaculture.2023.739863","http://dx.doi.org/10.1016/j.aquaculture.2023.739863")</f>
        <v>http://dx.doi.org/10.1016/j.aquaculture.2023.739863</v>
      </c>
      <c r="BG427" t="s">
        <v>74</v>
      </c>
      <c r="BH427" t="s">
        <v>6115</v>
      </c>
      <c r="BI427">
        <v>9</v>
      </c>
      <c r="BJ427" t="s">
        <v>1757</v>
      </c>
      <c r="BK427" t="s">
        <v>104</v>
      </c>
      <c r="BL427" t="s">
        <v>1757</v>
      </c>
      <c r="BM427" t="s">
        <v>8439</v>
      </c>
      <c r="BN427" t="s">
        <v>74</v>
      </c>
      <c r="BO427" t="s">
        <v>549</v>
      </c>
      <c r="BP427" t="s">
        <v>74</v>
      </c>
      <c r="BQ427" t="s">
        <v>74</v>
      </c>
      <c r="BR427" t="s">
        <v>107</v>
      </c>
      <c r="BS427" t="s">
        <v>8440</v>
      </c>
      <c r="BT427" t="str">
        <f>HYPERLINK("https%3A%2F%2Fwww.webofscience.com%2Fwos%2Fwoscc%2Ffull-record%2FWOS:001036880900001","View Full Record in Web of Science")</f>
        <v>View Full Record in Web of Science</v>
      </c>
    </row>
    <row r="428" spans="1:72" x14ac:dyDescent="0.15">
      <c r="A428" t="s">
        <v>72</v>
      </c>
      <c r="B428" t="s">
        <v>8441</v>
      </c>
      <c r="C428" t="s">
        <v>74</v>
      </c>
      <c r="D428" t="s">
        <v>74</v>
      </c>
      <c r="E428" t="s">
        <v>74</v>
      </c>
      <c r="F428" t="s">
        <v>8442</v>
      </c>
      <c r="G428" t="s">
        <v>74</v>
      </c>
      <c r="H428" t="s">
        <v>74</v>
      </c>
      <c r="I428" t="s">
        <v>8443</v>
      </c>
      <c r="J428" t="s">
        <v>6844</v>
      </c>
      <c r="K428" t="s">
        <v>74</v>
      </c>
      <c r="L428" t="s">
        <v>74</v>
      </c>
      <c r="M428" t="s">
        <v>78</v>
      </c>
      <c r="N428" t="s">
        <v>79</v>
      </c>
      <c r="O428" t="s">
        <v>74</v>
      </c>
      <c r="P428" t="s">
        <v>74</v>
      </c>
      <c r="Q428" t="s">
        <v>74</v>
      </c>
      <c r="R428" t="s">
        <v>74</v>
      </c>
      <c r="S428" t="s">
        <v>74</v>
      </c>
      <c r="T428" t="s">
        <v>8444</v>
      </c>
      <c r="U428" t="s">
        <v>8445</v>
      </c>
      <c r="V428" t="s">
        <v>8446</v>
      </c>
      <c r="W428" t="s">
        <v>8447</v>
      </c>
      <c r="X428" t="s">
        <v>8448</v>
      </c>
      <c r="Y428" t="s">
        <v>8449</v>
      </c>
      <c r="Z428" t="s">
        <v>8450</v>
      </c>
      <c r="AA428" t="s">
        <v>8451</v>
      </c>
      <c r="AB428" t="s">
        <v>8452</v>
      </c>
      <c r="AC428" t="s">
        <v>8453</v>
      </c>
      <c r="AD428" t="s">
        <v>8454</v>
      </c>
      <c r="AE428" t="s">
        <v>8455</v>
      </c>
      <c r="AF428" t="s">
        <v>74</v>
      </c>
      <c r="AG428">
        <v>52</v>
      </c>
      <c r="AH428">
        <v>2</v>
      </c>
      <c r="AI428">
        <v>2</v>
      </c>
      <c r="AJ428">
        <v>0</v>
      </c>
      <c r="AK428">
        <v>1</v>
      </c>
      <c r="AL428" t="s">
        <v>3672</v>
      </c>
      <c r="AM428" t="s">
        <v>538</v>
      </c>
      <c r="AN428" t="s">
        <v>3673</v>
      </c>
      <c r="AO428" t="s">
        <v>6855</v>
      </c>
      <c r="AP428" t="s">
        <v>6856</v>
      </c>
      <c r="AQ428" t="s">
        <v>74</v>
      </c>
      <c r="AR428" t="s">
        <v>6857</v>
      </c>
      <c r="AS428" t="s">
        <v>6858</v>
      </c>
      <c r="AT428" t="s">
        <v>97</v>
      </c>
      <c r="AU428">
        <v>2023</v>
      </c>
      <c r="AV428">
        <v>155</v>
      </c>
      <c r="AW428" t="s">
        <v>74</v>
      </c>
      <c r="AX428" t="s">
        <v>74</v>
      </c>
      <c r="AY428" t="s">
        <v>74</v>
      </c>
      <c r="AZ428" t="s">
        <v>74</v>
      </c>
      <c r="BA428" t="s">
        <v>74</v>
      </c>
      <c r="BB428" t="s">
        <v>74</v>
      </c>
      <c r="BC428" t="s">
        <v>74</v>
      </c>
      <c r="BD428">
        <v>105753</v>
      </c>
      <c r="BE428" t="s">
        <v>8456</v>
      </c>
      <c r="BF428" t="str">
        <f>HYPERLINK("http://dx.doi.org/10.1016/j.marpol.2023.105753","http://dx.doi.org/10.1016/j.marpol.2023.105753")</f>
        <v>http://dx.doi.org/10.1016/j.marpol.2023.105753</v>
      </c>
      <c r="BG428" t="s">
        <v>74</v>
      </c>
      <c r="BH428" t="s">
        <v>6115</v>
      </c>
      <c r="BI428">
        <v>9</v>
      </c>
      <c r="BJ428" t="s">
        <v>6860</v>
      </c>
      <c r="BK428" t="s">
        <v>6861</v>
      </c>
      <c r="BL428" t="s">
        <v>6862</v>
      </c>
      <c r="BM428" t="s">
        <v>8457</v>
      </c>
      <c r="BN428" t="s">
        <v>74</v>
      </c>
      <c r="BO428" t="s">
        <v>418</v>
      </c>
      <c r="BP428" t="s">
        <v>74</v>
      </c>
      <c r="BQ428" t="s">
        <v>74</v>
      </c>
      <c r="BR428" t="s">
        <v>107</v>
      </c>
      <c r="BS428" t="s">
        <v>8458</v>
      </c>
      <c r="BT428" t="str">
        <f>HYPERLINK("https%3A%2F%2Fwww.webofscience.com%2Fwos%2Fwoscc%2Ffull-record%2FWOS:001037458000001","View Full Record in Web of Science")</f>
        <v>View Full Record in Web of Science</v>
      </c>
    </row>
    <row r="429" spans="1:72" x14ac:dyDescent="0.15">
      <c r="A429" t="s">
        <v>72</v>
      </c>
      <c r="B429" t="s">
        <v>8459</v>
      </c>
      <c r="C429" t="s">
        <v>74</v>
      </c>
      <c r="D429" t="s">
        <v>74</v>
      </c>
      <c r="E429" t="s">
        <v>74</v>
      </c>
      <c r="F429" t="s">
        <v>8460</v>
      </c>
      <c r="G429" t="s">
        <v>74</v>
      </c>
      <c r="H429" t="s">
        <v>74</v>
      </c>
      <c r="I429" t="s">
        <v>8461</v>
      </c>
      <c r="J429" t="s">
        <v>8462</v>
      </c>
      <c r="K429" t="s">
        <v>74</v>
      </c>
      <c r="L429" t="s">
        <v>74</v>
      </c>
      <c r="M429" t="s">
        <v>78</v>
      </c>
      <c r="N429" t="s">
        <v>79</v>
      </c>
      <c r="O429" t="s">
        <v>74</v>
      </c>
      <c r="P429" t="s">
        <v>74</v>
      </c>
      <c r="Q429" t="s">
        <v>74</v>
      </c>
      <c r="R429" t="s">
        <v>74</v>
      </c>
      <c r="S429" t="s">
        <v>74</v>
      </c>
      <c r="T429" t="s">
        <v>8463</v>
      </c>
      <c r="U429" t="s">
        <v>8464</v>
      </c>
      <c r="V429" t="s">
        <v>8465</v>
      </c>
      <c r="W429" t="s">
        <v>8466</v>
      </c>
      <c r="X429" t="s">
        <v>8467</v>
      </c>
      <c r="Y429" t="s">
        <v>8468</v>
      </c>
      <c r="Z429" t="s">
        <v>8469</v>
      </c>
      <c r="AA429" t="s">
        <v>8470</v>
      </c>
      <c r="AB429" t="s">
        <v>8471</v>
      </c>
      <c r="AC429" t="s">
        <v>74</v>
      </c>
      <c r="AD429" t="s">
        <v>74</v>
      </c>
      <c r="AE429" t="s">
        <v>74</v>
      </c>
      <c r="AF429" t="s">
        <v>74</v>
      </c>
      <c r="AG429">
        <v>33</v>
      </c>
      <c r="AH429">
        <v>1</v>
      </c>
      <c r="AI429">
        <v>1</v>
      </c>
      <c r="AJ429">
        <v>3</v>
      </c>
      <c r="AK429">
        <v>6</v>
      </c>
      <c r="AL429" t="s">
        <v>994</v>
      </c>
      <c r="AM429" t="s">
        <v>995</v>
      </c>
      <c r="AN429" t="s">
        <v>996</v>
      </c>
      <c r="AO429" t="s">
        <v>8472</v>
      </c>
      <c r="AP429" t="s">
        <v>74</v>
      </c>
      <c r="AQ429" t="s">
        <v>74</v>
      </c>
      <c r="AR429" t="s">
        <v>8473</v>
      </c>
      <c r="AS429" t="s">
        <v>8474</v>
      </c>
      <c r="AT429" t="s">
        <v>8475</v>
      </c>
      <c r="AU429">
        <v>2023</v>
      </c>
      <c r="AV429">
        <v>11</v>
      </c>
      <c r="AW429" t="s">
        <v>74</v>
      </c>
      <c r="AX429" t="s">
        <v>74</v>
      </c>
      <c r="AY429" t="s">
        <v>74</v>
      </c>
      <c r="AZ429" t="s">
        <v>74</v>
      </c>
      <c r="BA429" t="s">
        <v>74</v>
      </c>
      <c r="BB429" t="s">
        <v>74</v>
      </c>
      <c r="BC429" t="s">
        <v>74</v>
      </c>
      <c r="BD429">
        <v>1188889</v>
      </c>
      <c r="BE429" t="s">
        <v>8476</v>
      </c>
      <c r="BF429" t="str">
        <f>HYPERLINK("http://dx.doi.org/10.3389/fevo.2023.1188889","http://dx.doi.org/10.3389/fevo.2023.1188889")</f>
        <v>http://dx.doi.org/10.3389/fevo.2023.1188889</v>
      </c>
      <c r="BG429" t="s">
        <v>74</v>
      </c>
      <c r="BH429" t="s">
        <v>74</v>
      </c>
      <c r="BI429">
        <v>8</v>
      </c>
      <c r="BJ429" t="s">
        <v>1534</v>
      </c>
      <c r="BK429" t="s">
        <v>104</v>
      </c>
      <c r="BL429" t="s">
        <v>1535</v>
      </c>
      <c r="BM429" t="s">
        <v>8477</v>
      </c>
      <c r="BN429" t="s">
        <v>74</v>
      </c>
      <c r="BO429" t="s">
        <v>2390</v>
      </c>
      <c r="BP429" t="s">
        <v>74</v>
      </c>
      <c r="BQ429" t="s">
        <v>74</v>
      </c>
      <c r="BR429" t="s">
        <v>107</v>
      </c>
      <c r="BS429" t="s">
        <v>8478</v>
      </c>
      <c r="BT429" t="str">
        <f>HYPERLINK("https%3A%2F%2Fwww.webofscience.com%2Fwos%2Fwoscc%2Ffull-record%2FWOS:001030290300001","View Full Record in Web of Science")</f>
        <v>View Full Record in Web of Science</v>
      </c>
    </row>
    <row r="430" spans="1:72" x14ac:dyDescent="0.15">
      <c r="A430" t="s">
        <v>72</v>
      </c>
      <c r="B430" t="s">
        <v>8479</v>
      </c>
      <c r="C430" t="s">
        <v>74</v>
      </c>
      <c r="D430" t="s">
        <v>74</v>
      </c>
      <c r="E430" t="s">
        <v>74</v>
      </c>
      <c r="F430" t="s">
        <v>8480</v>
      </c>
      <c r="G430" t="s">
        <v>74</v>
      </c>
      <c r="H430" t="s">
        <v>74</v>
      </c>
      <c r="I430" t="s">
        <v>8481</v>
      </c>
      <c r="J430" t="s">
        <v>8482</v>
      </c>
      <c r="K430" t="s">
        <v>74</v>
      </c>
      <c r="L430" t="s">
        <v>74</v>
      </c>
      <c r="M430" t="s">
        <v>78</v>
      </c>
      <c r="N430" t="s">
        <v>79</v>
      </c>
      <c r="O430" t="s">
        <v>74</v>
      </c>
      <c r="P430" t="s">
        <v>74</v>
      </c>
      <c r="Q430" t="s">
        <v>74</v>
      </c>
      <c r="R430" t="s">
        <v>74</v>
      </c>
      <c r="S430" t="s">
        <v>74</v>
      </c>
      <c r="T430" t="s">
        <v>74</v>
      </c>
      <c r="U430" t="s">
        <v>8483</v>
      </c>
      <c r="V430" t="s">
        <v>8484</v>
      </c>
      <c r="W430" t="s">
        <v>8485</v>
      </c>
      <c r="X430" t="s">
        <v>8486</v>
      </c>
      <c r="Y430" t="s">
        <v>8487</v>
      </c>
      <c r="Z430" t="s">
        <v>8488</v>
      </c>
      <c r="AA430" t="s">
        <v>74</v>
      </c>
      <c r="AB430" t="s">
        <v>8489</v>
      </c>
      <c r="AC430" t="s">
        <v>8490</v>
      </c>
      <c r="AD430" t="s">
        <v>8491</v>
      </c>
      <c r="AE430" t="s">
        <v>8492</v>
      </c>
      <c r="AF430" t="s">
        <v>74</v>
      </c>
      <c r="AG430">
        <v>55</v>
      </c>
      <c r="AH430">
        <v>0</v>
      </c>
      <c r="AI430">
        <v>0</v>
      </c>
      <c r="AJ430">
        <v>6</v>
      </c>
      <c r="AK430">
        <v>10</v>
      </c>
      <c r="AL430" t="s">
        <v>8493</v>
      </c>
      <c r="AM430" t="s">
        <v>8494</v>
      </c>
      <c r="AN430" t="s">
        <v>8495</v>
      </c>
      <c r="AO430" t="s">
        <v>8496</v>
      </c>
      <c r="AP430" t="s">
        <v>8497</v>
      </c>
      <c r="AQ430" t="s">
        <v>74</v>
      </c>
      <c r="AR430" t="s">
        <v>8498</v>
      </c>
      <c r="AS430" t="s">
        <v>8499</v>
      </c>
      <c r="AT430" t="s">
        <v>8475</v>
      </c>
      <c r="AU430">
        <v>2023</v>
      </c>
      <c r="AV430">
        <v>180</v>
      </c>
      <c r="AW430">
        <v>4</v>
      </c>
      <c r="AX430" t="s">
        <v>74</v>
      </c>
      <c r="AY430" t="s">
        <v>74</v>
      </c>
      <c r="AZ430" t="s">
        <v>74</v>
      </c>
      <c r="BA430" t="s">
        <v>74</v>
      </c>
      <c r="BB430" t="s">
        <v>74</v>
      </c>
      <c r="BC430" t="s">
        <v>74</v>
      </c>
      <c r="BD430" t="s">
        <v>8500</v>
      </c>
      <c r="BE430" t="s">
        <v>8501</v>
      </c>
      <c r="BF430" t="str">
        <f>HYPERLINK("http://dx.doi.org/10.1144/jgs2023-013","http://dx.doi.org/10.1144/jgs2023-013")</f>
        <v>http://dx.doi.org/10.1144/jgs2023-013</v>
      </c>
      <c r="BG430" t="s">
        <v>74</v>
      </c>
      <c r="BH430" t="s">
        <v>74</v>
      </c>
      <c r="BI430">
        <v>10</v>
      </c>
      <c r="BJ430" t="s">
        <v>155</v>
      </c>
      <c r="BK430" t="s">
        <v>104</v>
      </c>
      <c r="BL430" t="s">
        <v>156</v>
      </c>
      <c r="BM430" t="s">
        <v>8502</v>
      </c>
      <c r="BN430" t="s">
        <v>74</v>
      </c>
      <c r="BO430" t="s">
        <v>8503</v>
      </c>
      <c r="BP430" t="s">
        <v>74</v>
      </c>
      <c r="BQ430" t="s">
        <v>74</v>
      </c>
      <c r="BR430" t="s">
        <v>107</v>
      </c>
      <c r="BS430" t="s">
        <v>8504</v>
      </c>
      <c r="BT430" t="str">
        <f>HYPERLINK("https%3A%2F%2Fwww.webofscience.com%2Fwos%2Fwoscc%2Ffull-record%2FWOS:001021303800010","View Full Record in Web of Science")</f>
        <v>View Full Record in Web of Science</v>
      </c>
    </row>
    <row r="431" spans="1:72" x14ac:dyDescent="0.15">
      <c r="A431" t="s">
        <v>72</v>
      </c>
      <c r="B431" t="s">
        <v>8505</v>
      </c>
      <c r="C431" t="s">
        <v>74</v>
      </c>
      <c r="D431" t="s">
        <v>74</v>
      </c>
      <c r="E431" t="s">
        <v>74</v>
      </c>
      <c r="F431" t="s">
        <v>8506</v>
      </c>
      <c r="G431" t="s">
        <v>74</v>
      </c>
      <c r="H431" t="s">
        <v>74</v>
      </c>
      <c r="I431" t="s">
        <v>8507</v>
      </c>
      <c r="J431" t="s">
        <v>8508</v>
      </c>
      <c r="K431" t="s">
        <v>74</v>
      </c>
      <c r="L431" t="s">
        <v>74</v>
      </c>
      <c r="M431" t="s">
        <v>78</v>
      </c>
      <c r="N431" t="s">
        <v>79</v>
      </c>
      <c r="O431" t="s">
        <v>74</v>
      </c>
      <c r="P431" t="s">
        <v>74</v>
      </c>
      <c r="Q431" t="s">
        <v>74</v>
      </c>
      <c r="R431" t="s">
        <v>74</v>
      </c>
      <c r="S431" t="s">
        <v>74</v>
      </c>
      <c r="T431" t="s">
        <v>8509</v>
      </c>
      <c r="U431" t="s">
        <v>8510</v>
      </c>
      <c r="V431" t="s">
        <v>8511</v>
      </c>
      <c r="W431" t="s">
        <v>8512</v>
      </c>
      <c r="X431" t="s">
        <v>8513</v>
      </c>
      <c r="Y431" t="s">
        <v>8514</v>
      </c>
      <c r="Z431" t="s">
        <v>8515</v>
      </c>
      <c r="AA431" t="s">
        <v>8516</v>
      </c>
      <c r="AB431" t="s">
        <v>8517</v>
      </c>
      <c r="AC431" t="s">
        <v>8518</v>
      </c>
      <c r="AD431" t="s">
        <v>8519</v>
      </c>
      <c r="AE431" t="s">
        <v>8520</v>
      </c>
      <c r="AF431" t="s">
        <v>74</v>
      </c>
      <c r="AG431">
        <v>68</v>
      </c>
      <c r="AH431">
        <v>0</v>
      </c>
      <c r="AI431">
        <v>0</v>
      </c>
      <c r="AJ431">
        <v>9</v>
      </c>
      <c r="AK431">
        <v>11</v>
      </c>
      <c r="AL431" t="s">
        <v>5368</v>
      </c>
      <c r="AM431" t="s">
        <v>511</v>
      </c>
      <c r="AN431" t="s">
        <v>5369</v>
      </c>
      <c r="AO431" t="s">
        <v>8521</v>
      </c>
      <c r="AP431" t="s">
        <v>8522</v>
      </c>
      <c r="AQ431" t="s">
        <v>74</v>
      </c>
      <c r="AR431" t="s">
        <v>8523</v>
      </c>
      <c r="AS431" t="s">
        <v>8524</v>
      </c>
      <c r="AT431" t="s">
        <v>1810</v>
      </c>
      <c r="AU431">
        <v>2023</v>
      </c>
      <c r="AV431">
        <v>40</v>
      </c>
      <c r="AW431">
        <v>10</v>
      </c>
      <c r="AX431" t="s">
        <v>74</v>
      </c>
      <c r="AY431" t="s">
        <v>74</v>
      </c>
      <c r="AZ431" t="s">
        <v>74</v>
      </c>
      <c r="BA431" t="s">
        <v>74</v>
      </c>
      <c r="BB431">
        <v>1816</v>
      </c>
      <c r="BC431">
        <v>1832</v>
      </c>
      <c r="BD431" t="s">
        <v>74</v>
      </c>
      <c r="BE431" t="s">
        <v>8525</v>
      </c>
      <c r="BF431" t="str">
        <f>HYPERLINK("http://dx.doi.org/10.1007/s00376-023-2299-z","http://dx.doi.org/10.1007/s00376-023-2299-z")</f>
        <v>http://dx.doi.org/10.1007/s00376-023-2299-z</v>
      </c>
      <c r="BG431" t="s">
        <v>74</v>
      </c>
      <c r="BH431" t="s">
        <v>6115</v>
      </c>
      <c r="BI431">
        <v>17</v>
      </c>
      <c r="BJ431" t="s">
        <v>103</v>
      </c>
      <c r="BK431" t="s">
        <v>104</v>
      </c>
      <c r="BL431" t="s">
        <v>103</v>
      </c>
      <c r="BM431" t="s">
        <v>8526</v>
      </c>
      <c r="BN431" t="s">
        <v>74</v>
      </c>
      <c r="BO431" t="s">
        <v>74</v>
      </c>
      <c r="BP431" t="s">
        <v>74</v>
      </c>
      <c r="BQ431" t="s">
        <v>74</v>
      </c>
      <c r="BR431" t="s">
        <v>107</v>
      </c>
      <c r="BS431" t="s">
        <v>8527</v>
      </c>
      <c r="BT431" t="str">
        <f>HYPERLINK("https%3A%2F%2Fwww.webofscience.com%2Fwos%2Fwoscc%2Ffull-record%2FWOS:001023990000002","View Full Record in Web of Science")</f>
        <v>View Full Record in Web of Science</v>
      </c>
    </row>
    <row r="432" spans="1:72" x14ac:dyDescent="0.15">
      <c r="A432" t="s">
        <v>72</v>
      </c>
      <c r="B432" t="s">
        <v>8528</v>
      </c>
      <c r="C432" t="s">
        <v>74</v>
      </c>
      <c r="D432" t="s">
        <v>74</v>
      </c>
      <c r="E432" t="s">
        <v>74</v>
      </c>
      <c r="F432" t="s">
        <v>8529</v>
      </c>
      <c r="G432" t="s">
        <v>74</v>
      </c>
      <c r="H432" t="s">
        <v>74</v>
      </c>
      <c r="I432" t="s">
        <v>8530</v>
      </c>
      <c r="J432" t="s">
        <v>8531</v>
      </c>
      <c r="K432" t="s">
        <v>74</v>
      </c>
      <c r="L432" t="s">
        <v>74</v>
      </c>
      <c r="M432" t="s">
        <v>78</v>
      </c>
      <c r="N432" t="s">
        <v>1911</v>
      </c>
      <c r="O432" t="s">
        <v>74</v>
      </c>
      <c r="P432" t="s">
        <v>74</v>
      </c>
      <c r="Q432" t="s">
        <v>74</v>
      </c>
      <c r="R432" t="s">
        <v>74</v>
      </c>
      <c r="S432" t="s">
        <v>74</v>
      </c>
      <c r="T432" t="s">
        <v>8532</v>
      </c>
      <c r="U432" t="s">
        <v>8533</v>
      </c>
      <c r="V432" t="s">
        <v>8534</v>
      </c>
      <c r="W432" t="s">
        <v>8535</v>
      </c>
      <c r="X432" t="s">
        <v>8536</v>
      </c>
      <c r="Y432" t="s">
        <v>8537</v>
      </c>
      <c r="Z432" t="s">
        <v>8538</v>
      </c>
      <c r="AA432" t="s">
        <v>74</v>
      </c>
      <c r="AB432" t="s">
        <v>8539</v>
      </c>
      <c r="AC432" t="s">
        <v>8540</v>
      </c>
      <c r="AD432" t="s">
        <v>8541</v>
      </c>
      <c r="AE432" t="s">
        <v>8542</v>
      </c>
      <c r="AF432" t="s">
        <v>74</v>
      </c>
      <c r="AG432">
        <v>45</v>
      </c>
      <c r="AH432">
        <v>0</v>
      </c>
      <c r="AI432">
        <v>0</v>
      </c>
      <c r="AJ432">
        <v>2</v>
      </c>
      <c r="AK432">
        <v>3</v>
      </c>
      <c r="AL432" t="s">
        <v>2762</v>
      </c>
      <c r="AM432" t="s">
        <v>2763</v>
      </c>
      <c r="AN432" t="s">
        <v>2764</v>
      </c>
      <c r="AO432" t="s">
        <v>8543</v>
      </c>
      <c r="AP432" t="s">
        <v>8544</v>
      </c>
      <c r="AQ432" t="s">
        <v>74</v>
      </c>
      <c r="AR432" t="s">
        <v>8545</v>
      </c>
      <c r="AS432" t="s">
        <v>8546</v>
      </c>
      <c r="AT432" t="s">
        <v>8547</v>
      </c>
      <c r="AU432">
        <v>2023</v>
      </c>
      <c r="AV432" t="s">
        <v>74</v>
      </c>
      <c r="AW432" t="s">
        <v>74</v>
      </c>
      <c r="AX432" t="s">
        <v>74</v>
      </c>
      <c r="AY432" t="s">
        <v>74</v>
      </c>
      <c r="AZ432" t="s">
        <v>74</v>
      </c>
      <c r="BA432" t="s">
        <v>74</v>
      </c>
      <c r="BB432" t="s">
        <v>74</v>
      </c>
      <c r="BC432" t="s">
        <v>74</v>
      </c>
      <c r="BD432" t="s">
        <v>74</v>
      </c>
      <c r="BE432" t="s">
        <v>8548</v>
      </c>
      <c r="BF432" t="str">
        <f>HYPERLINK("http://dx.doi.org/10.1080/08912963.2023.2230584","http://dx.doi.org/10.1080/08912963.2023.2230584")</f>
        <v>http://dx.doi.org/10.1080/08912963.2023.2230584</v>
      </c>
      <c r="BG432" t="s">
        <v>74</v>
      </c>
      <c r="BH432" t="s">
        <v>6115</v>
      </c>
      <c r="BI432">
        <v>9</v>
      </c>
      <c r="BJ432" t="s">
        <v>8549</v>
      </c>
      <c r="BK432" t="s">
        <v>104</v>
      </c>
      <c r="BL432" t="s">
        <v>8550</v>
      </c>
      <c r="BM432" t="s">
        <v>8551</v>
      </c>
      <c r="BN432" t="s">
        <v>74</v>
      </c>
      <c r="BO432" t="s">
        <v>74</v>
      </c>
      <c r="BP432" t="s">
        <v>74</v>
      </c>
      <c r="BQ432" t="s">
        <v>74</v>
      </c>
      <c r="BR432" t="s">
        <v>107</v>
      </c>
      <c r="BS432" t="s">
        <v>8552</v>
      </c>
      <c r="BT432" t="str">
        <f>HYPERLINK("https%3A%2F%2Fwww.webofscience.com%2Fwos%2Fwoscc%2Ffull-record%2FWOS:001024020700001","View Full Record in Web of Science")</f>
        <v>View Full Record in Web of Science</v>
      </c>
    </row>
    <row r="433" spans="1:72" x14ac:dyDescent="0.15">
      <c r="A433" t="s">
        <v>72</v>
      </c>
      <c r="B433" t="s">
        <v>8553</v>
      </c>
      <c r="C433" t="s">
        <v>74</v>
      </c>
      <c r="D433" t="s">
        <v>74</v>
      </c>
      <c r="E433" t="s">
        <v>74</v>
      </c>
      <c r="F433" t="s">
        <v>8554</v>
      </c>
      <c r="G433" t="s">
        <v>74</v>
      </c>
      <c r="H433" t="s">
        <v>74</v>
      </c>
      <c r="I433" t="s">
        <v>8555</v>
      </c>
      <c r="J433" t="s">
        <v>8556</v>
      </c>
      <c r="K433" t="s">
        <v>74</v>
      </c>
      <c r="L433" t="s">
        <v>74</v>
      </c>
      <c r="M433" t="s">
        <v>78</v>
      </c>
      <c r="N433" t="s">
        <v>79</v>
      </c>
      <c r="O433" t="s">
        <v>74</v>
      </c>
      <c r="P433" t="s">
        <v>74</v>
      </c>
      <c r="Q433" t="s">
        <v>74</v>
      </c>
      <c r="R433" t="s">
        <v>74</v>
      </c>
      <c r="S433" t="s">
        <v>74</v>
      </c>
      <c r="T433" t="s">
        <v>8557</v>
      </c>
      <c r="U433" t="s">
        <v>8558</v>
      </c>
      <c r="V433" t="s">
        <v>8559</v>
      </c>
      <c r="W433" t="s">
        <v>8560</v>
      </c>
      <c r="X433" t="s">
        <v>8561</v>
      </c>
      <c r="Y433" t="s">
        <v>8562</v>
      </c>
      <c r="Z433" t="s">
        <v>8563</v>
      </c>
      <c r="AA433" t="s">
        <v>8564</v>
      </c>
      <c r="AB433" t="s">
        <v>8565</v>
      </c>
      <c r="AC433" t="s">
        <v>8566</v>
      </c>
      <c r="AD433" t="s">
        <v>8567</v>
      </c>
      <c r="AE433" t="s">
        <v>8568</v>
      </c>
      <c r="AF433" t="s">
        <v>74</v>
      </c>
      <c r="AG433">
        <v>71</v>
      </c>
      <c r="AH433">
        <v>1</v>
      </c>
      <c r="AI433">
        <v>1</v>
      </c>
      <c r="AJ433">
        <v>5</v>
      </c>
      <c r="AK433">
        <v>7</v>
      </c>
      <c r="AL433" t="s">
        <v>4017</v>
      </c>
      <c r="AM433" t="s">
        <v>4018</v>
      </c>
      <c r="AN433" t="s">
        <v>4019</v>
      </c>
      <c r="AO433" t="s">
        <v>8569</v>
      </c>
      <c r="AP433" t="s">
        <v>8570</v>
      </c>
      <c r="AQ433" t="s">
        <v>74</v>
      </c>
      <c r="AR433" t="s">
        <v>8571</v>
      </c>
      <c r="AS433" t="s">
        <v>8572</v>
      </c>
      <c r="AT433" t="s">
        <v>8573</v>
      </c>
      <c r="AU433">
        <v>2023</v>
      </c>
      <c r="AV433">
        <v>51</v>
      </c>
      <c r="AW433" t="s">
        <v>74</v>
      </c>
      <c r="AX433" t="s">
        <v>74</v>
      </c>
      <c r="AY433" t="s">
        <v>74</v>
      </c>
      <c r="AZ433" t="s">
        <v>74</v>
      </c>
      <c r="BA433" t="s">
        <v>74</v>
      </c>
      <c r="BB433">
        <v>161</v>
      </c>
      <c r="BC433">
        <v>172</v>
      </c>
      <c r="BD433" t="s">
        <v>74</v>
      </c>
      <c r="BE433" t="s">
        <v>8574</v>
      </c>
      <c r="BF433" t="str">
        <f>HYPERLINK("http://dx.doi.org/10.3354/esr01251","http://dx.doi.org/10.3354/esr01251")</f>
        <v>http://dx.doi.org/10.3354/esr01251</v>
      </c>
      <c r="BG433" t="s">
        <v>74</v>
      </c>
      <c r="BH433" t="s">
        <v>74</v>
      </c>
      <c r="BI433">
        <v>12</v>
      </c>
      <c r="BJ433" t="s">
        <v>444</v>
      </c>
      <c r="BK433" t="s">
        <v>104</v>
      </c>
      <c r="BL433" t="s">
        <v>445</v>
      </c>
      <c r="BM433" t="s">
        <v>8575</v>
      </c>
      <c r="BN433" t="s">
        <v>74</v>
      </c>
      <c r="BO433" t="s">
        <v>2390</v>
      </c>
      <c r="BP433" t="s">
        <v>74</v>
      </c>
      <c r="BQ433" t="s">
        <v>74</v>
      </c>
      <c r="BR433" t="s">
        <v>107</v>
      </c>
      <c r="BS433" t="s">
        <v>8576</v>
      </c>
      <c r="BT433" t="str">
        <f>HYPERLINK("https%3A%2F%2Fwww.webofscience.com%2Fwos%2Fwoscc%2Ffull-record%2FWOS:001057812800001","View Full Record in Web of Science")</f>
        <v>View Full Record in Web of Science</v>
      </c>
    </row>
    <row r="434" spans="1:72" x14ac:dyDescent="0.15">
      <c r="A434" t="s">
        <v>72</v>
      </c>
      <c r="B434" t="s">
        <v>8577</v>
      </c>
      <c r="C434" t="s">
        <v>74</v>
      </c>
      <c r="D434" t="s">
        <v>74</v>
      </c>
      <c r="E434" t="s">
        <v>74</v>
      </c>
      <c r="F434" t="s">
        <v>8578</v>
      </c>
      <c r="G434" t="s">
        <v>74</v>
      </c>
      <c r="H434" t="s">
        <v>74</v>
      </c>
      <c r="I434" t="s">
        <v>8579</v>
      </c>
      <c r="J434" t="s">
        <v>8580</v>
      </c>
      <c r="K434" t="s">
        <v>74</v>
      </c>
      <c r="L434" t="s">
        <v>74</v>
      </c>
      <c r="M434" t="s">
        <v>78</v>
      </c>
      <c r="N434" t="s">
        <v>79</v>
      </c>
      <c r="O434" t="s">
        <v>74</v>
      </c>
      <c r="P434" t="s">
        <v>74</v>
      </c>
      <c r="Q434" t="s">
        <v>74</v>
      </c>
      <c r="R434" t="s">
        <v>74</v>
      </c>
      <c r="S434" t="s">
        <v>74</v>
      </c>
      <c r="T434" t="s">
        <v>8581</v>
      </c>
      <c r="U434" t="s">
        <v>8582</v>
      </c>
      <c r="V434" t="s">
        <v>8583</v>
      </c>
      <c r="W434" t="s">
        <v>8584</v>
      </c>
      <c r="X434" t="s">
        <v>8585</v>
      </c>
      <c r="Y434" t="s">
        <v>8586</v>
      </c>
      <c r="Z434" t="s">
        <v>8587</v>
      </c>
      <c r="AA434" t="s">
        <v>74</v>
      </c>
      <c r="AB434" t="s">
        <v>8588</v>
      </c>
      <c r="AC434" t="s">
        <v>8589</v>
      </c>
      <c r="AD434" t="s">
        <v>8590</v>
      </c>
      <c r="AE434" t="s">
        <v>8591</v>
      </c>
      <c r="AF434" t="s">
        <v>74</v>
      </c>
      <c r="AG434">
        <v>116</v>
      </c>
      <c r="AH434">
        <v>0</v>
      </c>
      <c r="AI434">
        <v>0</v>
      </c>
      <c r="AJ434">
        <v>11</v>
      </c>
      <c r="AK434">
        <v>16</v>
      </c>
      <c r="AL434" t="s">
        <v>172</v>
      </c>
      <c r="AM434" t="s">
        <v>173</v>
      </c>
      <c r="AN434" t="s">
        <v>174</v>
      </c>
      <c r="AO434" t="s">
        <v>8592</v>
      </c>
      <c r="AP434" t="s">
        <v>8593</v>
      </c>
      <c r="AQ434" t="s">
        <v>74</v>
      </c>
      <c r="AR434" t="s">
        <v>8594</v>
      </c>
      <c r="AS434" t="s">
        <v>8595</v>
      </c>
      <c r="AT434" t="s">
        <v>8596</v>
      </c>
      <c r="AU434">
        <v>2023</v>
      </c>
      <c r="AV434">
        <v>253</v>
      </c>
      <c r="AW434" t="s">
        <v>74</v>
      </c>
      <c r="AX434" t="s">
        <v>74</v>
      </c>
      <c r="AY434" t="s">
        <v>74</v>
      </c>
      <c r="AZ434" t="s">
        <v>74</v>
      </c>
      <c r="BA434" t="s">
        <v>74</v>
      </c>
      <c r="BB434" t="s">
        <v>74</v>
      </c>
      <c r="BC434" t="s">
        <v>74</v>
      </c>
      <c r="BD434">
        <v>104250</v>
      </c>
      <c r="BE434" t="s">
        <v>8597</v>
      </c>
      <c r="BF434" t="str">
        <f>HYPERLINK("http://dx.doi.org/10.1016/j.marchem.2023.104250","http://dx.doi.org/10.1016/j.marchem.2023.104250")</f>
        <v>http://dx.doi.org/10.1016/j.marchem.2023.104250</v>
      </c>
      <c r="BG434" t="s">
        <v>74</v>
      </c>
      <c r="BH434" t="s">
        <v>6115</v>
      </c>
      <c r="BI434">
        <v>15</v>
      </c>
      <c r="BJ434" t="s">
        <v>8598</v>
      </c>
      <c r="BK434" t="s">
        <v>104</v>
      </c>
      <c r="BL434" t="s">
        <v>8599</v>
      </c>
      <c r="BM434" t="s">
        <v>8600</v>
      </c>
      <c r="BN434" t="s">
        <v>74</v>
      </c>
      <c r="BO434" t="s">
        <v>936</v>
      </c>
      <c r="BP434" t="s">
        <v>74</v>
      </c>
      <c r="BQ434" t="s">
        <v>74</v>
      </c>
      <c r="BR434" t="s">
        <v>107</v>
      </c>
      <c r="BS434" t="s">
        <v>8601</v>
      </c>
      <c r="BT434" t="str">
        <f>HYPERLINK("https%3A%2F%2Fwww.webofscience.com%2Fwos%2Fwoscc%2Ffull-record%2FWOS:001041857900001","View Full Record in Web of Science")</f>
        <v>View Full Record in Web of Science</v>
      </c>
    </row>
    <row r="435" spans="1:72" x14ac:dyDescent="0.15">
      <c r="A435" t="s">
        <v>72</v>
      </c>
      <c r="B435" t="s">
        <v>8602</v>
      </c>
      <c r="C435" t="s">
        <v>74</v>
      </c>
      <c r="D435" t="s">
        <v>74</v>
      </c>
      <c r="E435" t="s">
        <v>74</v>
      </c>
      <c r="F435" t="s">
        <v>8603</v>
      </c>
      <c r="G435" t="s">
        <v>74</v>
      </c>
      <c r="H435" t="s">
        <v>74</v>
      </c>
      <c r="I435" t="s">
        <v>8604</v>
      </c>
      <c r="J435" t="s">
        <v>2292</v>
      </c>
      <c r="K435" t="s">
        <v>74</v>
      </c>
      <c r="L435" t="s">
        <v>74</v>
      </c>
      <c r="M435" t="s">
        <v>78</v>
      </c>
      <c r="N435" t="s">
        <v>79</v>
      </c>
      <c r="O435" t="s">
        <v>74</v>
      </c>
      <c r="P435" t="s">
        <v>74</v>
      </c>
      <c r="Q435" t="s">
        <v>74</v>
      </c>
      <c r="R435" t="s">
        <v>74</v>
      </c>
      <c r="S435" t="s">
        <v>74</v>
      </c>
      <c r="T435" t="s">
        <v>8605</v>
      </c>
      <c r="U435" t="s">
        <v>8606</v>
      </c>
      <c r="V435" t="s">
        <v>8607</v>
      </c>
      <c r="W435" t="s">
        <v>8608</v>
      </c>
      <c r="X435" t="s">
        <v>8609</v>
      </c>
      <c r="Y435" t="s">
        <v>8610</v>
      </c>
      <c r="Z435" t="s">
        <v>8611</v>
      </c>
      <c r="AA435" t="s">
        <v>8612</v>
      </c>
      <c r="AB435" t="s">
        <v>8613</v>
      </c>
      <c r="AC435" t="s">
        <v>8614</v>
      </c>
      <c r="AD435" t="s">
        <v>8615</v>
      </c>
      <c r="AE435" t="s">
        <v>8616</v>
      </c>
      <c r="AF435" t="s">
        <v>74</v>
      </c>
      <c r="AG435">
        <v>81</v>
      </c>
      <c r="AH435">
        <v>1</v>
      </c>
      <c r="AI435">
        <v>1</v>
      </c>
      <c r="AJ435">
        <v>4</v>
      </c>
      <c r="AK435">
        <v>10</v>
      </c>
      <c r="AL435" t="s">
        <v>2305</v>
      </c>
      <c r="AM435" t="s">
        <v>538</v>
      </c>
      <c r="AN435" t="s">
        <v>2306</v>
      </c>
      <c r="AO435" t="s">
        <v>2307</v>
      </c>
      <c r="AP435" t="s">
        <v>2308</v>
      </c>
      <c r="AQ435" t="s">
        <v>74</v>
      </c>
      <c r="AR435" t="s">
        <v>2309</v>
      </c>
      <c r="AS435" t="s">
        <v>2310</v>
      </c>
      <c r="AT435" t="s">
        <v>4689</v>
      </c>
      <c r="AU435">
        <v>2023</v>
      </c>
      <c r="AV435">
        <v>193</v>
      </c>
      <c r="AW435" t="s">
        <v>74</v>
      </c>
      <c r="AX435" t="s">
        <v>74</v>
      </c>
      <c r="AY435" t="s">
        <v>74</v>
      </c>
      <c r="AZ435" t="s">
        <v>74</v>
      </c>
      <c r="BA435" t="s">
        <v>74</v>
      </c>
      <c r="BB435" t="s">
        <v>74</v>
      </c>
      <c r="BC435" t="s">
        <v>74</v>
      </c>
      <c r="BD435">
        <v>115237</v>
      </c>
      <c r="BE435" t="s">
        <v>8617</v>
      </c>
      <c r="BF435" t="str">
        <f>HYPERLINK("http://dx.doi.org/10.1016/j.marpolbul.2023.115237","http://dx.doi.org/10.1016/j.marpolbul.2023.115237")</f>
        <v>http://dx.doi.org/10.1016/j.marpolbul.2023.115237</v>
      </c>
      <c r="BG435" t="s">
        <v>74</v>
      </c>
      <c r="BH435" t="s">
        <v>6115</v>
      </c>
      <c r="BI435">
        <v>10</v>
      </c>
      <c r="BJ435" t="s">
        <v>1001</v>
      </c>
      <c r="BK435" t="s">
        <v>104</v>
      </c>
      <c r="BL435" t="s">
        <v>1002</v>
      </c>
      <c r="BM435" t="s">
        <v>8618</v>
      </c>
      <c r="BN435">
        <v>37421914</v>
      </c>
      <c r="BO435" t="s">
        <v>74</v>
      </c>
      <c r="BP435" t="s">
        <v>74</v>
      </c>
      <c r="BQ435" t="s">
        <v>74</v>
      </c>
      <c r="BR435" t="s">
        <v>107</v>
      </c>
      <c r="BS435" t="s">
        <v>8619</v>
      </c>
      <c r="BT435" t="str">
        <f>HYPERLINK("https%3A%2F%2Fwww.webofscience.com%2Fwos%2Fwoscc%2Ffull-record%2FWOS:001042028300001","View Full Record in Web of Science")</f>
        <v>View Full Record in Web of Science</v>
      </c>
    </row>
    <row r="436" spans="1:72" x14ac:dyDescent="0.15">
      <c r="A436" t="s">
        <v>72</v>
      </c>
      <c r="B436" t="s">
        <v>8620</v>
      </c>
      <c r="C436" t="s">
        <v>74</v>
      </c>
      <c r="D436" t="s">
        <v>74</v>
      </c>
      <c r="E436" t="s">
        <v>74</v>
      </c>
      <c r="F436" t="s">
        <v>8621</v>
      </c>
      <c r="G436" t="s">
        <v>74</v>
      </c>
      <c r="H436" t="s">
        <v>74</v>
      </c>
      <c r="I436" t="s">
        <v>8622</v>
      </c>
      <c r="J436" t="s">
        <v>3154</v>
      </c>
      <c r="K436" t="s">
        <v>74</v>
      </c>
      <c r="L436" t="s">
        <v>74</v>
      </c>
      <c r="M436" t="s">
        <v>78</v>
      </c>
      <c r="N436" t="s">
        <v>79</v>
      </c>
      <c r="O436" t="s">
        <v>74</v>
      </c>
      <c r="P436" t="s">
        <v>74</v>
      </c>
      <c r="Q436" t="s">
        <v>74</v>
      </c>
      <c r="R436" t="s">
        <v>74</v>
      </c>
      <c r="S436" t="s">
        <v>74</v>
      </c>
      <c r="T436" t="s">
        <v>8623</v>
      </c>
      <c r="U436" t="s">
        <v>8624</v>
      </c>
      <c r="V436" t="s">
        <v>8625</v>
      </c>
      <c r="W436" t="s">
        <v>8626</v>
      </c>
      <c r="X436" t="s">
        <v>8627</v>
      </c>
      <c r="Y436" t="s">
        <v>8628</v>
      </c>
      <c r="Z436" t="s">
        <v>74</v>
      </c>
      <c r="AA436" t="s">
        <v>74</v>
      </c>
      <c r="AB436" t="s">
        <v>8629</v>
      </c>
      <c r="AC436" t="s">
        <v>8630</v>
      </c>
      <c r="AD436" t="s">
        <v>8631</v>
      </c>
      <c r="AE436" t="s">
        <v>8632</v>
      </c>
      <c r="AF436" t="s">
        <v>74</v>
      </c>
      <c r="AG436">
        <v>163</v>
      </c>
      <c r="AH436">
        <v>1</v>
      </c>
      <c r="AI436">
        <v>1</v>
      </c>
      <c r="AJ436">
        <v>6</v>
      </c>
      <c r="AK436">
        <v>7</v>
      </c>
      <c r="AL436" t="s">
        <v>2305</v>
      </c>
      <c r="AM436" t="s">
        <v>538</v>
      </c>
      <c r="AN436" t="s">
        <v>2306</v>
      </c>
      <c r="AO436" t="s">
        <v>3167</v>
      </c>
      <c r="AP436" t="s">
        <v>3168</v>
      </c>
      <c r="AQ436" t="s">
        <v>74</v>
      </c>
      <c r="AR436" t="s">
        <v>3169</v>
      </c>
      <c r="AS436" t="s">
        <v>3170</v>
      </c>
      <c r="AT436" t="s">
        <v>3551</v>
      </c>
      <c r="AU436">
        <v>2023</v>
      </c>
      <c r="AV436">
        <v>355</v>
      </c>
      <c r="AW436" t="s">
        <v>74</v>
      </c>
      <c r="AX436" t="s">
        <v>74</v>
      </c>
      <c r="AY436" t="s">
        <v>74</v>
      </c>
      <c r="AZ436" t="s">
        <v>74</v>
      </c>
      <c r="BA436" t="s">
        <v>74</v>
      </c>
      <c r="BB436">
        <v>110</v>
      </c>
      <c r="BC436">
        <v>125</v>
      </c>
      <c r="BD436" t="s">
        <v>74</v>
      </c>
      <c r="BE436" t="s">
        <v>8633</v>
      </c>
      <c r="BF436" t="str">
        <f>HYPERLINK("http://dx.doi.org/10.1016/j.gca.2023.06.005","http://dx.doi.org/10.1016/j.gca.2023.06.005")</f>
        <v>http://dx.doi.org/10.1016/j.gca.2023.06.005</v>
      </c>
      <c r="BG436" t="s">
        <v>74</v>
      </c>
      <c r="BH436" t="s">
        <v>6115</v>
      </c>
      <c r="BI436">
        <v>16</v>
      </c>
      <c r="BJ436" t="s">
        <v>597</v>
      </c>
      <c r="BK436" t="s">
        <v>104</v>
      </c>
      <c r="BL436" t="s">
        <v>597</v>
      </c>
      <c r="BM436" t="s">
        <v>8634</v>
      </c>
      <c r="BN436" t="s">
        <v>74</v>
      </c>
      <c r="BO436" t="s">
        <v>1128</v>
      </c>
      <c r="BP436" t="s">
        <v>74</v>
      </c>
      <c r="BQ436" t="s">
        <v>74</v>
      </c>
      <c r="BR436" t="s">
        <v>107</v>
      </c>
      <c r="BS436" t="s">
        <v>8635</v>
      </c>
      <c r="BT436" t="str">
        <f>HYPERLINK("https%3A%2F%2Fwww.webofscience.com%2Fwos%2Fwoscc%2Ffull-record%2FWOS:001040888300001","View Full Record in Web of Science")</f>
        <v>View Full Record in Web of Science</v>
      </c>
    </row>
    <row r="437" spans="1:72" x14ac:dyDescent="0.15">
      <c r="A437" t="s">
        <v>72</v>
      </c>
      <c r="B437" t="s">
        <v>8636</v>
      </c>
      <c r="C437" t="s">
        <v>74</v>
      </c>
      <c r="D437" t="s">
        <v>74</v>
      </c>
      <c r="E437" t="s">
        <v>74</v>
      </c>
      <c r="F437" t="s">
        <v>8637</v>
      </c>
      <c r="G437" t="s">
        <v>74</v>
      </c>
      <c r="H437" t="s">
        <v>74</v>
      </c>
      <c r="I437" t="s">
        <v>8638</v>
      </c>
      <c r="J437" t="s">
        <v>8639</v>
      </c>
      <c r="K437" t="s">
        <v>74</v>
      </c>
      <c r="L437" t="s">
        <v>74</v>
      </c>
      <c r="M437" t="s">
        <v>78</v>
      </c>
      <c r="N437" t="s">
        <v>79</v>
      </c>
      <c r="O437" t="s">
        <v>74</v>
      </c>
      <c r="P437" t="s">
        <v>74</v>
      </c>
      <c r="Q437" t="s">
        <v>74</v>
      </c>
      <c r="R437" t="s">
        <v>74</v>
      </c>
      <c r="S437" t="s">
        <v>74</v>
      </c>
      <c r="T437" t="s">
        <v>8640</v>
      </c>
      <c r="U437" t="s">
        <v>8641</v>
      </c>
      <c r="V437" t="s">
        <v>8642</v>
      </c>
      <c r="W437" t="s">
        <v>8643</v>
      </c>
      <c r="X437" t="s">
        <v>8644</v>
      </c>
      <c r="Y437" t="s">
        <v>8645</v>
      </c>
      <c r="Z437" t="s">
        <v>8646</v>
      </c>
      <c r="AA437" t="s">
        <v>8647</v>
      </c>
      <c r="AB437" t="s">
        <v>8648</v>
      </c>
      <c r="AC437" t="s">
        <v>8649</v>
      </c>
      <c r="AD437" t="s">
        <v>8650</v>
      </c>
      <c r="AE437" t="s">
        <v>8651</v>
      </c>
      <c r="AF437" t="s">
        <v>74</v>
      </c>
      <c r="AG437">
        <v>83</v>
      </c>
      <c r="AH437">
        <v>0</v>
      </c>
      <c r="AI437">
        <v>0</v>
      </c>
      <c r="AJ437">
        <v>4</v>
      </c>
      <c r="AK437">
        <v>9</v>
      </c>
      <c r="AL437" t="s">
        <v>537</v>
      </c>
      <c r="AM437" t="s">
        <v>538</v>
      </c>
      <c r="AN437" t="s">
        <v>539</v>
      </c>
      <c r="AO437" t="s">
        <v>8652</v>
      </c>
      <c r="AP437" t="s">
        <v>8653</v>
      </c>
      <c r="AQ437" t="s">
        <v>74</v>
      </c>
      <c r="AR437" t="s">
        <v>8639</v>
      </c>
      <c r="AS437" t="s">
        <v>8654</v>
      </c>
      <c r="AT437" t="s">
        <v>544</v>
      </c>
      <c r="AU437">
        <v>2023</v>
      </c>
      <c r="AV437">
        <v>77</v>
      </c>
      <c r="AW437">
        <v>9</v>
      </c>
      <c r="AX437" t="s">
        <v>74</v>
      </c>
      <c r="AY437" t="s">
        <v>74</v>
      </c>
      <c r="AZ437" t="s">
        <v>74</v>
      </c>
      <c r="BA437" t="s">
        <v>74</v>
      </c>
      <c r="BB437">
        <v>2056</v>
      </c>
      <c r="BC437">
        <v>2067</v>
      </c>
      <c r="BD437" t="s">
        <v>74</v>
      </c>
      <c r="BE437" t="s">
        <v>8655</v>
      </c>
      <c r="BF437" t="str">
        <f>HYPERLINK("http://dx.doi.org/10.1093/evolut/qpad126","http://dx.doi.org/10.1093/evolut/qpad126")</f>
        <v>http://dx.doi.org/10.1093/evolut/qpad126</v>
      </c>
      <c r="BG437" t="s">
        <v>74</v>
      </c>
      <c r="BH437" t="s">
        <v>6115</v>
      </c>
      <c r="BI437">
        <v>12</v>
      </c>
      <c r="BJ437" t="s">
        <v>8656</v>
      </c>
      <c r="BK437" t="s">
        <v>104</v>
      </c>
      <c r="BL437" t="s">
        <v>8657</v>
      </c>
      <c r="BM437" t="s">
        <v>8658</v>
      </c>
      <c r="BN437">
        <v>37410909</v>
      </c>
      <c r="BO437" t="s">
        <v>418</v>
      </c>
      <c r="BP437" t="s">
        <v>74</v>
      </c>
      <c r="BQ437" t="s">
        <v>74</v>
      </c>
      <c r="BR437" t="s">
        <v>107</v>
      </c>
      <c r="BS437" t="s">
        <v>8659</v>
      </c>
      <c r="BT437" t="str">
        <f>HYPERLINK("https%3A%2F%2Fwww.webofscience.com%2Fwos%2Fwoscc%2Ffull-record%2FWOS:001032297500001","View Full Record in Web of Science")</f>
        <v>View Full Record in Web of Science</v>
      </c>
    </row>
    <row r="438" spans="1:72" x14ac:dyDescent="0.15">
      <c r="A438" t="s">
        <v>72</v>
      </c>
      <c r="B438" t="s">
        <v>8660</v>
      </c>
      <c r="C438" t="s">
        <v>74</v>
      </c>
      <c r="D438" t="s">
        <v>74</v>
      </c>
      <c r="E438" t="s">
        <v>74</v>
      </c>
      <c r="F438" t="s">
        <v>8661</v>
      </c>
      <c r="G438" t="s">
        <v>74</v>
      </c>
      <c r="H438" t="s">
        <v>74</v>
      </c>
      <c r="I438" t="s">
        <v>8662</v>
      </c>
      <c r="J438" t="s">
        <v>8663</v>
      </c>
      <c r="K438" t="s">
        <v>74</v>
      </c>
      <c r="L438" t="s">
        <v>74</v>
      </c>
      <c r="M438" t="s">
        <v>78</v>
      </c>
      <c r="N438" t="s">
        <v>79</v>
      </c>
      <c r="O438" t="s">
        <v>74</v>
      </c>
      <c r="P438" t="s">
        <v>74</v>
      </c>
      <c r="Q438" t="s">
        <v>74</v>
      </c>
      <c r="R438" t="s">
        <v>74</v>
      </c>
      <c r="S438" t="s">
        <v>74</v>
      </c>
      <c r="T438" t="s">
        <v>74</v>
      </c>
      <c r="U438" t="s">
        <v>8664</v>
      </c>
      <c r="V438" t="s">
        <v>8665</v>
      </c>
      <c r="W438" t="s">
        <v>8666</v>
      </c>
      <c r="X438" t="s">
        <v>8667</v>
      </c>
      <c r="Y438" t="s">
        <v>8668</v>
      </c>
      <c r="Z438" t="s">
        <v>8669</v>
      </c>
      <c r="AA438" t="s">
        <v>8670</v>
      </c>
      <c r="AB438" t="s">
        <v>8671</v>
      </c>
      <c r="AC438" t="s">
        <v>8672</v>
      </c>
      <c r="AD438" t="s">
        <v>8673</v>
      </c>
      <c r="AE438" t="s">
        <v>8674</v>
      </c>
      <c r="AF438" t="s">
        <v>74</v>
      </c>
      <c r="AG438">
        <v>157</v>
      </c>
      <c r="AH438">
        <v>1</v>
      </c>
      <c r="AI438">
        <v>1</v>
      </c>
      <c r="AJ438">
        <v>3</v>
      </c>
      <c r="AK438">
        <v>4</v>
      </c>
      <c r="AL438" t="s">
        <v>1775</v>
      </c>
      <c r="AM438" t="s">
        <v>1776</v>
      </c>
      <c r="AN438" t="s">
        <v>1777</v>
      </c>
      <c r="AO438" t="s">
        <v>8675</v>
      </c>
      <c r="AP438" t="s">
        <v>8676</v>
      </c>
      <c r="AQ438" t="s">
        <v>74</v>
      </c>
      <c r="AR438" t="s">
        <v>8677</v>
      </c>
      <c r="AS438" t="s">
        <v>8678</v>
      </c>
      <c r="AT438" t="s">
        <v>8573</v>
      </c>
      <c r="AU438">
        <v>2023</v>
      </c>
      <c r="AV438">
        <v>19</v>
      </c>
      <c r="AW438">
        <v>4</v>
      </c>
      <c r="AX438" t="s">
        <v>74</v>
      </c>
      <c r="AY438" t="s">
        <v>74</v>
      </c>
      <c r="AZ438" t="s">
        <v>74</v>
      </c>
      <c r="BA438" t="s">
        <v>74</v>
      </c>
      <c r="BB438">
        <v>1009</v>
      </c>
      <c r="BC438">
        <v>1045</v>
      </c>
      <c r="BD438" t="s">
        <v>74</v>
      </c>
      <c r="BE438" t="s">
        <v>8679</v>
      </c>
      <c r="BF438" t="str">
        <f>HYPERLINK("http://dx.doi.org/10.5194/os-19-1009-2023","http://dx.doi.org/10.5194/os-19-1009-2023")</f>
        <v>http://dx.doi.org/10.5194/os-19-1009-2023</v>
      </c>
      <c r="BG438" t="s">
        <v>74</v>
      </c>
      <c r="BH438" t="s">
        <v>74</v>
      </c>
      <c r="BI438">
        <v>37</v>
      </c>
      <c r="BJ438" t="s">
        <v>4321</v>
      </c>
      <c r="BK438" t="s">
        <v>104</v>
      </c>
      <c r="BL438" t="s">
        <v>4321</v>
      </c>
      <c r="BM438" t="s">
        <v>8680</v>
      </c>
      <c r="BN438" t="s">
        <v>74</v>
      </c>
      <c r="BO438" t="s">
        <v>771</v>
      </c>
      <c r="BP438" t="s">
        <v>74</v>
      </c>
      <c r="BQ438" t="s">
        <v>74</v>
      </c>
      <c r="BR438" t="s">
        <v>107</v>
      </c>
      <c r="BS438" t="s">
        <v>8681</v>
      </c>
      <c r="BT438" t="str">
        <f>HYPERLINK("https%3A%2F%2Fwww.webofscience.com%2Fwos%2Fwoscc%2Ffull-record%2FWOS:001024151600001","View Full Record in Web of Science")</f>
        <v>View Full Record in Web of Science</v>
      </c>
    </row>
    <row r="439" spans="1:72" x14ac:dyDescent="0.15">
      <c r="A439" t="s">
        <v>72</v>
      </c>
      <c r="B439" t="s">
        <v>8682</v>
      </c>
      <c r="C439" t="s">
        <v>74</v>
      </c>
      <c r="D439" t="s">
        <v>74</v>
      </c>
      <c r="E439" t="s">
        <v>74</v>
      </c>
      <c r="F439" t="s">
        <v>8683</v>
      </c>
      <c r="G439" t="s">
        <v>74</v>
      </c>
      <c r="H439" t="s">
        <v>74</v>
      </c>
      <c r="I439" t="s">
        <v>8684</v>
      </c>
      <c r="J439" t="s">
        <v>3756</v>
      </c>
      <c r="K439" t="s">
        <v>74</v>
      </c>
      <c r="L439" t="s">
        <v>74</v>
      </c>
      <c r="M439" t="s">
        <v>78</v>
      </c>
      <c r="N439" t="s">
        <v>79</v>
      </c>
      <c r="O439" t="s">
        <v>74</v>
      </c>
      <c r="P439" t="s">
        <v>74</v>
      </c>
      <c r="Q439" t="s">
        <v>74</v>
      </c>
      <c r="R439" t="s">
        <v>74</v>
      </c>
      <c r="S439" t="s">
        <v>74</v>
      </c>
      <c r="T439" t="s">
        <v>8685</v>
      </c>
      <c r="U439" t="s">
        <v>8686</v>
      </c>
      <c r="V439" t="s">
        <v>8687</v>
      </c>
      <c r="W439" t="s">
        <v>8688</v>
      </c>
      <c r="X439" t="s">
        <v>8689</v>
      </c>
      <c r="Y439" t="s">
        <v>8690</v>
      </c>
      <c r="Z439" t="s">
        <v>8691</v>
      </c>
      <c r="AA439" t="s">
        <v>8692</v>
      </c>
      <c r="AB439" t="s">
        <v>8693</v>
      </c>
      <c r="AC439" t="s">
        <v>74</v>
      </c>
      <c r="AD439" t="s">
        <v>74</v>
      </c>
      <c r="AE439" t="s">
        <v>74</v>
      </c>
      <c r="AF439" t="s">
        <v>74</v>
      </c>
      <c r="AG439">
        <v>84</v>
      </c>
      <c r="AH439">
        <v>0</v>
      </c>
      <c r="AI439">
        <v>0</v>
      </c>
      <c r="AJ439">
        <v>1</v>
      </c>
      <c r="AK439">
        <v>10</v>
      </c>
      <c r="AL439" t="s">
        <v>298</v>
      </c>
      <c r="AM439" t="s">
        <v>299</v>
      </c>
      <c r="AN439" t="s">
        <v>300</v>
      </c>
      <c r="AO439" t="s">
        <v>3767</v>
      </c>
      <c r="AP439" t="s">
        <v>3768</v>
      </c>
      <c r="AQ439" t="s">
        <v>74</v>
      </c>
      <c r="AR439" t="s">
        <v>3769</v>
      </c>
      <c r="AS439" t="s">
        <v>3770</v>
      </c>
      <c r="AT439" t="s">
        <v>97</v>
      </c>
      <c r="AU439">
        <v>2023</v>
      </c>
      <c r="AV439">
        <v>46</v>
      </c>
      <c r="AW439">
        <v>9</v>
      </c>
      <c r="AX439" t="s">
        <v>74</v>
      </c>
      <c r="AY439" t="s">
        <v>74</v>
      </c>
      <c r="AZ439" t="s">
        <v>74</v>
      </c>
      <c r="BA439" t="s">
        <v>74</v>
      </c>
      <c r="BB439">
        <v>865</v>
      </c>
      <c r="BC439">
        <v>879</v>
      </c>
      <c r="BD439" t="s">
        <v>74</v>
      </c>
      <c r="BE439" t="s">
        <v>8694</v>
      </c>
      <c r="BF439" t="str">
        <f>HYPERLINK("http://dx.doi.org/10.1007/s00300-023-03168-y","http://dx.doi.org/10.1007/s00300-023-03168-y")</f>
        <v>http://dx.doi.org/10.1007/s00300-023-03168-y</v>
      </c>
      <c r="BG439" t="s">
        <v>74</v>
      </c>
      <c r="BH439" t="s">
        <v>6115</v>
      </c>
      <c r="BI439">
        <v>15</v>
      </c>
      <c r="BJ439" t="s">
        <v>3772</v>
      </c>
      <c r="BK439" t="s">
        <v>104</v>
      </c>
      <c r="BL439" t="s">
        <v>1905</v>
      </c>
      <c r="BM439" t="s">
        <v>4538</v>
      </c>
      <c r="BN439" t="s">
        <v>74</v>
      </c>
      <c r="BO439" t="s">
        <v>74</v>
      </c>
      <c r="BP439" t="s">
        <v>74</v>
      </c>
      <c r="BQ439" t="s">
        <v>74</v>
      </c>
      <c r="BR439" t="s">
        <v>107</v>
      </c>
      <c r="BS439" t="s">
        <v>8695</v>
      </c>
      <c r="BT439" t="str">
        <f>HYPERLINK("https%3A%2F%2Fwww.webofscience.com%2Fwos%2Fwoscc%2Ffull-record%2FWOS:001020204400001","View Full Record in Web of Science")</f>
        <v>View Full Record in Web of Science</v>
      </c>
    </row>
    <row r="440" spans="1:72" x14ac:dyDescent="0.15">
      <c r="A440" t="s">
        <v>72</v>
      </c>
      <c r="B440" t="s">
        <v>8696</v>
      </c>
      <c r="C440" t="s">
        <v>74</v>
      </c>
      <c r="D440" t="s">
        <v>74</v>
      </c>
      <c r="E440" t="s">
        <v>74</v>
      </c>
      <c r="F440" t="s">
        <v>8697</v>
      </c>
      <c r="G440" t="s">
        <v>74</v>
      </c>
      <c r="H440" t="s">
        <v>74</v>
      </c>
      <c r="I440" t="s">
        <v>8698</v>
      </c>
      <c r="J440" t="s">
        <v>3196</v>
      </c>
      <c r="K440" t="s">
        <v>74</v>
      </c>
      <c r="L440" t="s">
        <v>74</v>
      </c>
      <c r="M440" t="s">
        <v>78</v>
      </c>
      <c r="N440" t="s">
        <v>3197</v>
      </c>
      <c r="O440" t="s">
        <v>74</v>
      </c>
      <c r="P440" t="s">
        <v>74</v>
      </c>
      <c r="Q440" t="s">
        <v>74</v>
      </c>
      <c r="R440" t="s">
        <v>74</v>
      </c>
      <c r="S440" t="s">
        <v>74</v>
      </c>
      <c r="T440" t="s">
        <v>8699</v>
      </c>
      <c r="U440" t="s">
        <v>8700</v>
      </c>
      <c r="V440" t="s">
        <v>8701</v>
      </c>
      <c r="W440" t="s">
        <v>8702</v>
      </c>
      <c r="X440" t="s">
        <v>8703</v>
      </c>
      <c r="Y440" t="s">
        <v>8704</v>
      </c>
      <c r="Z440" t="s">
        <v>8705</v>
      </c>
      <c r="AA440" t="s">
        <v>8706</v>
      </c>
      <c r="AB440" t="s">
        <v>8707</v>
      </c>
      <c r="AC440" t="s">
        <v>8708</v>
      </c>
      <c r="AD440" t="s">
        <v>8709</v>
      </c>
      <c r="AE440" t="s">
        <v>8710</v>
      </c>
      <c r="AF440" t="s">
        <v>74</v>
      </c>
      <c r="AG440">
        <v>27</v>
      </c>
      <c r="AH440">
        <v>0</v>
      </c>
      <c r="AI440">
        <v>0</v>
      </c>
      <c r="AJ440">
        <v>2</v>
      </c>
      <c r="AK440">
        <v>2</v>
      </c>
      <c r="AL440" t="s">
        <v>3210</v>
      </c>
      <c r="AM440" t="s">
        <v>615</v>
      </c>
      <c r="AN440" t="s">
        <v>3211</v>
      </c>
      <c r="AO440" t="s">
        <v>3212</v>
      </c>
      <c r="AP440" t="s">
        <v>3213</v>
      </c>
      <c r="AQ440" t="s">
        <v>74</v>
      </c>
      <c r="AR440" t="s">
        <v>3214</v>
      </c>
      <c r="AS440" t="s">
        <v>3215</v>
      </c>
      <c r="AT440" t="s">
        <v>8711</v>
      </c>
      <c r="AU440">
        <v>2023</v>
      </c>
      <c r="AV440">
        <v>11</v>
      </c>
      <c r="AW440" t="s">
        <v>74</v>
      </c>
      <c r="AX440" t="s">
        <v>74</v>
      </c>
      <c r="AY440" t="s">
        <v>74</v>
      </c>
      <c r="AZ440" t="s">
        <v>74</v>
      </c>
      <c r="BA440" t="s">
        <v>74</v>
      </c>
      <c r="BB440" t="s">
        <v>74</v>
      </c>
      <c r="BC440" t="s">
        <v>74</v>
      </c>
      <c r="BD440" t="s">
        <v>8712</v>
      </c>
      <c r="BE440" t="s">
        <v>8713</v>
      </c>
      <c r="BF440" t="str">
        <f>HYPERLINK("http://dx.doi.org/10.3897/BDJ.11.e105726","http://dx.doi.org/10.3897/BDJ.11.e105726")</f>
        <v>http://dx.doi.org/10.3897/BDJ.11.e105726</v>
      </c>
      <c r="BG440" t="s">
        <v>74</v>
      </c>
      <c r="BH440" t="s">
        <v>74</v>
      </c>
      <c r="BI440">
        <v>18</v>
      </c>
      <c r="BJ440" t="s">
        <v>444</v>
      </c>
      <c r="BK440" t="s">
        <v>104</v>
      </c>
      <c r="BL440" t="s">
        <v>445</v>
      </c>
      <c r="BM440" t="s">
        <v>8714</v>
      </c>
      <c r="BN440">
        <v>37455699</v>
      </c>
      <c r="BO440" t="s">
        <v>181</v>
      </c>
      <c r="BP440" t="s">
        <v>74</v>
      </c>
      <c r="BQ440" t="s">
        <v>74</v>
      </c>
      <c r="BR440" t="s">
        <v>107</v>
      </c>
      <c r="BS440" t="s">
        <v>8715</v>
      </c>
      <c r="BT440" t="str">
        <f>HYPERLINK("https%3A%2F%2Fwww.webofscience.com%2Fwos%2Fwoscc%2Ffull-record%2FWOS:001035989900001","View Full Record in Web of Science")</f>
        <v>View Full Record in Web of Science</v>
      </c>
    </row>
    <row r="441" spans="1:72" x14ac:dyDescent="0.15">
      <c r="A441" t="s">
        <v>72</v>
      </c>
      <c r="B441" t="s">
        <v>8716</v>
      </c>
      <c r="C441" t="s">
        <v>74</v>
      </c>
      <c r="D441" t="s">
        <v>74</v>
      </c>
      <c r="E441" t="s">
        <v>74</v>
      </c>
      <c r="F441" t="s">
        <v>8717</v>
      </c>
      <c r="G441" t="s">
        <v>74</v>
      </c>
      <c r="H441" t="s">
        <v>74</v>
      </c>
      <c r="I441" t="s">
        <v>8718</v>
      </c>
      <c r="J441" t="s">
        <v>2493</v>
      </c>
      <c r="K441" t="s">
        <v>74</v>
      </c>
      <c r="L441" t="s">
        <v>74</v>
      </c>
      <c r="M441" t="s">
        <v>78</v>
      </c>
      <c r="N441" t="s">
        <v>79</v>
      </c>
      <c r="O441" t="s">
        <v>74</v>
      </c>
      <c r="P441" t="s">
        <v>74</v>
      </c>
      <c r="Q441" t="s">
        <v>74</v>
      </c>
      <c r="R441" t="s">
        <v>74</v>
      </c>
      <c r="S441" t="s">
        <v>74</v>
      </c>
      <c r="T441" t="s">
        <v>74</v>
      </c>
      <c r="U441" t="s">
        <v>8719</v>
      </c>
      <c r="V441" t="s">
        <v>8720</v>
      </c>
      <c r="W441" t="s">
        <v>8721</v>
      </c>
      <c r="X441" t="s">
        <v>8722</v>
      </c>
      <c r="Y441" t="s">
        <v>8723</v>
      </c>
      <c r="Z441" t="s">
        <v>8724</v>
      </c>
      <c r="AA441" t="s">
        <v>74</v>
      </c>
      <c r="AB441" t="s">
        <v>8725</v>
      </c>
      <c r="AC441" t="s">
        <v>8726</v>
      </c>
      <c r="AD441" t="s">
        <v>8727</v>
      </c>
      <c r="AE441" t="s">
        <v>8728</v>
      </c>
      <c r="AF441" t="s">
        <v>74</v>
      </c>
      <c r="AG441">
        <v>55</v>
      </c>
      <c r="AH441">
        <v>0</v>
      </c>
      <c r="AI441">
        <v>0</v>
      </c>
      <c r="AJ441">
        <v>1</v>
      </c>
      <c r="AK441">
        <v>2</v>
      </c>
      <c r="AL441" t="s">
        <v>1775</v>
      </c>
      <c r="AM441" t="s">
        <v>1776</v>
      </c>
      <c r="AN441" t="s">
        <v>1777</v>
      </c>
      <c r="AO441" t="s">
        <v>2505</v>
      </c>
      <c r="AP441" t="s">
        <v>2506</v>
      </c>
      <c r="AQ441" t="s">
        <v>74</v>
      </c>
      <c r="AR441" t="s">
        <v>2493</v>
      </c>
      <c r="AS441" t="s">
        <v>2507</v>
      </c>
      <c r="AT441" t="s">
        <v>8711</v>
      </c>
      <c r="AU441">
        <v>2023</v>
      </c>
      <c r="AV441">
        <v>20</v>
      </c>
      <c r="AW441">
        <v>13</v>
      </c>
      <c r="AX441" t="s">
        <v>74</v>
      </c>
      <c r="AY441" t="s">
        <v>74</v>
      </c>
      <c r="AZ441" t="s">
        <v>74</v>
      </c>
      <c r="BA441" t="s">
        <v>74</v>
      </c>
      <c r="BB441">
        <v>2595</v>
      </c>
      <c r="BC441">
        <v>2612</v>
      </c>
      <c r="BD441" t="s">
        <v>74</v>
      </c>
      <c r="BE441" t="s">
        <v>8729</v>
      </c>
      <c r="BF441" t="str">
        <f>HYPERLINK("http://dx.doi.org/10.5194/bg-20-2595-2023","http://dx.doi.org/10.5194/bg-20-2595-2023")</f>
        <v>http://dx.doi.org/10.5194/bg-20-2595-2023</v>
      </c>
      <c r="BG441" t="s">
        <v>74</v>
      </c>
      <c r="BH441" t="s">
        <v>74</v>
      </c>
      <c r="BI441">
        <v>18</v>
      </c>
      <c r="BJ441" t="s">
        <v>247</v>
      </c>
      <c r="BK441" t="s">
        <v>104</v>
      </c>
      <c r="BL441" t="s">
        <v>248</v>
      </c>
      <c r="BM441" t="s">
        <v>8730</v>
      </c>
      <c r="BN441" t="s">
        <v>74</v>
      </c>
      <c r="BO441" t="s">
        <v>2390</v>
      </c>
      <c r="BP441" t="s">
        <v>74</v>
      </c>
      <c r="BQ441" t="s">
        <v>74</v>
      </c>
      <c r="BR441" t="s">
        <v>107</v>
      </c>
      <c r="BS441" t="s">
        <v>8731</v>
      </c>
      <c r="BT441" t="str">
        <f>HYPERLINK("https%3A%2F%2Fwww.webofscience.com%2Fwos%2Fwoscc%2Ffull-record%2FWOS:001024309200001","View Full Record in Web of Science")</f>
        <v>View Full Record in Web of Science</v>
      </c>
    </row>
    <row r="442" spans="1:72" x14ac:dyDescent="0.15">
      <c r="A442" t="s">
        <v>72</v>
      </c>
      <c r="B442" t="s">
        <v>8732</v>
      </c>
      <c r="C442" t="s">
        <v>74</v>
      </c>
      <c r="D442" t="s">
        <v>74</v>
      </c>
      <c r="E442" t="s">
        <v>74</v>
      </c>
      <c r="F442" t="s">
        <v>8733</v>
      </c>
      <c r="G442" t="s">
        <v>74</v>
      </c>
      <c r="H442" t="s">
        <v>74</v>
      </c>
      <c r="I442" t="s">
        <v>8734</v>
      </c>
      <c r="J442" t="s">
        <v>8735</v>
      </c>
      <c r="K442" t="s">
        <v>74</v>
      </c>
      <c r="L442" t="s">
        <v>74</v>
      </c>
      <c r="M442" t="s">
        <v>78</v>
      </c>
      <c r="N442" t="s">
        <v>79</v>
      </c>
      <c r="O442" t="s">
        <v>74</v>
      </c>
      <c r="P442" t="s">
        <v>74</v>
      </c>
      <c r="Q442" t="s">
        <v>74</v>
      </c>
      <c r="R442" t="s">
        <v>74</v>
      </c>
      <c r="S442" t="s">
        <v>74</v>
      </c>
      <c r="T442" t="s">
        <v>8736</v>
      </c>
      <c r="U442" t="s">
        <v>8737</v>
      </c>
      <c r="V442" t="s">
        <v>8738</v>
      </c>
      <c r="W442" t="s">
        <v>8739</v>
      </c>
      <c r="X442" t="s">
        <v>8740</v>
      </c>
      <c r="Y442" t="s">
        <v>8741</v>
      </c>
      <c r="Z442" t="s">
        <v>8742</v>
      </c>
      <c r="AA442" t="s">
        <v>8743</v>
      </c>
      <c r="AB442" t="s">
        <v>8744</v>
      </c>
      <c r="AC442" t="s">
        <v>8745</v>
      </c>
      <c r="AD442" t="s">
        <v>8746</v>
      </c>
      <c r="AE442" t="s">
        <v>8747</v>
      </c>
      <c r="AF442" t="s">
        <v>74</v>
      </c>
      <c r="AG442">
        <v>95</v>
      </c>
      <c r="AH442">
        <v>0</v>
      </c>
      <c r="AI442">
        <v>0</v>
      </c>
      <c r="AJ442">
        <v>15</v>
      </c>
      <c r="AK442">
        <v>17</v>
      </c>
      <c r="AL442" t="s">
        <v>172</v>
      </c>
      <c r="AM442" t="s">
        <v>173</v>
      </c>
      <c r="AN442" t="s">
        <v>174</v>
      </c>
      <c r="AO442" t="s">
        <v>8748</v>
      </c>
      <c r="AP442" t="s">
        <v>8749</v>
      </c>
      <c r="AQ442" t="s">
        <v>74</v>
      </c>
      <c r="AR442" t="s">
        <v>8750</v>
      </c>
      <c r="AS442" t="s">
        <v>8751</v>
      </c>
      <c r="AT442" t="s">
        <v>2486</v>
      </c>
      <c r="AU442">
        <v>2023</v>
      </c>
      <c r="AV442">
        <v>626</v>
      </c>
      <c r="AW442" t="s">
        <v>74</v>
      </c>
      <c r="AX442" t="s">
        <v>74</v>
      </c>
      <c r="AY442" t="s">
        <v>74</v>
      </c>
      <c r="AZ442" t="s">
        <v>74</v>
      </c>
      <c r="BA442" t="s">
        <v>74</v>
      </c>
      <c r="BB442" t="s">
        <v>74</v>
      </c>
      <c r="BC442" t="s">
        <v>74</v>
      </c>
      <c r="BD442">
        <v>111698</v>
      </c>
      <c r="BE442" t="s">
        <v>8752</v>
      </c>
      <c r="BF442" t="str">
        <f>HYPERLINK("http://dx.doi.org/10.1016/j.palaeo.2023.111698","http://dx.doi.org/10.1016/j.palaeo.2023.111698")</f>
        <v>http://dx.doi.org/10.1016/j.palaeo.2023.111698</v>
      </c>
      <c r="BG442" t="s">
        <v>74</v>
      </c>
      <c r="BH442" t="s">
        <v>6115</v>
      </c>
      <c r="BI442">
        <v>13</v>
      </c>
      <c r="BJ442" t="s">
        <v>8753</v>
      </c>
      <c r="BK442" t="s">
        <v>104</v>
      </c>
      <c r="BL442" t="s">
        <v>8754</v>
      </c>
      <c r="BM442" t="s">
        <v>8755</v>
      </c>
      <c r="BN442" t="s">
        <v>74</v>
      </c>
      <c r="BO442" t="s">
        <v>74</v>
      </c>
      <c r="BP442" t="s">
        <v>74</v>
      </c>
      <c r="BQ442" t="s">
        <v>74</v>
      </c>
      <c r="BR442" t="s">
        <v>107</v>
      </c>
      <c r="BS442" t="s">
        <v>8756</v>
      </c>
      <c r="BT442" t="str">
        <f>HYPERLINK("https%3A%2F%2Fwww.webofscience.com%2Fwos%2Fwoscc%2Ffull-record%2FWOS:001055661500001","View Full Record in Web of Science")</f>
        <v>View Full Record in Web of Science</v>
      </c>
    </row>
    <row r="443" spans="1:72" x14ac:dyDescent="0.15">
      <c r="A443" t="s">
        <v>72</v>
      </c>
      <c r="B443" t="s">
        <v>8757</v>
      </c>
      <c r="C443" t="s">
        <v>74</v>
      </c>
      <c r="D443" t="s">
        <v>74</v>
      </c>
      <c r="E443" t="s">
        <v>74</v>
      </c>
      <c r="F443" t="s">
        <v>8758</v>
      </c>
      <c r="G443" t="s">
        <v>74</v>
      </c>
      <c r="H443" t="s">
        <v>74</v>
      </c>
      <c r="I443" t="s">
        <v>8759</v>
      </c>
      <c r="J443" t="s">
        <v>2917</v>
      </c>
      <c r="K443" t="s">
        <v>74</v>
      </c>
      <c r="L443" t="s">
        <v>74</v>
      </c>
      <c r="M443" t="s">
        <v>78</v>
      </c>
      <c r="N443" t="s">
        <v>79</v>
      </c>
      <c r="O443" t="s">
        <v>74</v>
      </c>
      <c r="P443" t="s">
        <v>74</v>
      </c>
      <c r="Q443" t="s">
        <v>74</v>
      </c>
      <c r="R443" t="s">
        <v>74</v>
      </c>
      <c r="S443" t="s">
        <v>74</v>
      </c>
      <c r="T443" t="s">
        <v>74</v>
      </c>
      <c r="U443" t="s">
        <v>8760</v>
      </c>
      <c r="V443" t="s">
        <v>8761</v>
      </c>
      <c r="W443" t="s">
        <v>8762</v>
      </c>
      <c r="X443" t="s">
        <v>8763</v>
      </c>
      <c r="Y443" t="s">
        <v>8764</v>
      </c>
      <c r="Z443" t="s">
        <v>8765</v>
      </c>
      <c r="AA443" t="s">
        <v>8766</v>
      </c>
      <c r="AB443" t="s">
        <v>8767</v>
      </c>
      <c r="AC443" t="s">
        <v>8768</v>
      </c>
      <c r="AD443" t="s">
        <v>8769</v>
      </c>
      <c r="AE443" t="s">
        <v>8770</v>
      </c>
      <c r="AF443" t="s">
        <v>74</v>
      </c>
      <c r="AG443">
        <v>80</v>
      </c>
      <c r="AH443">
        <v>8</v>
      </c>
      <c r="AI443">
        <v>8</v>
      </c>
      <c r="AJ443">
        <v>17</v>
      </c>
      <c r="AK443">
        <v>40</v>
      </c>
      <c r="AL443" t="s">
        <v>146</v>
      </c>
      <c r="AM443" t="s">
        <v>147</v>
      </c>
      <c r="AN443" t="s">
        <v>148</v>
      </c>
      <c r="AO443" t="s">
        <v>74</v>
      </c>
      <c r="AP443" t="s">
        <v>2929</v>
      </c>
      <c r="AQ443" t="s">
        <v>74</v>
      </c>
      <c r="AR443" t="s">
        <v>2930</v>
      </c>
      <c r="AS443" t="s">
        <v>2931</v>
      </c>
      <c r="AT443" t="s">
        <v>8771</v>
      </c>
      <c r="AU443">
        <v>2023</v>
      </c>
      <c r="AV443">
        <v>14</v>
      </c>
      <c r="AW443">
        <v>1</v>
      </c>
      <c r="AX443" t="s">
        <v>74</v>
      </c>
      <c r="AY443" t="s">
        <v>74</v>
      </c>
      <c r="AZ443" t="s">
        <v>74</v>
      </c>
      <c r="BA443" t="s">
        <v>74</v>
      </c>
      <c r="BB443" t="s">
        <v>74</v>
      </c>
      <c r="BC443" t="s">
        <v>74</v>
      </c>
      <c r="BD443">
        <v>3665</v>
      </c>
      <c r="BE443" t="s">
        <v>8772</v>
      </c>
      <c r="BF443" t="str">
        <f>HYPERLINK("http://dx.doi.org/10.1038/s41467-023-38900-z","http://dx.doi.org/10.1038/s41467-023-38900-z")</f>
        <v>http://dx.doi.org/10.1038/s41467-023-38900-z</v>
      </c>
      <c r="BG443" t="s">
        <v>74</v>
      </c>
      <c r="BH443" t="s">
        <v>74</v>
      </c>
      <c r="BI443">
        <v>14</v>
      </c>
      <c r="BJ443" t="s">
        <v>1881</v>
      </c>
      <c r="BK443" t="s">
        <v>104</v>
      </c>
      <c r="BL443" t="s">
        <v>1882</v>
      </c>
      <c r="BM443" t="s">
        <v>8773</v>
      </c>
      <c r="BN443">
        <v>37402727</v>
      </c>
      <c r="BO443" t="s">
        <v>8774</v>
      </c>
      <c r="BP443" t="s">
        <v>74</v>
      </c>
      <c r="BQ443" t="s">
        <v>74</v>
      </c>
      <c r="BR443" t="s">
        <v>107</v>
      </c>
      <c r="BS443" t="s">
        <v>8775</v>
      </c>
      <c r="BT443" t="str">
        <f>HYPERLINK("https%3A%2F%2Fwww.webofscience.com%2Fwos%2Fwoscc%2Ffull-record%2FWOS:001024747400018","View Full Record in Web of Science")</f>
        <v>View Full Record in Web of Science</v>
      </c>
    </row>
    <row r="444" spans="1:72" x14ac:dyDescent="0.15">
      <c r="A444" t="s">
        <v>72</v>
      </c>
      <c r="B444" t="s">
        <v>8776</v>
      </c>
      <c r="C444" t="s">
        <v>74</v>
      </c>
      <c r="D444" t="s">
        <v>74</v>
      </c>
      <c r="E444" t="s">
        <v>74</v>
      </c>
      <c r="F444" t="s">
        <v>8777</v>
      </c>
      <c r="G444" t="s">
        <v>74</v>
      </c>
      <c r="H444" t="s">
        <v>74</v>
      </c>
      <c r="I444" t="s">
        <v>8778</v>
      </c>
      <c r="J444" t="s">
        <v>2031</v>
      </c>
      <c r="K444" t="s">
        <v>74</v>
      </c>
      <c r="L444" t="s">
        <v>74</v>
      </c>
      <c r="M444" t="s">
        <v>78</v>
      </c>
      <c r="N444" t="s">
        <v>79</v>
      </c>
      <c r="O444" t="s">
        <v>74</v>
      </c>
      <c r="P444" t="s">
        <v>74</v>
      </c>
      <c r="Q444" t="s">
        <v>74</v>
      </c>
      <c r="R444" t="s">
        <v>74</v>
      </c>
      <c r="S444" t="s">
        <v>74</v>
      </c>
      <c r="T444" t="s">
        <v>8779</v>
      </c>
      <c r="U444" t="s">
        <v>8780</v>
      </c>
      <c r="V444" t="s">
        <v>8781</v>
      </c>
      <c r="W444" t="s">
        <v>8782</v>
      </c>
      <c r="X444" t="s">
        <v>8783</v>
      </c>
      <c r="Y444" t="s">
        <v>8784</v>
      </c>
      <c r="Z444" t="s">
        <v>8785</v>
      </c>
      <c r="AA444" t="s">
        <v>8786</v>
      </c>
      <c r="AB444" t="s">
        <v>8787</v>
      </c>
      <c r="AC444" t="s">
        <v>8788</v>
      </c>
      <c r="AD444" t="s">
        <v>8789</v>
      </c>
      <c r="AE444" t="s">
        <v>8790</v>
      </c>
      <c r="AF444" t="s">
        <v>74</v>
      </c>
      <c r="AG444">
        <v>152</v>
      </c>
      <c r="AH444">
        <v>2</v>
      </c>
      <c r="AI444">
        <v>2</v>
      </c>
      <c r="AJ444">
        <v>2</v>
      </c>
      <c r="AK444">
        <v>2</v>
      </c>
      <c r="AL444" t="s">
        <v>172</v>
      </c>
      <c r="AM444" t="s">
        <v>173</v>
      </c>
      <c r="AN444" t="s">
        <v>174</v>
      </c>
      <c r="AO444" t="s">
        <v>2044</v>
      </c>
      <c r="AP444" t="s">
        <v>2045</v>
      </c>
      <c r="AQ444" t="s">
        <v>74</v>
      </c>
      <c r="AR444" t="s">
        <v>2046</v>
      </c>
      <c r="AS444" t="s">
        <v>2047</v>
      </c>
      <c r="AT444" t="s">
        <v>8791</v>
      </c>
      <c r="AU444">
        <v>2023</v>
      </c>
      <c r="AV444">
        <v>895</v>
      </c>
      <c r="AW444" t="s">
        <v>74</v>
      </c>
      <c r="AX444" t="s">
        <v>74</v>
      </c>
      <c r="AY444" t="s">
        <v>74</v>
      </c>
      <c r="AZ444" t="s">
        <v>74</v>
      </c>
      <c r="BA444" t="s">
        <v>74</v>
      </c>
      <c r="BB444" t="s">
        <v>74</v>
      </c>
      <c r="BC444" t="s">
        <v>74</v>
      </c>
      <c r="BD444">
        <v>165188</v>
      </c>
      <c r="BE444" t="s">
        <v>8792</v>
      </c>
      <c r="BF444" t="str">
        <f>HYPERLINK("http://dx.doi.org/10.1016/j.scitotenv.2023.165188","http://dx.doi.org/10.1016/j.scitotenv.2023.165188")</f>
        <v>http://dx.doi.org/10.1016/j.scitotenv.2023.165188</v>
      </c>
      <c r="BG444" t="s">
        <v>74</v>
      </c>
      <c r="BH444" t="s">
        <v>6115</v>
      </c>
      <c r="BI444">
        <v>14</v>
      </c>
      <c r="BJ444" t="s">
        <v>2050</v>
      </c>
      <c r="BK444" t="s">
        <v>104</v>
      </c>
      <c r="BL444" t="s">
        <v>1535</v>
      </c>
      <c r="BM444" t="s">
        <v>8793</v>
      </c>
      <c r="BN444">
        <v>37385494</v>
      </c>
      <c r="BO444" t="s">
        <v>936</v>
      </c>
      <c r="BP444" t="s">
        <v>74</v>
      </c>
      <c r="BQ444" t="s">
        <v>74</v>
      </c>
      <c r="BR444" t="s">
        <v>107</v>
      </c>
      <c r="BS444" t="s">
        <v>8794</v>
      </c>
      <c r="BT444" t="str">
        <f>HYPERLINK("https%3A%2F%2Fwww.webofscience.com%2Fwos%2Fwoscc%2Ffull-record%2FWOS:001037864400001","View Full Record in Web of Science")</f>
        <v>View Full Record in Web of Science</v>
      </c>
    </row>
    <row r="445" spans="1:72" x14ac:dyDescent="0.15">
      <c r="A445" t="s">
        <v>72</v>
      </c>
      <c r="B445" t="s">
        <v>8795</v>
      </c>
      <c r="C445" t="s">
        <v>74</v>
      </c>
      <c r="D445" t="s">
        <v>74</v>
      </c>
      <c r="E445" t="s">
        <v>74</v>
      </c>
      <c r="F445" t="s">
        <v>8796</v>
      </c>
      <c r="G445" t="s">
        <v>74</v>
      </c>
      <c r="H445" t="s">
        <v>74</v>
      </c>
      <c r="I445" t="s">
        <v>8797</v>
      </c>
      <c r="J445" t="s">
        <v>983</v>
      </c>
      <c r="K445" t="s">
        <v>74</v>
      </c>
      <c r="L445" t="s">
        <v>74</v>
      </c>
      <c r="M445" t="s">
        <v>78</v>
      </c>
      <c r="N445" t="s">
        <v>79</v>
      </c>
      <c r="O445" t="s">
        <v>74</v>
      </c>
      <c r="P445" t="s">
        <v>74</v>
      </c>
      <c r="Q445" t="s">
        <v>74</v>
      </c>
      <c r="R445" t="s">
        <v>74</v>
      </c>
      <c r="S445" t="s">
        <v>74</v>
      </c>
      <c r="T445" t="s">
        <v>8798</v>
      </c>
      <c r="U445" t="s">
        <v>8799</v>
      </c>
      <c r="V445" t="s">
        <v>8800</v>
      </c>
      <c r="W445" t="s">
        <v>8801</v>
      </c>
      <c r="X445" t="s">
        <v>8802</v>
      </c>
      <c r="Y445" t="s">
        <v>8803</v>
      </c>
      <c r="Z445" t="s">
        <v>8804</v>
      </c>
      <c r="AA445" t="s">
        <v>8805</v>
      </c>
      <c r="AB445" t="s">
        <v>8806</v>
      </c>
      <c r="AC445" t="s">
        <v>8807</v>
      </c>
      <c r="AD445" t="s">
        <v>8808</v>
      </c>
      <c r="AE445" t="s">
        <v>8809</v>
      </c>
      <c r="AF445" t="s">
        <v>74</v>
      </c>
      <c r="AG445">
        <v>68</v>
      </c>
      <c r="AH445">
        <v>0</v>
      </c>
      <c r="AI445">
        <v>0</v>
      </c>
      <c r="AJ445">
        <v>5</v>
      </c>
      <c r="AK445">
        <v>6</v>
      </c>
      <c r="AL445" t="s">
        <v>994</v>
      </c>
      <c r="AM445" t="s">
        <v>995</v>
      </c>
      <c r="AN445" t="s">
        <v>996</v>
      </c>
      <c r="AO445" t="s">
        <v>74</v>
      </c>
      <c r="AP445" t="s">
        <v>997</v>
      </c>
      <c r="AQ445" t="s">
        <v>74</v>
      </c>
      <c r="AR445" t="s">
        <v>998</v>
      </c>
      <c r="AS445" t="s">
        <v>999</v>
      </c>
      <c r="AT445" t="s">
        <v>8771</v>
      </c>
      <c r="AU445">
        <v>2023</v>
      </c>
      <c r="AV445">
        <v>10</v>
      </c>
      <c r="AW445" t="s">
        <v>74</v>
      </c>
      <c r="AX445" t="s">
        <v>74</v>
      </c>
      <c r="AY445" t="s">
        <v>74</v>
      </c>
      <c r="AZ445" t="s">
        <v>74</v>
      </c>
      <c r="BA445" t="s">
        <v>74</v>
      </c>
      <c r="BB445" t="s">
        <v>74</v>
      </c>
      <c r="BC445" t="s">
        <v>74</v>
      </c>
      <c r="BD445">
        <v>1186069</v>
      </c>
      <c r="BE445" t="s">
        <v>8810</v>
      </c>
      <c r="BF445" t="str">
        <f>HYPERLINK("http://dx.doi.org/10.3389/fmars.2023.1186069","http://dx.doi.org/10.3389/fmars.2023.1186069")</f>
        <v>http://dx.doi.org/10.3389/fmars.2023.1186069</v>
      </c>
      <c r="BG445" t="s">
        <v>74</v>
      </c>
      <c r="BH445" t="s">
        <v>74</v>
      </c>
      <c r="BI445">
        <v>19</v>
      </c>
      <c r="BJ445" t="s">
        <v>1001</v>
      </c>
      <c r="BK445" t="s">
        <v>104</v>
      </c>
      <c r="BL445" t="s">
        <v>1002</v>
      </c>
      <c r="BM445" t="s">
        <v>8811</v>
      </c>
      <c r="BN445" t="s">
        <v>74</v>
      </c>
      <c r="BO445" t="s">
        <v>7299</v>
      </c>
      <c r="BP445" t="s">
        <v>74</v>
      </c>
      <c r="BQ445" t="s">
        <v>74</v>
      </c>
      <c r="BR445" t="s">
        <v>107</v>
      </c>
      <c r="BS445" t="s">
        <v>8812</v>
      </c>
      <c r="BT445" t="str">
        <f>HYPERLINK("https%3A%2F%2Fwww.webofscience.com%2Fwos%2Fwoscc%2Ffull-record%2FWOS:001030382300001","View Full Record in Web of Science")</f>
        <v>View Full Record in Web of Science</v>
      </c>
    </row>
    <row r="446" spans="1:72" x14ac:dyDescent="0.15">
      <c r="A446" t="s">
        <v>72</v>
      </c>
      <c r="B446" t="s">
        <v>8813</v>
      </c>
      <c r="C446" t="s">
        <v>74</v>
      </c>
      <c r="D446" t="s">
        <v>74</v>
      </c>
      <c r="E446" t="s">
        <v>74</v>
      </c>
      <c r="F446" t="s">
        <v>8814</v>
      </c>
      <c r="G446" t="s">
        <v>74</v>
      </c>
      <c r="H446" t="s">
        <v>74</v>
      </c>
      <c r="I446" t="s">
        <v>8815</v>
      </c>
      <c r="J446" t="s">
        <v>8816</v>
      </c>
      <c r="K446" t="s">
        <v>74</v>
      </c>
      <c r="L446" t="s">
        <v>74</v>
      </c>
      <c r="M446" t="s">
        <v>78</v>
      </c>
      <c r="N446" t="s">
        <v>79</v>
      </c>
      <c r="O446" t="s">
        <v>74</v>
      </c>
      <c r="P446" t="s">
        <v>74</v>
      </c>
      <c r="Q446" t="s">
        <v>74</v>
      </c>
      <c r="R446" t="s">
        <v>74</v>
      </c>
      <c r="S446" t="s">
        <v>74</v>
      </c>
      <c r="T446" t="s">
        <v>74</v>
      </c>
      <c r="U446" t="s">
        <v>8817</v>
      </c>
      <c r="V446" t="s">
        <v>8818</v>
      </c>
      <c r="W446" t="s">
        <v>8819</v>
      </c>
      <c r="X446" t="s">
        <v>8820</v>
      </c>
      <c r="Y446" t="s">
        <v>8821</v>
      </c>
      <c r="Z446" t="s">
        <v>8822</v>
      </c>
      <c r="AA446" t="s">
        <v>8823</v>
      </c>
      <c r="AB446" t="s">
        <v>8824</v>
      </c>
      <c r="AC446" t="s">
        <v>8825</v>
      </c>
      <c r="AD446" t="s">
        <v>8826</v>
      </c>
      <c r="AE446" t="s">
        <v>8827</v>
      </c>
      <c r="AF446" t="s">
        <v>74</v>
      </c>
      <c r="AG446">
        <v>27</v>
      </c>
      <c r="AH446">
        <v>0</v>
      </c>
      <c r="AI446">
        <v>0</v>
      </c>
      <c r="AJ446">
        <v>0</v>
      </c>
      <c r="AK446">
        <v>0</v>
      </c>
      <c r="AL446" t="s">
        <v>537</v>
      </c>
      <c r="AM446" t="s">
        <v>538</v>
      </c>
      <c r="AN446" t="s">
        <v>539</v>
      </c>
      <c r="AO446" t="s">
        <v>8828</v>
      </c>
      <c r="AP446" t="s">
        <v>8829</v>
      </c>
      <c r="AQ446" t="s">
        <v>74</v>
      </c>
      <c r="AR446" t="s">
        <v>8830</v>
      </c>
      <c r="AS446" t="s">
        <v>8831</v>
      </c>
      <c r="AT446" t="s">
        <v>8771</v>
      </c>
      <c r="AU446">
        <v>2023</v>
      </c>
      <c r="AV446">
        <v>89</v>
      </c>
      <c r="AW446">
        <v>3</v>
      </c>
      <c r="AX446" t="s">
        <v>74</v>
      </c>
      <c r="AY446" t="s">
        <v>74</v>
      </c>
      <c r="AZ446" t="s">
        <v>74</v>
      </c>
      <c r="BA446" t="s">
        <v>74</v>
      </c>
      <c r="BB446" t="s">
        <v>74</v>
      </c>
      <c r="BC446" t="s">
        <v>74</v>
      </c>
      <c r="BD446" t="s">
        <v>8832</v>
      </c>
      <c r="BE446" t="s">
        <v>8833</v>
      </c>
      <c r="BF446" t="str">
        <f>HYPERLINK("http://dx.doi.org/10.1093/mollus/eyad014","http://dx.doi.org/10.1093/mollus/eyad014")</f>
        <v>http://dx.doi.org/10.1093/mollus/eyad014</v>
      </c>
      <c r="BG446" t="s">
        <v>74</v>
      </c>
      <c r="BH446" t="s">
        <v>74</v>
      </c>
      <c r="BI446">
        <v>6</v>
      </c>
      <c r="BJ446" t="s">
        <v>547</v>
      </c>
      <c r="BK446" t="s">
        <v>104</v>
      </c>
      <c r="BL446" t="s">
        <v>547</v>
      </c>
      <c r="BM446" t="s">
        <v>8834</v>
      </c>
      <c r="BN446" t="s">
        <v>74</v>
      </c>
      <c r="BO446" t="s">
        <v>74</v>
      </c>
      <c r="BP446" t="s">
        <v>74</v>
      </c>
      <c r="BQ446" t="s">
        <v>74</v>
      </c>
      <c r="BR446" t="s">
        <v>107</v>
      </c>
      <c r="BS446" t="s">
        <v>8835</v>
      </c>
      <c r="BT446" t="str">
        <f>HYPERLINK("https%3A%2F%2Fwww.webofscience.com%2Fwos%2Fwoscc%2Ffull-record%2FWOS:001030630500001","View Full Record in Web of Science")</f>
        <v>View Full Record in Web of Science</v>
      </c>
    </row>
    <row r="447" spans="1:72" x14ac:dyDescent="0.15">
      <c r="A447" t="s">
        <v>72</v>
      </c>
      <c r="B447" t="s">
        <v>8836</v>
      </c>
      <c r="C447" t="s">
        <v>74</v>
      </c>
      <c r="D447" t="s">
        <v>74</v>
      </c>
      <c r="E447" t="s">
        <v>74</v>
      </c>
      <c r="F447" t="s">
        <v>8837</v>
      </c>
      <c r="G447" t="s">
        <v>74</v>
      </c>
      <c r="H447" t="s">
        <v>74</v>
      </c>
      <c r="I447" t="s">
        <v>8838</v>
      </c>
      <c r="J447" t="s">
        <v>6844</v>
      </c>
      <c r="K447" t="s">
        <v>74</v>
      </c>
      <c r="L447" t="s">
        <v>74</v>
      </c>
      <c r="M447" t="s">
        <v>78</v>
      </c>
      <c r="N447" t="s">
        <v>79</v>
      </c>
      <c r="O447" t="s">
        <v>74</v>
      </c>
      <c r="P447" t="s">
        <v>74</v>
      </c>
      <c r="Q447" t="s">
        <v>74</v>
      </c>
      <c r="R447" t="s">
        <v>74</v>
      </c>
      <c r="S447" t="s">
        <v>74</v>
      </c>
      <c r="T447" t="s">
        <v>8839</v>
      </c>
      <c r="U447" t="s">
        <v>8840</v>
      </c>
      <c r="V447" t="s">
        <v>8841</v>
      </c>
      <c r="W447" t="s">
        <v>8842</v>
      </c>
      <c r="X447" t="s">
        <v>8843</v>
      </c>
      <c r="Y447" t="s">
        <v>8844</v>
      </c>
      <c r="Z447" t="s">
        <v>8845</v>
      </c>
      <c r="AA447" t="s">
        <v>74</v>
      </c>
      <c r="AB447" t="s">
        <v>74</v>
      </c>
      <c r="AC447" t="s">
        <v>8846</v>
      </c>
      <c r="AD447" t="s">
        <v>8847</v>
      </c>
      <c r="AE447" t="s">
        <v>8848</v>
      </c>
      <c r="AF447" t="s">
        <v>74</v>
      </c>
      <c r="AG447">
        <v>50</v>
      </c>
      <c r="AH447">
        <v>0</v>
      </c>
      <c r="AI447">
        <v>0</v>
      </c>
      <c r="AJ447">
        <v>2</v>
      </c>
      <c r="AK447">
        <v>4</v>
      </c>
      <c r="AL447" t="s">
        <v>3672</v>
      </c>
      <c r="AM447" t="s">
        <v>538</v>
      </c>
      <c r="AN447" t="s">
        <v>3673</v>
      </c>
      <c r="AO447" t="s">
        <v>6855</v>
      </c>
      <c r="AP447" t="s">
        <v>6856</v>
      </c>
      <c r="AQ447" t="s">
        <v>74</v>
      </c>
      <c r="AR447" t="s">
        <v>6857</v>
      </c>
      <c r="AS447" t="s">
        <v>6858</v>
      </c>
      <c r="AT447" t="s">
        <v>97</v>
      </c>
      <c r="AU447">
        <v>2023</v>
      </c>
      <c r="AV447">
        <v>155</v>
      </c>
      <c r="AW447" t="s">
        <v>74</v>
      </c>
      <c r="AX447" t="s">
        <v>74</v>
      </c>
      <c r="AY447" t="s">
        <v>74</v>
      </c>
      <c r="AZ447" t="s">
        <v>74</v>
      </c>
      <c r="BA447" t="s">
        <v>74</v>
      </c>
      <c r="BB447" t="s">
        <v>74</v>
      </c>
      <c r="BC447" t="s">
        <v>74</v>
      </c>
      <c r="BD447">
        <v>105757</v>
      </c>
      <c r="BE447" t="s">
        <v>8849</v>
      </c>
      <c r="BF447" t="str">
        <f>HYPERLINK("http://dx.doi.org/10.1016/j.marpol.2023.105757","http://dx.doi.org/10.1016/j.marpol.2023.105757")</f>
        <v>http://dx.doi.org/10.1016/j.marpol.2023.105757</v>
      </c>
      <c r="BG447" t="s">
        <v>74</v>
      </c>
      <c r="BH447" t="s">
        <v>6115</v>
      </c>
      <c r="BI447">
        <v>11</v>
      </c>
      <c r="BJ447" t="s">
        <v>6860</v>
      </c>
      <c r="BK447" t="s">
        <v>6861</v>
      </c>
      <c r="BL447" t="s">
        <v>6862</v>
      </c>
      <c r="BM447" t="s">
        <v>8850</v>
      </c>
      <c r="BN447" t="s">
        <v>74</v>
      </c>
      <c r="BO447" t="s">
        <v>133</v>
      </c>
      <c r="BP447" t="s">
        <v>74</v>
      </c>
      <c r="BQ447" t="s">
        <v>74</v>
      </c>
      <c r="BR447" t="s">
        <v>107</v>
      </c>
      <c r="BS447" t="s">
        <v>8851</v>
      </c>
      <c r="BT447" t="str">
        <f>HYPERLINK("https%3A%2F%2Fwww.webofscience.com%2Fwos%2Fwoscc%2Ffull-record%2FWOS:001033901200001","View Full Record in Web of Science")</f>
        <v>View Full Record in Web of Science</v>
      </c>
    </row>
    <row r="448" spans="1:72" x14ac:dyDescent="0.15">
      <c r="A448" t="s">
        <v>72</v>
      </c>
      <c r="B448" t="s">
        <v>8852</v>
      </c>
      <c r="C448" t="s">
        <v>74</v>
      </c>
      <c r="D448" t="s">
        <v>74</v>
      </c>
      <c r="E448" t="s">
        <v>74</v>
      </c>
      <c r="F448" t="s">
        <v>8853</v>
      </c>
      <c r="G448" t="s">
        <v>74</v>
      </c>
      <c r="H448" t="s">
        <v>74</v>
      </c>
      <c r="I448" t="s">
        <v>8854</v>
      </c>
      <c r="J448" t="s">
        <v>8855</v>
      </c>
      <c r="K448" t="s">
        <v>74</v>
      </c>
      <c r="L448" t="s">
        <v>74</v>
      </c>
      <c r="M448" t="s">
        <v>78</v>
      </c>
      <c r="N448" t="s">
        <v>79</v>
      </c>
      <c r="O448" t="s">
        <v>74</v>
      </c>
      <c r="P448" t="s">
        <v>74</v>
      </c>
      <c r="Q448" t="s">
        <v>74</v>
      </c>
      <c r="R448" t="s">
        <v>74</v>
      </c>
      <c r="S448" t="s">
        <v>74</v>
      </c>
      <c r="T448" t="s">
        <v>74</v>
      </c>
      <c r="U448" t="s">
        <v>8856</v>
      </c>
      <c r="V448" t="s">
        <v>8857</v>
      </c>
      <c r="W448" t="s">
        <v>8858</v>
      </c>
      <c r="X448" t="s">
        <v>8859</v>
      </c>
      <c r="Y448" t="s">
        <v>8860</v>
      </c>
      <c r="Z448" t="s">
        <v>8861</v>
      </c>
      <c r="AA448" t="s">
        <v>8862</v>
      </c>
      <c r="AB448" t="s">
        <v>8863</v>
      </c>
      <c r="AC448" t="s">
        <v>8864</v>
      </c>
      <c r="AD448" t="s">
        <v>8865</v>
      </c>
      <c r="AE448" t="s">
        <v>8866</v>
      </c>
      <c r="AF448" t="s">
        <v>74</v>
      </c>
      <c r="AG448">
        <v>50</v>
      </c>
      <c r="AH448">
        <v>1</v>
      </c>
      <c r="AI448">
        <v>1</v>
      </c>
      <c r="AJ448">
        <v>6</v>
      </c>
      <c r="AK448">
        <v>8</v>
      </c>
      <c r="AL448" t="s">
        <v>146</v>
      </c>
      <c r="AM448" t="s">
        <v>147</v>
      </c>
      <c r="AN448" t="s">
        <v>148</v>
      </c>
      <c r="AO448" t="s">
        <v>74</v>
      </c>
      <c r="AP448" t="s">
        <v>8867</v>
      </c>
      <c r="AQ448" t="s">
        <v>74</v>
      </c>
      <c r="AR448" t="s">
        <v>8868</v>
      </c>
      <c r="AS448" t="s">
        <v>8869</v>
      </c>
      <c r="AT448" t="s">
        <v>8771</v>
      </c>
      <c r="AU448">
        <v>2023</v>
      </c>
      <c r="AV448">
        <v>6</v>
      </c>
      <c r="AW448">
        <v>1</v>
      </c>
      <c r="AX448" t="s">
        <v>74</v>
      </c>
      <c r="AY448" t="s">
        <v>74</v>
      </c>
      <c r="AZ448" t="s">
        <v>74</v>
      </c>
      <c r="BA448" t="s">
        <v>74</v>
      </c>
      <c r="BB448" t="s">
        <v>74</v>
      </c>
      <c r="BC448" t="s">
        <v>74</v>
      </c>
      <c r="BD448">
        <v>690</v>
      </c>
      <c r="BE448" t="s">
        <v>8870</v>
      </c>
      <c r="BF448" t="str">
        <f>HYPERLINK("http://dx.doi.org/10.1038/s42003-023-05060-1","http://dx.doi.org/10.1038/s42003-023-05060-1")</f>
        <v>http://dx.doi.org/10.1038/s42003-023-05060-1</v>
      </c>
      <c r="BG448" t="s">
        <v>74</v>
      </c>
      <c r="BH448" t="s">
        <v>74</v>
      </c>
      <c r="BI448">
        <v>9</v>
      </c>
      <c r="BJ448" t="s">
        <v>8871</v>
      </c>
      <c r="BK448" t="s">
        <v>104</v>
      </c>
      <c r="BL448" t="s">
        <v>8872</v>
      </c>
      <c r="BM448" t="s">
        <v>8873</v>
      </c>
      <c r="BN448">
        <v>37402788</v>
      </c>
      <c r="BO448" t="s">
        <v>6754</v>
      </c>
      <c r="BP448" t="s">
        <v>74</v>
      </c>
      <c r="BQ448" t="s">
        <v>74</v>
      </c>
      <c r="BR448" t="s">
        <v>107</v>
      </c>
      <c r="BS448" t="s">
        <v>8874</v>
      </c>
      <c r="BT448" t="str">
        <f>HYPERLINK("https%3A%2F%2Fwww.webofscience.com%2Fwos%2Fwoscc%2Ffull-record%2FWOS:001023010300001","View Full Record in Web of Science")</f>
        <v>View Full Record in Web of Science</v>
      </c>
    </row>
    <row r="449" spans="1:72" x14ac:dyDescent="0.15">
      <c r="A449" t="s">
        <v>72</v>
      </c>
      <c r="B449" t="s">
        <v>8875</v>
      </c>
      <c r="C449" t="s">
        <v>74</v>
      </c>
      <c r="D449" t="s">
        <v>74</v>
      </c>
      <c r="E449" t="s">
        <v>74</v>
      </c>
      <c r="F449" t="s">
        <v>8876</v>
      </c>
      <c r="G449" t="s">
        <v>74</v>
      </c>
      <c r="H449" t="s">
        <v>74</v>
      </c>
      <c r="I449" t="s">
        <v>8877</v>
      </c>
      <c r="J449" t="s">
        <v>1763</v>
      </c>
      <c r="K449" t="s">
        <v>74</v>
      </c>
      <c r="L449" t="s">
        <v>74</v>
      </c>
      <c r="M449" t="s">
        <v>78</v>
      </c>
      <c r="N449" t="s">
        <v>79</v>
      </c>
      <c r="O449" t="s">
        <v>74</v>
      </c>
      <c r="P449" t="s">
        <v>74</v>
      </c>
      <c r="Q449" t="s">
        <v>74</v>
      </c>
      <c r="R449" t="s">
        <v>74</v>
      </c>
      <c r="S449" t="s">
        <v>74</v>
      </c>
      <c r="T449" t="s">
        <v>74</v>
      </c>
      <c r="U449" t="s">
        <v>8878</v>
      </c>
      <c r="V449" t="s">
        <v>8879</v>
      </c>
      <c r="W449" t="s">
        <v>8880</v>
      </c>
      <c r="X449" t="s">
        <v>8881</v>
      </c>
      <c r="Y449" t="s">
        <v>8882</v>
      </c>
      <c r="Z449" t="s">
        <v>8883</v>
      </c>
      <c r="AA449" t="s">
        <v>8884</v>
      </c>
      <c r="AB449" t="s">
        <v>8885</v>
      </c>
      <c r="AC449" t="s">
        <v>8886</v>
      </c>
      <c r="AD449" t="s">
        <v>8887</v>
      </c>
      <c r="AE449" t="s">
        <v>8888</v>
      </c>
      <c r="AF449" t="s">
        <v>74</v>
      </c>
      <c r="AG449">
        <v>89</v>
      </c>
      <c r="AH449">
        <v>1</v>
      </c>
      <c r="AI449">
        <v>2</v>
      </c>
      <c r="AJ449">
        <v>2</v>
      </c>
      <c r="AK449">
        <v>2</v>
      </c>
      <c r="AL449" t="s">
        <v>1775</v>
      </c>
      <c r="AM449" t="s">
        <v>1776</v>
      </c>
      <c r="AN449" t="s">
        <v>1777</v>
      </c>
      <c r="AO449" t="s">
        <v>1778</v>
      </c>
      <c r="AP449" t="s">
        <v>1779</v>
      </c>
      <c r="AQ449" t="s">
        <v>74</v>
      </c>
      <c r="AR449" t="s">
        <v>1763</v>
      </c>
      <c r="AS449" t="s">
        <v>1780</v>
      </c>
      <c r="AT449" t="s">
        <v>8771</v>
      </c>
      <c r="AU449">
        <v>2023</v>
      </c>
      <c r="AV449">
        <v>17</v>
      </c>
      <c r="AW449">
        <v>7</v>
      </c>
      <c r="AX449" t="s">
        <v>74</v>
      </c>
      <c r="AY449" t="s">
        <v>74</v>
      </c>
      <c r="AZ449" t="s">
        <v>74</v>
      </c>
      <c r="BA449" t="s">
        <v>74</v>
      </c>
      <c r="BB449">
        <v>2585</v>
      </c>
      <c r="BC449">
        <v>2606</v>
      </c>
      <c r="BD449" t="s">
        <v>74</v>
      </c>
      <c r="BE449" t="s">
        <v>8889</v>
      </c>
      <c r="BF449" t="str">
        <f>HYPERLINK("http://dx.doi.org/10.5194/tc-17-2585-2023","http://dx.doi.org/10.5194/tc-17-2585-2023")</f>
        <v>http://dx.doi.org/10.5194/tc-17-2585-2023</v>
      </c>
      <c r="BG449" t="s">
        <v>74</v>
      </c>
      <c r="BH449" t="s">
        <v>74</v>
      </c>
      <c r="BI449">
        <v>22</v>
      </c>
      <c r="BJ449" t="s">
        <v>1783</v>
      </c>
      <c r="BK449" t="s">
        <v>104</v>
      </c>
      <c r="BL449" t="s">
        <v>1784</v>
      </c>
      <c r="BM449" t="s">
        <v>8890</v>
      </c>
      <c r="BN449" t="s">
        <v>74</v>
      </c>
      <c r="BO449" t="s">
        <v>771</v>
      </c>
      <c r="BP449" t="s">
        <v>74</v>
      </c>
      <c r="BQ449" t="s">
        <v>74</v>
      </c>
      <c r="BR449" t="s">
        <v>107</v>
      </c>
      <c r="BS449" t="s">
        <v>8891</v>
      </c>
      <c r="BT449" t="str">
        <f>HYPERLINK("https%3A%2F%2Fwww.webofscience.com%2Fwos%2Fwoscc%2Ffull-record%2FWOS:001022855500001","View Full Record in Web of Science")</f>
        <v>View Full Record in Web of Science</v>
      </c>
    </row>
    <row r="450" spans="1:72" x14ac:dyDescent="0.15">
      <c r="A450" t="s">
        <v>72</v>
      </c>
      <c r="B450" t="s">
        <v>8892</v>
      </c>
      <c r="C450" t="s">
        <v>74</v>
      </c>
      <c r="D450" t="s">
        <v>74</v>
      </c>
      <c r="E450" t="s">
        <v>74</v>
      </c>
      <c r="F450" t="s">
        <v>8893</v>
      </c>
      <c r="G450" t="s">
        <v>74</v>
      </c>
      <c r="H450" t="s">
        <v>74</v>
      </c>
      <c r="I450" t="s">
        <v>8894</v>
      </c>
      <c r="J450" t="s">
        <v>4226</v>
      </c>
      <c r="K450" t="s">
        <v>74</v>
      </c>
      <c r="L450" t="s">
        <v>74</v>
      </c>
      <c r="M450" t="s">
        <v>78</v>
      </c>
      <c r="N450" t="s">
        <v>79</v>
      </c>
      <c r="O450" t="s">
        <v>74</v>
      </c>
      <c r="P450" t="s">
        <v>74</v>
      </c>
      <c r="Q450" t="s">
        <v>74</v>
      </c>
      <c r="R450" t="s">
        <v>74</v>
      </c>
      <c r="S450" t="s">
        <v>74</v>
      </c>
      <c r="T450" t="s">
        <v>8895</v>
      </c>
      <c r="U450" t="s">
        <v>8896</v>
      </c>
      <c r="V450" t="s">
        <v>8897</v>
      </c>
      <c r="W450" t="s">
        <v>8898</v>
      </c>
      <c r="X450" t="s">
        <v>8899</v>
      </c>
      <c r="Y450" t="s">
        <v>8900</v>
      </c>
      <c r="Z450" t="s">
        <v>8901</v>
      </c>
      <c r="AA450" t="s">
        <v>8902</v>
      </c>
      <c r="AB450" t="s">
        <v>8903</v>
      </c>
      <c r="AC450" t="s">
        <v>74</v>
      </c>
      <c r="AD450" t="s">
        <v>74</v>
      </c>
      <c r="AE450" t="s">
        <v>74</v>
      </c>
      <c r="AF450" t="s">
        <v>74</v>
      </c>
      <c r="AG450">
        <v>64</v>
      </c>
      <c r="AH450">
        <v>0</v>
      </c>
      <c r="AI450">
        <v>0</v>
      </c>
      <c r="AJ450">
        <v>1</v>
      </c>
      <c r="AK450">
        <v>1</v>
      </c>
      <c r="AL450" t="s">
        <v>4238</v>
      </c>
      <c r="AM450" t="s">
        <v>4239</v>
      </c>
      <c r="AN450" t="s">
        <v>4240</v>
      </c>
      <c r="AO450" t="s">
        <v>4241</v>
      </c>
      <c r="AP450" t="s">
        <v>4242</v>
      </c>
      <c r="AQ450" t="s">
        <v>74</v>
      </c>
      <c r="AR450" t="s">
        <v>4226</v>
      </c>
      <c r="AS450" t="s">
        <v>4243</v>
      </c>
      <c r="AT450" t="s">
        <v>8904</v>
      </c>
      <c r="AU450">
        <v>2023</v>
      </c>
      <c r="AV450">
        <v>5311</v>
      </c>
      <c r="AW450">
        <v>4</v>
      </c>
      <c r="AX450" t="s">
        <v>74</v>
      </c>
      <c r="AY450" t="s">
        <v>74</v>
      </c>
      <c r="AZ450" t="s">
        <v>74</v>
      </c>
      <c r="BA450" t="s">
        <v>74</v>
      </c>
      <c r="BB450">
        <v>505</v>
      </c>
      <c r="BC450">
        <v>556</v>
      </c>
      <c r="BD450" t="s">
        <v>74</v>
      </c>
      <c r="BE450" t="s">
        <v>8905</v>
      </c>
      <c r="BF450" t="str">
        <f>HYPERLINK("http://dx.doi.org/10.11646/zootaxa.5311.4.2","http://dx.doi.org/10.11646/zootaxa.5311.4.2")</f>
        <v>http://dx.doi.org/10.11646/zootaxa.5311.4.2</v>
      </c>
      <c r="BG450" t="s">
        <v>74</v>
      </c>
      <c r="BH450" t="s">
        <v>74</v>
      </c>
      <c r="BI450">
        <v>52</v>
      </c>
      <c r="BJ450" t="s">
        <v>620</v>
      </c>
      <c r="BK450" t="s">
        <v>104</v>
      </c>
      <c r="BL450" t="s">
        <v>620</v>
      </c>
      <c r="BM450" t="s">
        <v>8906</v>
      </c>
      <c r="BN450">
        <v>37518632</v>
      </c>
      <c r="BO450" t="s">
        <v>74</v>
      </c>
      <c r="BP450" t="s">
        <v>74</v>
      </c>
      <c r="BQ450" t="s">
        <v>74</v>
      </c>
      <c r="BR450" t="s">
        <v>107</v>
      </c>
      <c r="BS450" t="s">
        <v>8907</v>
      </c>
      <c r="BT450" t="str">
        <f>HYPERLINK("https%3A%2F%2Fwww.webofscience.com%2Fwos%2Fwoscc%2Ffull-record%2FWOS:001034421900001","View Full Record in Web of Science")</f>
        <v>View Full Record in Web of Science</v>
      </c>
    </row>
    <row r="451" spans="1:72" x14ac:dyDescent="0.15">
      <c r="A451" t="s">
        <v>72</v>
      </c>
      <c r="B451" t="s">
        <v>8908</v>
      </c>
      <c r="C451" t="s">
        <v>74</v>
      </c>
      <c r="D451" t="s">
        <v>74</v>
      </c>
      <c r="E451" t="s">
        <v>74</v>
      </c>
      <c r="F451" t="s">
        <v>8909</v>
      </c>
      <c r="G451" t="s">
        <v>74</v>
      </c>
      <c r="H451" t="s">
        <v>74</v>
      </c>
      <c r="I451" t="s">
        <v>8910</v>
      </c>
      <c r="J451" t="s">
        <v>3130</v>
      </c>
      <c r="K451" t="s">
        <v>74</v>
      </c>
      <c r="L451" t="s">
        <v>74</v>
      </c>
      <c r="M451" t="s">
        <v>78</v>
      </c>
      <c r="N451" t="s">
        <v>79</v>
      </c>
      <c r="O451" t="s">
        <v>74</v>
      </c>
      <c r="P451" t="s">
        <v>74</v>
      </c>
      <c r="Q451" t="s">
        <v>74</v>
      </c>
      <c r="R451" t="s">
        <v>74</v>
      </c>
      <c r="S451" t="s">
        <v>74</v>
      </c>
      <c r="T451" t="s">
        <v>8911</v>
      </c>
      <c r="U451" t="s">
        <v>8912</v>
      </c>
      <c r="V451" t="s">
        <v>8913</v>
      </c>
      <c r="W451" t="s">
        <v>8914</v>
      </c>
      <c r="X451" t="s">
        <v>8915</v>
      </c>
      <c r="Y451" t="s">
        <v>8916</v>
      </c>
      <c r="Z451" t="s">
        <v>8917</v>
      </c>
      <c r="AA451" t="s">
        <v>8918</v>
      </c>
      <c r="AB451" t="s">
        <v>8919</v>
      </c>
      <c r="AC451" t="s">
        <v>8920</v>
      </c>
      <c r="AD451" t="s">
        <v>8921</v>
      </c>
      <c r="AE451" t="s">
        <v>8922</v>
      </c>
      <c r="AF451" t="s">
        <v>74</v>
      </c>
      <c r="AG451">
        <v>88</v>
      </c>
      <c r="AH451">
        <v>3</v>
      </c>
      <c r="AI451">
        <v>3</v>
      </c>
      <c r="AJ451">
        <v>9</v>
      </c>
      <c r="AK451">
        <v>18</v>
      </c>
      <c r="AL451" t="s">
        <v>460</v>
      </c>
      <c r="AM451" t="s">
        <v>461</v>
      </c>
      <c r="AN451" t="s">
        <v>462</v>
      </c>
      <c r="AO451" t="s">
        <v>3143</v>
      </c>
      <c r="AP451" t="s">
        <v>3144</v>
      </c>
      <c r="AQ451" t="s">
        <v>74</v>
      </c>
      <c r="AR451" t="s">
        <v>3145</v>
      </c>
      <c r="AS451" t="s">
        <v>3146</v>
      </c>
      <c r="AT451" t="s">
        <v>4689</v>
      </c>
      <c r="AU451">
        <v>2023</v>
      </c>
      <c r="AV451">
        <v>59</v>
      </c>
      <c r="AW451">
        <v>4</v>
      </c>
      <c r="AX451" t="s">
        <v>74</v>
      </c>
      <c r="AY451" t="s">
        <v>74</v>
      </c>
      <c r="AZ451" t="s">
        <v>74</v>
      </c>
      <c r="BA451" t="s">
        <v>74</v>
      </c>
      <c r="BB451">
        <v>738</v>
      </c>
      <c r="BC451">
        <v>750</v>
      </c>
      <c r="BD451" t="s">
        <v>74</v>
      </c>
      <c r="BE451" t="s">
        <v>8923</v>
      </c>
      <c r="BF451" t="str">
        <f>HYPERLINK("http://dx.doi.org/10.1111/jpy.13352","http://dx.doi.org/10.1111/jpy.13352")</f>
        <v>http://dx.doi.org/10.1111/jpy.13352</v>
      </c>
      <c r="BG451" t="s">
        <v>74</v>
      </c>
      <c r="BH451" t="s">
        <v>6115</v>
      </c>
      <c r="BI451">
        <v>13</v>
      </c>
      <c r="BJ451" t="s">
        <v>3148</v>
      </c>
      <c r="BK451" t="s">
        <v>104</v>
      </c>
      <c r="BL451" t="s">
        <v>3148</v>
      </c>
      <c r="BM451" t="s">
        <v>8924</v>
      </c>
      <c r="BN451">
        <v>37252690</v>
      </c>
      <c r="BO451" t="s">
        <v>549</v>
      </c>
      <c r="BP451" t="s">
        <v>74</v>
      </c>
      <c r="BQ451" t="s">
        <v>74</v>
      </c>
      <c r="BR451" t="s">
        <v>107</v>
      </c>
      <c r="BS451" t="s">
        <v>8925</v>
      </c>
      <c r="BT451" t="str">
        <f>HYPERLINK("https%3A%2F%2Fwww.webofscience.com%2Fwos%2Fwoscc%2Ffull-record%2FWOS:001022315300001","View Full Record in Web of Science")</f>
        <v>View Full Record in Web of Science</v>
      </c>
    </row>
    <row r="452" spans="1:72" x14ac:dyDescent="0.15">
      <c r="A452" t="s">
        <v>72</v>
      </c>
      <c r="B452" t="s">
        <v>8926</v>
      </c>
      <c r="C452" t="s">
        <v>74</v>
      </c>
      <c r="D452" t="s">
        <v>74</v>
      </c>
      <c r="E452" t="s">
        <v>74</v>
      </c>
      <c r="F452" t="s">
        <v>8927</v>
      </c>
      <c r="G452" t="s">
        <v>74</v>
      </c>
      <c r="H452" t="s">
        <v>74</v>
      </c>
      <c r="I452" t="s">
        <v>8928</v>
      </c>
      <c r="J452" t="s">
        <v>6844</v>
      </c>
      <c r="K452" t="s">
        <v>74</v>
      </c>
      <c r="L452" t="s">
        <v>74</v>
      </c>
      <c r="M452" t="s">
        <v>78</v>
      </c>
      <c r="N452" t="s">
        <v>79</v>
      </c>
      <c r="O452" t="s">
        <v>74</v>
      </c>
      <c r="P452" t="s">
        <v>74</v>
      </c>
      <c r="Q452" t="s">
        <v>74</v>
      </c>
      <c r="R452" t="s">
        <v>74</v>
      </c>
      <c r="S452" t="s">
        <v>74</v>
      </c>
      <c r="T452" t="s">
        <v>8929</v>
      </c>
      <c r="U452" t="s">
        <v>8930</v>
      </c>
      <c r="V452" t="s">
        <v>8931</v>
      </c>
      <c r="W452" t="s">
        <v>8932</v>
      </c>
      <c r="X452" t="s">
        <v>8933</v>
      </c>
      <c r="Y452" t="s">
        <v>8934</v>
      </c>
      <c r="Z452" t="s">
        <v>8935</v>
      </c>
      <c r="AA452" t="s">
        <v>8936</v>
      </c>
      <c r="AB452" t="s">
        <v>8937</v>
      </c>
      <c r="AC452" t="s">
        <v>8938</v>
      </c>
      <c r="AD452" t="s">
        <v>8939</v>
      </c>
      <c r="AE452" t="s">
        <v>8940</v>
      </c>
      <c r="AF452" t="s">
        <v>74</v>
      </c>
      <c r="AG452">
        <v>85</v>
      </c>
      <c r="AH452">
        <v>1</v>
      </c>
      <c r="AI452">
        <v>1</v>
      </c>
      <c r="AJ452">
        <v>0</v>
      </c>
      <c r="AK452">
        <v>1</v>
      </c>
      <c r="AL452" t="s">
        <v>3672</v>
      </c>
      <c r="AM452" t="s">
        <v>538</v>
      </c>
      <c r="AN452" t="s">
        <v>3673</v>
      </c>
      <c r="AO452" t="s">
        <v>6855</v>
      </c>
      <c r="AP452" t="s">
        <v>6856</v>
      </c>
      <c r="AQ452" t="s">
        <v>74</v>
      </c>
      <c r="AR452" t="s">
        <v>6857</v>
      </c>
      <c r="AS452" t="s">
        <v>6858</v>
      </c>
      <c r="AT452" t="s">
        <v>97</v>
      </c>
      <c r="AU452">
        <v>2023</v>
      </c>
      <c r="AV452">
        <v>155</v>
      </c>
      <c r="AW452" t="s">
        <v>74</v>
      </c>
      <c r="AX452" t="s">
        <v>74</v>
      </c>
      <c r="AY452" t="s">
        <v>74</v>
      </c>
      <c r="AZ452" t="s">
        <v>74</v>
      </c>
      <c r="BA452" t="s">
        <v>74</v>
      </c>
      <c r="BB452" t="s">
        <v>74</v>
      </c>
      <c r="BC452" t="s">
        <v>74</v>
      </c>
      <c r="BD452">
        <v>105739</v>
      </c>
      <c r="BE452" t="s">
        <v>8941</v>
      </c>
      <c r="BF452" t="str">
        <f>HYPERLINK("http://dx.doi.org/10.1016/j.marpol.2023.105739","http://dx.doi.org/10.1016/j.marpol.2023.105739")</f>
        <v>http://dx.doi.org/10.1016/j.marpol.2023.105739</v>
      </c>
      <c r="BG452" t="s">
        <v>74</v>
      </c>
      <c r="BH452" t="s">
        <v>6115</v>
      </c>
      <c r="BI452">
        <v>13</v>
      </c>
      <c r="BJ452" t="s">
        <v>6860</v>
      </c>
      <c r="BK452" t="s">
        <v>6861</v>
      </c>
      <c r="BL452" t="s">
        <v>6862</v>
      </c>
      <c r="BM452" t="s">
        <v>8942</v>
      </c>
      <c r="BN452" t="s">
        <v>74</v>
      </c>
      <c r="BO452" t="s">
        <v>549</v>
      </c>
      <c r="BP452" t="s">
        <v>74</v>
      </c>
      <c r="BQ452" t="s">
        <v>74</v>
      </c>
      <c r="BR452" t="s">
        <v>107</v>
      </c>
      <c r="BS452" t="s">
        <v>8943</v>
      </c>
      <c r="BT452" t="str">
        <f>HYPERLINK("https%3A%2F%2Fwww.webofscience.com%2Fwos%2Fwoscc%2Ffull-record%2FWOS:001036829800001","View Full Record in Web of Science")</f>
        <v>View Full Record in Web of Science</v>
      </c>
    </row>
    <row r="453" spans="1:72" x14ac:dyDescent="0.15">
      <c r="A453" t="s">
        <v>72</v>
      </c>
      <c r="B453" t="s">
        <v>8944</v>
      </c>
      <c r="C453" t="s">
        <v>74</v>
      </c>
      <c r="D453" t="s">
        <v>74</v>
      </c>
      <c r="E453" t="s">
        <v>74</v>
      </c>
      <c r="F453" t="s">
        <v>8945</v>
      </c>
      <c r="G453" t="s">
        <v>74</v>
      </c>
      <c r="H453" t="s">
        <v>74</v>
      </c>
      <c r="I453" t="s">
        <v>8946</v>
      </c>
      <c r="J453" t="s">
        <v>912</v>
      </c>
      <c r="K453" t="s">
        <v>74</v>
      </c>
      <c r="L453" t="s">
        <v>74</v>
      </c>
      <c r="M453" t="s">
        <v>78</v>
      </c>
      <c r="N453" t="s">
        <v>79</v>
      </c>
      <c r="O453" t="s">
        <v>74</v>
      </c>
      <c r="P453" t="s">
        <v>74</v>
      </c>
      <c r="Q453" t="s">
        <v>74</v>
      </c>
      <c r="R453" t="s">
        <v>74</v>
      </c>
      <c r="S453" t="s">
        <v>74</v>
      </c>
      <c r="T453" t="s">
        <v>8947</v>
      </c>
      <c r="U453" t="s">
        <v>8948</v>
      </c>
      <c r="V453" t="s">
        <v>8949</v>
      </c>
      <c r="W453" t="s">
        <v>8950</v>
      </c>
      <c r="X453" t="s">
        <v>8951</v>
      </c>
      <c r="Y453" t="s">
        <v>8952</v>
      </c>
      <c r="Z453" t="s">
        <v>8953</v>
      </c>
      <c r="AA453" t="s">
        <v>74</v>
      </c>
      <c r="AB453" t="s">
        <v>74</v>
      </c>
      <c r="AC453" t="s">
        <v>8954</v>
      </c>
      <c r="AD453" t="s">
        <v>6517</v>
      </c>
      <c r="AE453" t="s">
        <v>8955</v>
      </c>
      <c r="AF453" t="s">
        <v>74</v>
      </c>
      <c r="AG453">
        <v>52</v>
      </c>
      <c r="AH453">
        <v>1</v>
      </c>
      <c r="AI453">
        <v>1</v>
      </c>
      <c r="AJ453">
        <v>3</v>
      </c>
      <c r="AK453">
        <v>8</v>
      </c>
      <c r="AL453" t="s">
        <v>924</v>
      </c>
      <c r="AM453" t="s">
        <v>299</v>
      </c>
      <c r="AN453" t="s">
        <v>925</v>
      </c>
      <c r="AO453" t="s">
        <v>926</v>
      </c>
      <c r="AP453" t="s">
        <v>927</v>
      </c>
      <c r="AQ453" t="s">
        <v>74</v>
      </c>
      <c r="AR453" t="s">
        <v>928</v>
      </c>
      <c r="AS453" t="s">
        <v>929</v>
      </c>
      <c r="AT453" t="s">
        <v>544</v>
      </c>
      <c r="AU453">
        <v>2023</v>
      </c>
      <c r="AV453">
        <v>295</v>
      </c>
      <c r="AW453" t="s">
        <v>74</v>
      </c>
      <c r="AX453" t="s">
        <v>74</v>
      </c>
      <c r="AY453" t="s">
        <v>74</v>
      </c>
      <c r="AZ453" t="s">
        <v>74</v>
      </c>
      <c r="BA453" t="s">
        <v>74</v>
      </c>
      <c r="BB453" t="s">
        <v>74</v>
      </c>
      <c r="BC453" t="s">
        <v>74</v>
      </c>
      <c r="BD453">
        <v>113701</v>
      </c>
      <c r="BE453" t="s">
        <v>8956</v>
      </c>
      <c r="BF453" t="str">
        <f>HYPERLINK("http://dx.doi.org/10.1016/j.rse.2023.113701","http://dx.doi.org/10.1016/j.rse.2023.113701")</f>
        <v>http://dx.doi.org/10.1016/j.rse.2023.113701</v>
      </c>
      <c r="BG453" t="s">
        <v>74</v>
      </c>
      <c r="BH453" t="s">
        <v>6115</v>
      </c>
      <c r="BI453">
        <v>16</v>
      </c>
      <c r="BJ453" t="s">
        <v>933</v>
      </c>
      <c r="BK453" t="s">
        <v>104</v>
      </c>
      <c r="BL453" t="s">
        <v>934</v>
      </c>
      <c r="BM453" t="s">
        <v>8957</v>
      </c>
      <c r="BN453" t="s">
        <v>74</v>
      </c>
      <c r="BO453" t="s">
        <v>74</v>
      </c>
      <c r="BP453" t="s">
        <v>74</v>
      </c>
      <c r="BQ453" t="s">
        <v>74</v>
      </c>
      <c r="BR453" t="s">
        <v>107</v>
      </c>
      <c r="BS453" t="s">
        <v>8958</v>
      </c>
      <c r="BT453" t="str">
        <f>HYPERLINK("https%3A%2F%2Fwww.webofscience.com%2Fwos%2Fwoscc%2Ffull-record%2FWOS:001037818700001","View Full Record in Web of Science")</f>
        <v>View Full Record in Web of Science</v>
      </c>
    </row>
    <row r="454" spans="1:72" x14ac:dyDescent="0.15">
      <c r="A454" t="s">
        <v>72</v>
      </c>
      <c r="B454" t="s">
        <v>8959</v>
      </c>
      <c r="C454" t="s">
        <v>74</v>
      </c>
      <c r="D454" t="s">
        <v>74</v>
      </c>
      <c r="E454" t="s">
        <v>74</v>
      </c>
      <c r="F454" t="s">
        <v>8960</v>
      </c>
      <c r="G454" t="s">
        <v>74</v>
      </c>
      <c r="H454" t="s">
        <v>74</v>
      </c>
      <c r="I454" t="s">
        <v>8961</v>
      </c>
      <c r="J454" t="s">
        <v>1763</v>
      </c>
      <c r="K454" t="s">
        <v>74</v>
      </c>
      <c r="L454" t="s">
        <v>74</v>
      </c>
      <c r="M454" t="s">
        <v>78</v>
      </c>
      <c r="N454" t="s">
        <v>79</v>
      </c>
      <c r="O454" t="s">
        <v>74</v>
      </c>
      <c r="P454" t="s">
        <v>74</v>
      </c>
      <c r="Q454" t="s">
        <v>74</v>
      </c>
      <c r="R454" t="s">
        <v>74</v>
      </c>
      <c r="S454" t="s">
        <v>74</v>
      </c>
      <c r="T454" t="s">
        <v>74</v>
      </c>
      <c r="U454" t="s">
        <v>8962</v>
      </c>
      <c r="V454" t="s">
        <v>8963</v>
      </c>
      <c r="W454" t="s">
        <v>8964</v>
      </c>
      <c r="X454" t="s">
        <v>8965</v>
      </c>
      <c r="Y454" t="s">
        <v>8966</v>
      </c>
      <c r="Z454" t="s">
        <v>8967</v>
      </c>
      <c r="AA454" t="s">
        <v>8968</v>
      </c>
      <c r="AB454" t="s">
        <v>8969</v>
      </c>
      <c r="AC454" t="s">
        <v>8970</v>
      </c>
      <c r="AD454" t="s">
        <v>8971</v>
      </c>
      <c r="AE454" t="s">
        <v>8972</v>
      </c>
      <c r="AF454" t="s">
        <v>74</v>
      </c>
      <c r="AG454">
        <v>79</v>
      </c>
      <c r="AH454">
        <v>2</v>
      </c>
      <c r="AI454">
        <v>2</v>
      </c>
      <c r="AJ454">
        <v>1</v>
      </c>
      <c r="AK454">
        <v>4</v>
      </c>
      <c r="AL454" t="s">
        <v>1775</v>
      </c>
      <c r="AM454" t="s">
        <v>1776</v>
      </c>
      <c r="AN454" t="s">
        <v>1777</v>
      </c>
      <c r="AO454" t="s">
        <v>1778</v>
      </c>
      <c r="AP454" t="s">
        <v>1779</v>
      </c>
      <c r="AQ454" t="s">
        <v>74</v>
      </c>
      <c r="AR454" t="s">
        <v>1763</v>
      </c>
      <c r="AS454" t="s">
        <v>1780</v>
      </c>
      <c r="AT454" t="s">
        <v>8904</v>
      </c>
      <c r="AU454">
        <v>2023</v>
      </c>
      <c r="AV454">
        <v>17</v>
      </c>
      <c r="AW454">
        <v>7</v>
      </c>
      <c r="AX454" t="s">
        <v>74</v>
      </c>
      <c r="AY454" t="s">
        <v>74</v>
      </c>
      <c r="AZ454" t="s">
        <v>74</v>
      </c>
      <c r="BA454" t="s">
        <v>74</v>
      </c>
      <c r="BB454">
        <v>2563</v>
      </c>
      <c r="BC454">
        <v>2583</v>
      </c>
      <c r="BD454" t="s">
        <v>74</v>
      </c>
      <c r="BE454" t="s">
        <v>8973</v>
      </c>
      <c r="BF454" t="str">
        <f>HYPERLINK("http://dx.doi.org/10.5194/tc-17-2563-2023","http://dx.doi.org/10.5194/tc-17-2563-2023")</f>
        <v>http://dx.doi.org/10.5194/tc-17-2563-2023</v>
      </c>
      <c r="BG454" t="s">
        <v>74</v>
      </c>
      <c r="BH454" t="s">
        <v>74</v>
      </c>
      <c r="BI454">
        <v>21</v>
      </c>
      <c r="BJ454" t="s">
        <v>1783</v>
      </c>
      <c r="BK454" t="s">
        <v>104</v>
      </c>
      <c r="BL454" t="s">
        <v>1784</v>
      </c>
      <c r="BM454" t="s">
        <v>8974</v>
      </c>
      <c r="BN454" t="s">
        <v>74</v>
      </c>
      <c r="BO454" t="s">
        <v>771</v>
      </c>
      <c r="BP454" t="s">
        <v>74</v>
      </c>
      <c r="BQ454" t="s">
        <v>74</v>
      </c>
      <c r="BR454" t="s">
        <v>107</v>
      </c>
      <c r="BS454" t="s">
        <v>8975</v>
      </c>
      <c r="BT454" t="str">
        <f>HYPERLINK("https%3A%2F%2Fwww.webofscience.com%2Fwos%2Fwoscc%2Ffull-record%2FWOS:001022315800001","View Full Record in Web of Science")</f>
        <v>View Full Record in Web of Science</v>
      </c>
    </row>
    <row r="455" spans="1:72" x14ac:dyDescent="0.15">
      <c r="A455" t="s">
        <v>72</v>
      </c>
      <c r="B455" t="s">
        <v>8976</v>
      </c>
      <c r="C455" t="s">
        <v>74</v>
      </c>
      <c r="D455" t="s">
        <v>74</v>
      </c>
      <c r="E455" t="s">
        <v>74</v>
      </c>
      <c r="F455" t="s">
        <v>8977</v>
      </c>
      <c r="G455" t="s">
        <v>74</v>
      </c>
      <c r="H455" t="s">
        <v>74</v>
      </c>
      <c r="I455" t="s">
        <v>8978</v>
      </c>
      <c r="J455" t="s">
        <v>1790</v>
      </c>
      <c r="K455" t="s">
        <v>74</v>
      </c>
      <c r="L455" t="s">
        <v>74</v>
      </c>
      <c r="M455" t="s">
        <v>78</v>
      </c>
      <c r="N455" t="s">
        <v>79</v>
      </c>
      <c r="O455" t="s">
        <v>74</v>
      </c>
      <c r="P455" t="s">
        <v>74</v>
      </c>
      <c r="Q455" t="s">
        <v>74</v>
      </c>
      <c r="R455" t="s">
        <v>74</v>
      </c>
      <c r="S455" t="s">
        <v>74</v>
      </c>
      <c r="T455" t="s">
        <v>8979</v>
      </c>
      <c r="U455" t="s">
        <v>8980</v>
      </c>
      <c r="V455" t="s">
        <v>8981</v>
      </c>
      <c r="W455" t="s">
        <v>8982</v>
      </c>
      <c r="X455" t="s">
        <v>8983</v>
      </c>
      <c r="Y455" t="s">
        <v>8984</v>
      </c>
      <c r="Z455" t="s">
        <v>8985</v>
      </c>
      <c r="AA455" t="s">
        <v>8986</v>
      </c>
      <c r="AB455" t="s">
        <v>8987</v>
      </c>
      <c r="AC455" t="s">
        <v>8988</v>
      </c>
      <c r="AD455" t="s">
        <v>8988</v>
      </c>
      <c r="AE455" t="s">
        <v>8989</v>
      </c>
      <c r="AF455" t="s">
        <v>74</v>
      </c>
      <c r="AG455">
        <v>105</v>
      </c>
      <c r="AH455">
        <v>2</v>
      </c>
      <c r="AI455">
        <v>2</v>
      </c>
      <c r="AJ455">
        <v>2</v>
      </c>
      <c r="AK455">
        <v>3</v>
      </c>
      <c r="AL455" t="s">
        <v>1803</v>
      </c>
      <c r="AM455" t="s">
        <v>299</v>
      </c>
      <c r="AN455" t="s">
        <v>1924</v>
      </c>
      <c r="AO455" t="s">
        <v>1806</v>
      </c>
      <c r="AP455" t="s">
        <v>1807</v>
      </c>
      <c r="AQ455" t="s">
        <v>74</v>
      </c>
      <c r="AR455" t="s">
        <v>1808</v>
      </c>
      <c r="AS455" t="s">
        <v>1809</v>
      </c>
      <c r="AT455" t="s">
        <v>8990</v>
      </c>
      <c r="AU455">
        <v>2023</v>
      </c>
      <c r="AV455">
        <v>35</v>
      </c>
      <c r="AW455">
        <v>3</v>
      </c>
      <c r="AX455" t="s">
        <v>74</v>
      </c>
      <c r="AY455" t="s">
        <v>74</v>
      </c>
      <c r="AZ455" t="s">
        <v>74</v>
      </c>
      <c r="BA455" t="s">
        <v>74</v>
      </c>
      <c r="BB455">
        <v>209</v>
      </c>
      <c r="BC455">
        <v>233</v>
      </c>
      <c r="BD455" t="s">
        <v>8991</v>
      </c>
      <c r="BE455" t="s">
        <v>8992</v>
      </c>
      <c r="BF455" t="str">
        <f>HYPERLINK("http://dx.doi.org/10.1017/S0954102023000123","http://dx.doi.org/10.1017/S0954102023000123")</f>
        <v>http://dx.doi.org/10.1017/S0954102023000123</v>
      </c>
      <c r="BG455" t="s">
        <v>74</v>
      </c>
      <c r="BH455" t="s">
        <v>6115</v>
      </c>
      <c r="BI455">
        <v>25</v>
      </c>
      <c r="BJ455" t="s">
        <v>1813</v>
      </c>
      <c r="BK455" t="s">
        <v>104</v>
      </c>
      <c r="BL455" t="s">
        <v>1814</v>
      </c>
      <c r="BM455" t="s">
        <v>8993</v>
      </c>
      <c r="BN455" t="s">
        <v>74</v>
      </c>
      <c r="BO455" t="s">
        <v>74</v>
      </c>
      <c r="BP455" t="s">
        <v>74</v>
      </c>
      <c r="BQ455" t="s">
        <v>74</v>
      </c>
      <c r="BR455" t="s">
        <v>107</v>
      </c>
      <c r="BS455" t="s">
        <v>8994</v>
      </c>
      <c r="BT455" t="str">
        <f>HYPERLINK("https%3A%2F%2Fwww.webofscience.com%2Fwos%2Fwoscc%2Ffull-record%2FWOS:001021332600001","View Full Record in Web of Science")</f>
        <v>View Full Record in Web of Science</v>
      </c>
    </row>
    <row r="456" spans="1:72" x14ac:dyDescent="0.15">
      <c r="A456" t="s">
        <v>72</v>
      </c>
      <c r="B456" t="s">
        <v>8995</v>
      </c>
      <c r="C456" t="s">
        <v>74</v>
      </c>
      <c r="D456" t="s">
        <v>74</v>
      </c>
      <c r="E456" t="s">
        <v>74</v>
      </c>
      <c r="F456" t="s">
        <v>8996</v>
      </c>
      <c r="G456" t="s">
        <v>74</v>
      </c>
      <c r="H456" t="s">
        <v>74</v>
      </c>
      <c r="I456" t="s">
        <v>8997</v>
      </c>
      <c r="J456" t="s">
        <v>3756</v>
      </c>
      <c r="K456" t="s">
        <v>74</v>
      </c>
      <c r="L456" t="s">
        <v>74</v>
      </c>
      <c r="M456" t="s">
        <v>78</v>
      </c>
      <c r="N456" t="s">
        <v>79</v>
      </c>
      <c r="O456" t="s">
        <v>74</v>
      </c>
      <c r="P456" t="s">
        <v>74</v>
      </c>
      <c r="Q456" t="s">
        <v>74</v>
      </c>
      <c r="R456" t="s">
        <v>74</v>
      </c>
      <c r="S456" t="s">
        <v>74</v>
      </c>
      <c r="T456" t="s">
        <v>8998</v>
      </c>
      <c r="U456" t="s">
        <v>8999</v>
      </c>
      <c r="V456" t="s">
        <v>9000</v>
      </c>
      <c r="W456" t="s">
        <v>9001</v>
      </c>
      <c r="X456" t="s">
        <v>9002</v>
      </c>
      <c r="Y456" t="s">
        <v>9003</v>
      </c>
      <c r="Z456" t="s">
        <v>6107</v>
      </c>
      <c r="AA456" t="s">
        <v>9004</v>
      </c>
      <c r="AB456" t="s">
        <v>9005</v>
      </c>
      <c r="AC456" t="s">
        <v>74</v>
      </c>
      <c r="AD456" t="s">
        <v>74</v>
      </c>
      <c r="AE456" t="s">
        <v>74</v>
      </c>
      <c r="AF456" t="s">
        <v>74</v>
      </c>
      <c r="AG456">
        <v>74</v>
      </c>
      <c r="AH456">
        <v>1</v>
      </c>
      <c r="AI456">
        <v>1</v>
      </c>
      <c r="AJ456">
        <v>4</v>
      </c>
      <c r="AK456">
        <v>7</v>
      </c>
      <c r="AL456" t="s">
        <v>298</v>
      </c>
      <c r="AM456" t="s">
        <v>299</v>
      </c>
      <c r="AN456" t="s">
        <v>300</v>
      </c>
      <c r="AO456" t="s">
        <v>3767</v>
      </c>
      <c r="AP456" t="s">
        <v>3768</v>
      </c>
      <c r="AQ456" t="s">
        <v>74</v>
      </c>
      <c r="AR456" t="s">
        <v>3769</v>
      </c>
      <c r="AS456" t="s">
        <v>3770</v>
      </c>
      <c r="AT456" t="s">
        <v>97</v>
      </c>
      <c r="AU456">
        <v>2023</v>
      </c>
      <c r="AV456">
        <v>46</v>
      </c>
      <c r="AW456">
        <v>9</v>
      </c>
      <c r="AX456" t="s">
        <v>74</v>
      </c>
      <c r="AY456" t="s">
        <v>74</v>
      </c>
      <c r="AZ456" t="s">
        <v>74</v>
      </c>
      <c r="BA456" t="s">
        <v>74</v>
      </c>
      <c r="BB456">
        <v>821</v>
      </c>
      <c r="BC456">
        <v>835</v>
      </c>
      <c r="BD456" t="s">
        <v>74</v>
      </c>
      <c r="BE456" t="s">
        <v>9006</v>
      </c>
      <c r="BF456" t="str">
        <f>HYPERLINK("http://dx.doi.org/10.1007/s00300-023-03166-0","http://dx.doi.org/10.1007/s00300-023-03166-0")</f>
        <v>http://dx.doi.org/10.1007/s00300-023-03166-0</v>
      </c>
      <c r="BG456" t="s">
        <v>74</v>
      </c>
      <c r="BH456" t="s">
        <v>6115</v>
      </c>
      <c r="BI456">
        <v>15</v>
      </c>
      <c r="BJ456" t="s">
        <v>3772</v>
      </c>
      <c r="BK456" t="s">
        <v>104</v>
      </c>
      <c r="BL456" t="s">
        <v>1905</v>
      </c>
      <c r="BM456" t="s">
        <v>4538</v>
      </c>
      <c r="BN456" t="s">
        <v>74</v>
      </c>
      <c r="BO456" t="s">
        <v>549</v>
      </c>
      <c r="BP456" t="s">
        <v>74</v>
      </c>
      <c r="BQ456" t="s">
        <v>74</v>
      </c>
      <c r="BR456" t="s">
        <v>107</v>
      </c>
      <c r="BS456" t="s">
        <v>9007</v>
      </c>
      <c r="BT456" t="str">
        <f>HYPERLINK("https%3A%2F%2Fwww.webofscience.com%2Fwos%2Fwoscc%2Ffull-record%2FWOS:001018738200001","View Full Record in Web of Science")</f>
        <v>View Full Record in Web of Science</v>
      </c>
    </row>
    <row r="457" spans="1:72" x14ac:dyDescent="0.15">
      <c r="A457" t="s">
        <v>72</v>
      </c>
      <c r="B457" t="s">
        <v>9008</v>
      </c>
      <c r="C457" t="s">
        <v>74</v>
      </c>
      <c r="D457" t="s">
        <v>74</v>
      </c>
      <c r="E457" t="s">
        <v>74</v>
      </c>
      <c r="F457" t="s">
        <v>9009</v>
      </c>
      <c r="G457" t="s">
        <v>74</v>
      </c>
      <c r="H457" t="s">
        <v>74</v>
      </c>
      <c r="I457" t="s">
        <v>9010</v>
      </c>
      <c r="J457" t="s">
        <v>9011</v>
      </c>
      <c r="K457" t="s">
        <v>74</v>
      </c>
      <c r="L457" t="s">
        <v>74</v>
      </c>
      <c r="M457" t="s">
        <v>78</v>
      </c>
      <c r="N457" t="s">
        <v>79</v>
      </c>
      <c r="O457" t="s">
        <v>74</v>
      </c>
      <c r="P457" t="s">
        <v>74</v>
      </c>
      <c r="Q457" t="s">
        <v>74</v>
      </c>
      <c r="R457" t="s">
        <v>74</v>
      </c>
      <c r="S457" t="s">
        <v>74</v>
      </c>
      <c r="T457" t="s">
        <v>74</v>
      </c>
      <c r="U457" t="s">
        <v>74</v>
      </c>
      <c r="V457" t="s">
        <v>9012</v>
      </c>
      <c r="W457" t="s">
        <v>74</v>
      </c>
      <c r="X457" t="s">
        <v>74</v>
      </c>
      <c r="Y457" t="s">
        <v>74</v>
      </c>
      <c r="Z457" t="s">
        <v>74</v>
      </c>
      <c r="AA457" t="s">
        <v>74</v>
      </c>
      <c r="AB457" t="s">
        <v>74</v>
      </c>
      <c r="AC457" t="s">
        <v>9013</v>
      </c>
      <c r="AD457" t="s">
        <v>9014</v>
      </c>
      <c r="AE457" t="s">
        <v>9015</v>
      </c>
      <c r="AF457" t="s">
        <v>74</v>
      </c>
      <c r="AG457">
        <v>15</v>
      </c>
      <c r="AH457">
        <v>0</v>
      </c>
      <c r="AI457">
        <v>0</v>
      </c>
      <c r="AJ457">
        <v>0</v>
      </c>
      <c r="AK457">
        <v>0</v>
      </c>
      <c r="AL457" t="s">
        <v>9011</v>
      </c>
      <c r="AM457" t="s">
        <v>9016</v>
      </c>
      <c r="AN457" t="s">
        <v>9017</v>
      </c>
      <c r="AO457" t="s">
        <v>9018</v>
      </c>
      <c r="AP457" t="s">
        <v>74</v>
      </c>
      <c r="AQ457" t="s">
        <v>74</v>
      </c>
      <c r="AR457" t="s">
        <v>9019</v>
      </c>
      <c r="AS457" t="s">
        <v>9020</v>
      </c>
      <c r="AT457" t="s">
        <v>3612</v>
      </c>
      <c r="AU457">
        <v>2023</v>
      </c>
      <c r="AV457">
        <v>50</v>
      </c>
      <c r="AW457" t="s">
        <v>74</v>
      </c>
      <c r="AX457">
        <v>2</v>
      </c>
      <c r="AY457" t="s">
        <v>74</v>
      </c>
      <c r="AZ457" t="s">
        <v>74</v>
      </c>
      <c r="BA457" t="s">
        <v>74</v>
      </c>
      <c r="BB457">
        <v>233</v>
      </c>
      <c r="BC457">
        <v>250</v>
      </c>
      <c r="BD457" t="s">
        <v>74</v>
      </c>
      <c r="BE457" t="s">
        <v>74</v>
      </c>
      <c r="BF457" t="s">
        <v>74</v>
      </c>
      <c r="BG457" t="s">
        <v>74</v>
      </c>
      <c r="BH457" t="s">
        <v>74</v>
      </c>
      <c r="BI457">
        <v>18</v>
      </c>
      <c r="BJ457" t="s">
        <v>9021</v>
      </c>
      <c r="BK457" t="s">
        <v>3931</v>
      </c>
      <c r="BL457" t="s">
        <v>9021</v>
      </c>
      <c r="BM457" t="s">
        <v>9022</v>
      </c>
      <c r="BN457" t="s">
        <v>74</v>
      </c>
      <c r="BO457" t="s">
        <v>74</v>
      </c>
      <c r="BP457" t="s">
        <v>74</v>
      </c>
      <c r="BQ457" t="s">
        <v>74</v>
      </c>
      <c r="BR457" t="s">
        <v>107</v>
      </c>
      <c r="BS457" t="s">
        <v>9023</v>
      </c>
      <c r="BT457" t="str">
        <f>HYPERLINK("https%3A%2F%2Fwww.webofscience.com%2Fwos%2Fwoscc%2Ffull-record%2FWOS:001193269500005","View Full Record in Web of Science")</f>
        <v>View Full Record in Web of Science</v>
      </c>
    </row>
    <row r="458" spans="1:72" x14ac:dyDescent="0.15">
      <c r="A458" t="s">
        <v>72</v>
      </c>
      <c r="B458" t="s">
        <v>9024</v>
      </c>
      <c r="C458" t="s">
        <v>74</v>
      </c>
      <c r="D458" t="s">
        <v>74</v>
      </c>
      <c r="E458" t="s">
        <v>74</v>
      </c>
      <c r="F458" t="s">
        <v>9025</v>
      </c>
      <c r="G458" t="s">
        <v>74</v>
      </c>
      <c r="H458" t="s">
        <v>74</v>
      </c>
      <c r="I458" t="s">
        <v>9026</v>
      </c>
      <c r="J458" t="s">
        <v>1358</v>
      </c>
      <c r="K458" t="s">
        <v>74</v>
      </c>
      <c r="L458" t="s">
        <v>74</v>
      </c>
      <c r="M458" t="s">
        <v>78</v>
      </c>
      <c r="N458" t="s">
        <v>79</v>
      </c>
      <c r="O458" t="s">
        <v>74</v>
      </c>
      <c r="P458" t="s">
        <v>74</v>
      </c>
      <c r="Q458" t="s">
        <v>74</v>
      </c>
      <c r="R458" t="s">
        <v>74</v>
      </c>
      <c r="S458" t="s">
        <v>74</v>
      </c>
      <c r="T458" t="s">
        <v>9027</v>
      </c>
      <c r="U458" t="s">
        <v>9028</v>
      </c>
      <c r="V458" t="s">
        <v>9029</v>
      </c>
      <c r="W458" t="s">
        <v>9030</v>
      </c>
      <c r="X458" t="s">
        <v>9031</v>
      </c>
      <c r="Y458" t="s">
        <v>9032</v>
      </c>
      <c r="Z458" t="s">
        <v>9033</v>
      </c>
      <c r="AA458" t="s">
        <v>9034</v>
      </c>
      <c r="AB458" t="s">
        <v>9035</v>
      </c>
      <c r="AC458" t="s">
        <v>9036</v>
      </c>
      <c r="AD458" t="s">
        <v>9037</v>
      </c>
      <c r="AE458" t="s">
        <v>9038</v>
      </c>
      <c r="AF458" t="s">
        <v>74</v>
      </c>
      <c r="AG458">
        <v>106</v>
      </c>
      <c r="AH458">
        <v>0</v>
      </c>
      <c r="AI458">
        <v>0</v>
      </c>
      <c r="AJ458">
        <v>1</v>
      </c>
      <c r="AK458">
        <v>1</v>
      </c>
      <c r="AL458" t="s">
        <v>588</v>
      </c>
      <c r="AM458" t="s">
        <v>589</v>
      </c>
      <c r="AN458" t="s">
        <v>590</v>
      </c>
      <c r="AO458" t="s">
        <v>1368</v>
      </c>
      <c r="AP458" t="s">
        <v>1369</v>
      </c>
      <c r="AQ458" t="s">
        <v>74</v>
      </c>
      <c r="AR458" t="s">
        <v>1370</v>
      </c>
      <c r="AS458" t="s">
        <v>1371</v>
      </c>
      <c r="AT458" t="s">
        <v>3612</v>
      </c>
      <c r="AU458">
        <v>2023</v>
      </c>
      <c r="AV458">
        <v>128</v>
      </c>
      <c r="AW458">
        <v>7</v>
      </c>
      <c r="AX458" t="s">
        <v>74</v>
      </c>
      <c r="AY458" t="s">
        <v>74</v>
      </c>
      <c r="AZ458" t="s">
        <v>74</v>
      </c>
      <c r="BA458" t="s">
        <v>74</v>
      </c>
      <c r="BB458" t="s">
        <v>74</v>
      </c>
      <c r="BC458" t="s">
        <v>74</v>
      </c>
      <c r="BD458" t="s">
        <v>9039</v>
      </c>
      <c r="BE458" t="s">
        <v>9040</v>
      </c>
      <c r="BF458" t="str">
        <f>HYPERLINK("http://dx.doi.org/10.1029/2022JB025687","http://dx.doi.org/10.1029/2022JB025687")</f>
        <v>http://dx.doi.org/10.1029/2022JB025687</v>
      </c>
      <c r="BG458" t="s">
        <v>74</v>
      </c>
      <c r="BH458" t="s">
        <v>74</v>
      </c>
      <c r="BI458">
        <v>22</v>
      </c>
      <c r="BJ458" t="s">
        <v>597</v>
      </c>
      <c r="BK458" t="s">
        <v>104</v>
      </c>
      <c r="BL458" t="s">
        <v>597</v>
      </c>
      <c r="BM458" t="s">
        <v>9041</v>
      </c>
      <c r="BN458" t="s">
        <v>74</v>
      </c>
      <c r="BO458" t="s">
        <v>1128</v>
      </c>
      <c r="BP458" t="s">
        <v>74</v>
      </c>
      <c r="BQ458" t="s">
        <v>74</v>
      </c>
      <c r="BR458" t="s">
        <v>107</v>
      </c>
      <c r="BS458" t="s">
        <v>9042</v>
      </c>
      <c r="BT458" t="str">
        <f>HYPERLINK("https%3A%2F%2Fwww.webofscience.com%2Fwos%2Fwoscc%2Ffull-record%2FWOS:001059657600001","View Full Record in Web of Science")</f>
        <v>View Full Record in Web of Science</v>
      </c>
    </row>
    <row r="459" spans="1:72" x14ac:dyDescent="0.15">
      <c r="A459" t="s">
        <v>72</v>
      </c>
      <c r="B459" t="s">
        <v>9043</v>
      </c>
      <c r="C459" t="s">
        <v>74</v>
      </c>
      <c r="D459" t="s">
        <v>74</v>
      </c>
      <c r="E459" t="s">
        <v>74</v>
      </c>
      <c r="F459" t="s">
        <v>9044</v>
      </c>
      <c r="G459" t="s">
        <v>74</v>
      </c>
      <c r="H459" t="s">
        <v>74</v>
      </c>
      <c r="I459" t="s">
        <v>9045</v>
      </c>
      <c r="J459" t="s">
        <v>9046</v>
      </c>
      <c r="K459" t="s">
        <v>74</v>
      </c>
      <c r="L459" t="s">
        <v>74</v>
      </c>
      <c r="M459" t="s">
        <v>78</v>
      </c>
      <c r="N459" t="s">
        <v>79</v>
      </c>
      <c r="O459" t="s">
        <v>74</v>
      </c>
      <c r="P459" t="s">
        <v>74</v>
      </c>
      <c r="Q459" t="s">
        <v>74</v>
      </c>
      <c r="R459" t="s">
        <v>74</v>
      </c>
      <c r="S459" t="s">
        <v>74</v>
      </c>
      <c r="T459" t="s">
        <v>9047</v>
      </c>
      <c r="U459" t="s">
        <v>9048</v>
      </c>
      <c r="V459" t="s">
        <v>9049</v>
      </c>
      <c r="W459" t="s">
        <v>9050</v>
      </c>
      <c r="X459" t="s">
        <v>9051</v>
      </c>
      <c r="Y459" t="s">
        <v>9052</v>
      </c>
      <c r="Z459" t="s">
        <v>9053</v>
      </c>
      <c r="AA459" t="s">
        <v>9054</v>
      </c>
      <c r="AB459" t="s">
        <v>9055</v>
      </c>
      <c r="AC459" t="s">
        <v>9056</v>
      </c>
      <c r="AD459" t="s">
        <v>9057</v>
      </c>
      <c r="AE459" t="s">
        <v>9058</v>
      </c>
      <c r="AF459" t="s">
        <v>74</v>
      </c>
      <c r="AG459">
        <v>111</v>
      </c>
      <c r="AH459">
        <v>0</v>
      </c>
      <c r="AI459">
        <v>0</v>
      </c>
      <c r="AJ459">
        <v>2</v>
      </c>
      <c r="AK459">
        <v>2</v>
      </c>
      <c r="AL459" t="s">
        <v>9059</v>
      </c>
      <c r="AM459" t="s">
        <v>1804</v>
      </c>
      <c r="AN459" t="s">
        <v>9060</v>
      </c>
      <c r="AO459" t="s">
        <v>9061</v>
      </c>
      <c r="AP459" t="s">
        <v>9062</v>
      </c>
      <c r="AQ459" t="s">
        <v>74</v>
      </c>
      <c r="AR459" t="s">
        <v>9063</v>
      </c>
      <c r="AS459" t="s">
        <v>9064</v>
      </c>
      <c r="AT459" t="s">
        <v>3612</v>
      </c>
      <c r="AU459">
        <v>2023</v>
      </c>
      <c r="AV459">
        <v>226</v>
      </c>
      <c r="AW459">
        <v>14</v>
      </c>
      <c r="AX459" t="s">
        <v>74</v>
      </c>
      <c r="AY459" t="s">
        <v>74</v>
      </c>
      <c r="AZ459" t="s">
        <v>74</v>
      </c>
      <c r="BA459" t="s">
        <v>74</v>
      </c>
      <c r="BB459" t="s">
        <v>74</v>
      </c>
      <c r="BC459" t="s">
        <v>74</v>
      </c>
      <c r="BD459" t="s">
        <v>9065</v>
      </c>
      <c r="BE459" t="s">
        <v>9066</v>
      </c>
      <c r="BF459" t="str">
        <f>HYPERLINK("http://dx.doi.org/10.1242/jeb.246059","http://dx.doi.org/10.1242/jeb.246059")</f>
        <v>http://dx.doi.org/10.1242/jeb.246059</v>
      </c>
      <c r="BG459" t="s">
        <v>74</v>
      </c>
      <c r="BH459" t="s">
        <v>74</v>
      </c>
      <c r="BI459">
        <v>15</v>
      </c>
      <c r="BJ459" t="s">
        <v>1045</v>
      </c>
      <c r="BK459" t="s">
        <v>104</v>
      </c>
      <c r="BL459" t="s">
        <v>1046</v>
      </c>
      <c r="BM459" t="s">
        <v>9067</v>
      </c>
      <c r="BN459">
        <v>37345474</v>
      </c>
      <c r="BO459" t="s">
        <v>133</v>
      </c>
      <c r="BP459" t="s">
        <v>74</v>
      </c>
      <c r="BQ459" t="s">
        <v>74</v>
      </c>
      <c r="BR459" t="s">
        <v>107</v>
      </c>
      <c r="BS459" t="s">
        <v>9068</v>
      </c>
      <c r="BT459" t="str">
        <f>HYPERLINK("https%3A%2F%2Fwww.webofscience.com%2Fwos%2Fwoscc%2Ffull-record%2FWOS:001109167500011","View Full Record in Web of Science")</f>
        <v>View Full Record in Web of Science</v>
      </c>
    </row>
    <row r="460" spans="1:72" x14ac:dyDescent="0.15">
      <c r="A460" t="s">
        <v>72</v>
      </c>
      <c r="B460" t="s">
        <v>9069</v>
      </c>
      <c r="C460" t="s">
        <v>74</v>
      </c>
      <c r="D460" t="s">
        <v>74</v>
      </c>
      <c r="E460" t="s">
        <v>74</v>
      </c>
      <c r="F460" t="s">
        <v>9070</v>
      </c>
      <c r="G460" t="s">
        <v>74</v>
      </c>
      <c r="H460" t="s">
        <v>74</v>
      </c>
      <c r="I460" t="s">
        <v>9071</v>
      </c>
      <c r="J460" t="s">
        <v>9072</v>
      </c>
      <c r="K460" t="s">
        <v>74</v>
      </c>
      <c r="L460" t="s">
        <v>74</v>
      </c>
      <c r="M460" t="s">
        <v>78</v>
      </c>
      <c r="N460" t="s">
        <v>79</v>
      </c>
      <c r="O460" t="s">
        <v>74</v>
      </c>
      <c r="P460" t="s">
        <v>74</v>
      </c>
      <c r="Q460" t="s">
        <v>74</v>
      </c>
      <c r="R460" t="s">
        <v>74</v>
      </c>
      <c r="S460" t="s">
        <v>74</v>
      </c>
      <c r="T460" t="s">
        <v>9073</v>
      </c>
      <c r="U460" t="s">
        <v>9074</v>
      </c>
      <c r="V460" t="s">
        <v>9075</v>
      </c>
      <c r="W460" t="s">
        <v>9076</v>
      </c>
      <c r="X460" t="s">
        <v>9077</v>
      </c>
      <c r="Y460" t="s">
        <v>9078</v>
      </c>
      <c r="Z460" t="s">
        <v>9079</v>
      </c>
      <c r="AA460" t="s">
        <v>9080</v>
      </c>
      <c r="AB460" t="s">
        <v>74</v>
      </c>
      <c r="AC460" t="s">
        <v>9081</v>
      </c>
      <c r="AD460" t="s">
        <v>2603</v>
      </c>
      <c r="AE460" t="s">
        <v>9082</v>
      </c>
      <c r="AF460" t="s">
        <v>74</v>
      </c>
      <c r="AG460">
        <v>30</v>
      </c>
      <c r="AH460">
        <v>0</v>
      </c>
      <c r="AI460">
        <v>0</v>
      </c>
      <c r="AJ460">
        <v>0</v>
      </c>
      <c r="AK460">
        <v>0</v>
      </c>
      <c r="AL460" t="s">
        <v>4830</v>
      </c>
      <c r="AM460" t="s">
        <v>299</v>
      </c>
      <c r="AN460" t="s">
        <v>4831</v>
      </c>
      <c r="AO460" t="s">
        <v>9083</v>
      </c>
      <c r="AP460" t="s">
        <v>9084</v>
      </c>
      <c r="AQ460" t="s">
        <v>74</v>
      </c>
      <c r="AR460" t="s">
        <v>9085</v>
      </c>
      <c r="AS460" t="s">
        <v>9086</v>
      </c>
      <c r="AT460" t="s">
        <v>3612</v>
      </c>
      <c r="AU460">
        <v>2023</v>
      </c>
      <c r="AV460">
        <v>48</v>
      </c>
      <c r="AW460">
        <v>7</v>
      </c>
      <c r="AX460" t="s">
        <v>74</v>
      </c>
      <c r="AY460" t="s">
        <v>74</v>
      </c>
      <c r="AZ460" t="s">
        <v>74</v>
      </c>
      <c r="BA460" t="s">
        <v>74</v>
      </c>
      <c r="BB460">
        <v>567</v>
      </c>
      <c r="BC460">
        <v>575</v>
      </c>
      <c r="BD460" t="s">
        <v>74</v>
      </c>
      <c r="BE460" t="s">
        <v>9087</v>
      </c>
      <c r="BF460" t="str">
        <f>HYPERLINK("http://dx.doi.org/10.3103/S1068373923070026","http://dx.doi.org/10.3103/S1068373923070026")</f>
        <v>http://dx.doi.org/10.3103/S1068373923070026</v>
      </c>
      <c r="BG460" t="s">
        <v>74</v>
      </c>
      <c r="BH460" t="s">
        <v>74</v>
      </c>
      <c r="BI460">
        <v>9</v>
      </c>
      <c r="BJ460" t="s">
        <v>103</v>
      </c>
      <c r="BK460" t="s">
        <v>104</v>
      </c>
      <c r="BL460" t="s">
        <v>103</v>
      </c>
      <c r="BM460" t="s">
        <v>9088</v>
      </c>
      <c r="BN460" t="s">
        <v>74</v>
      </c>
      <c r="BO460" t="s">
        <v>74</v>
      </c>
      <c r="BP460" t="s">
        <v>74</v>
      </c>
      <c r="BQ460" t="s">
        <v>74</v>
      </c>
      <c r="BR460" t="s">
        <v>107</v>
      </c>
      <c r="BS460" t="s">
        <v>9089</v>
      </c>
      <c r="BT460" t="str">
        <f>HYPERLINK("https%3A%2F%2Fwww.webofscience.com%2Fwos%2Fwoscc%2Ffull-record%2FWOS:001102625900002","View Full Record in Web of Science")</f>
        <v>View Full Record in Web of Science</v>
      </c>
    </row>
    <row r="461" spans="1:72" x14ac:dyDescent="0.15">
      <c r="A461" t="s">
        <v>72</v>
      </c>
      <c r="B461" t="s">
        <v>9090</v>
      </c>
      <c r="C461" t="s">
        <v>74</v>
      </c>
      <c r="D461" t="s">
        <v>74</v>
      </c>
      <c r="E461" t="s">
        <v>74</v>
      </c>
      <c r="F461" t="s">
        <v>9091</v>
      </c>
      <c r="G461" t="s">
        <v>74</v>
      </c>
      <c r="H461" t="s">
        <v>74</v>
      </c>
      <c r="I461" t="s">
        <v>9092</v>
      </c>
      <c r="J461" t="s">
        <v>9093</v>
      </c>
      <c r="K461" t="s">
        <v>74</v>
      </c>
      <c r="L461" t="s">
        <v>74</v>
      </c>
      <c r="M461" t="s">
        <v>9094</v>
      </c>
      <c r="N461" t="s">
        <v>79</v>
      </c>
      <c r="O461" t="s">
        <v>74</v>
      </c>
      <c r="P461" t="s">
        <v>74</v>
      </c>
      <c r="Q461" t="s">
        <v>74</v>
      </c>
      <c r="R461" t="s">
        <v>74</v>
      </c>
      <c r="S461" t="s">
        <v>74</v>
      </c>
      <c r="T461" t="s">
        <v>9095</v>
      </c>
      <c r="U461" t="s">
        <v>9096</v>
      </c>
      <c r="V461" t="s">
        <v>9097</v>
      </c>
      <c r="W461" t="s">
        <v>9098</v>
      </c>
      <c r="X461" t="s">
        <v>9099</v>
      </c>
      <c r="Y461" t="s">
        <v>9100</v>
      </c>
      <c r="Z461" t="s">
        <v>9101</v>
      </c>
      <c r="AA461" t="s">
        <v>74</v>
      </c>
      <c r="AB461" t="s">
        <v>74</v>
      </c>
      <c r="AC461" t="s">
        <v>74</v>
      </c>
      <c r="AD461" t="s">
        <v>74</v>
      </c>
      <c r="AE461" t="s">
        <v>74</v>
      </c>
      <c r="AF461" t="s">
        <v>74</v>
      </c>
      <c r="AG461">
        <v>50</v>
      </c>
      <c r="AH461">
        <v>0</v>
      </c>
      <c r="AI461">
        <v>0</v>
      </c>
      <c r="AJ461">
        <v>1</v>
      </c>
      <c r="AK461">
        <v>1</v>
      </c>
      <c r="AL461" t="s">
        <v>9102</v>
      </c>
      <c r="AM461" t="s">
        <v>9103</v>
      </c>
      <c r="AN461" t="s">
        <v>9104</v>
      </c>
      <c r="AO461" t="s">
        <v>9105</v>
      </c>
      <c r="AP461" t="s">
        <v>9106</v>
      </c>
      <c r="AQ461" t="s">
        <v>74</v>
      </c>
      <c r="AR461" t="s">
        <v>9107</v>
      </c>
      <c r="AS461" t="s">
        <v>9108</v>
      </c>
      <c r="AT461" t="s">
        <v>9109</v>
      </c>
      <c r="AU461">
        <v>2023</v>
      </c>
      <c r="AV461">
        <v>24</v>
      </c>
      <c r="AW461">
        <v>3</v>
      </c>
      <c r="AX461" t="s">
        <v>74</v>
      </c>
      <c r="AY461" t="s">
        <v>74</v>
      </c>
      <c r="AZ461" t="s">
        <v>74</v>
      </c>
      <c r="BA461" t="s">
        <v>74</v>
      </c>
      <c r="BB461" t="s">
        <v>74</v>
      </c>
      <c r="BC461" t="s">
        <v>74</v>
      </c>
      <c r="BD461" t="s">
        <v>9110</v>
      </c>
      <c r="BE461" t="s">
        <v>9111</v>
      </c>
      <c r="BF461" t="str">
        <f>HYPERLINK("http://dx.doi.org/10.20502/rbg.v24i3.2248","http://dx.doi.org/10.20502/rbg.v24i3.2248")</f>
        <v>http://dx.doi.org/10.20502/rbg.v24i3.2248</v>
      </c>
      <c r="BG461" t="s">
        <v>74</v>
      </c>
      <c r="BH461" t="s">
        <v>74</v>
      </c>
      <c r="BI461">
        <v>14</v>
      </c>
      <c r="BJ461" t="s">
        <v>9112</v>
      </c>
      <c r="BK461" t="s">
        <v>518</v>
      </c>
      <c r="BL461" t="s">
        <v>9113</v>
      </c>
      <c r="BM461" t="s">
        <v>9114</v>
      </c>
      <c r="BN461" t="s">
        <v>74</v>
      </c>
      <c r="BO461" t="s">
        <v>206</v>
      </c>
      <c r="BP461" t="s">
        <v>74</v>
      </c>
      <c r="BQ461" t="s">
        <v>74</v>
      </c>
      <c r="BR461" t="s">
        <v>107</v>
      </c>
      <c r="BS461" t="s">
        <v>9115</v>
      </c>
      <c r="BT461" t="str">
        <f>HYPERLINK("https%3A%2F%2Fwww.webofscience.com%2Fwos%2Fwoscc%2Ffull-record%2FWOS:001072404300002","View Full Record in Web of Science")</f>
        <v>View Full Record in Web of Science</v>
      </c>
    </row>
    <row r="462" spans="1:72" x14ac:dyDescent="0.15">
      <c r="A462" t="s">
        <v>72</v>
      </c>
      <c r="B462" t="s">
        <v>9116</v>
      </c>
      <c r="C462" t="s">
        <v>74</v>
      </c>
      <c r="D462" t="s">
        <v>74</v>
      </c>
      <c r="E462" t="s">
        <v>74</v>
      </c>
      <c r="F462" t="s">
        <v>9117</v>
      </c>
      <c r="G462" t="s">
        <v>74</v>
      </c>
      <c r="H462" t="s">
        <v>74</v>
      </c>
      <c r="I462" t="s">
        <v>9118</v>
      </c>
      <c r="J462" t="s">
        <v>9093</v>
      </c>
      <c r="K462" t="s">
        <v>74</v>
      </c>
      <c r="L462" t="s">
        <v>74</v>
      </c>
      <c r="M462" t="s">
        <v>78</v>
      </c>
      <c r="N462" t="s">
        <v>79</v>
      </c>
      <c r="O462" t="s">
        <v>74</v>
      </c>
      <c r="P462" t="s">
        <v>74</v>
      </c>
      <c r="Q462" t="s">
        <v>74</v>
      </c>
      <c r="R462" t="s">
        <v>74</v>
      </c>
      <c r="S462" t="s">
        <v>74</v>
      </c>
      <c r="T462" t="s">
        <v>9119</v>
      </c>
      <c r="U462" t="s">
        <v>9120</v>
      </c>
      <c r="V462" t="s">
        <v>9121</v>
      </c>
      <c r="W462" t="s">
        <v>9122</v>
      </c>
      <c r="X462" t="s">
        <v>9123</v>
      </c>
      <c r="Y462" t="s">
        <v>9124</v>
      </c>
      <c r="Z462" t="s">
        <v>9125</v>
      </c>
      <c r="AA462" t="s">
        <v>9126</v>
      </c>
      <c r="AB462" t="s">
        <v>9127</v>
      </c>
      <c r="AC462" t="s">
        <v>9128</v>
      </c>
      <c r="AD462" t="s">
        <v>9129</v>
      </c>
      <c r="AE462" t="s">
        <v>9130</v>
      </c>
      <c r="AF462" t="s">
        <v>74</v>
      </c>
      <c r="AG462">
        <v>80</v>
      </c>
      <c r="AH462">
        <v>0</v>
      </c>
      <c r="AI462">
        <v>0</v>
      </c>
      <c r="AJ462">
        <v>1</v>
      </c>
      <c r="AK462">
        <v>1</v>
      </c>
      <c r="AL462" t="s">
        <v>9102</v>
      </c>
      <c r="AM462" t="s">
        <v>9103</v>
      </c>
      <c r="AN462" t="s">
        <v>9104</v>
      </c>
      <c r="AO462" t="s">
        <v>9105</v>
      </c>
      <c r="AP462" t="s">
        <v>9106</v>
      </c>
      <c r="AQ462" t="s">
        <v>74</v>
      </c>
      <c r="AR462" t="s">
        <v>9107</v>
      </c>
      <c r="AS462" t="s">
        <v>9108</v>
      </c>
      <c r="AT462" t="s">
        <v>9109</v>
      </c>
      <c r="AU462">
        <v>2023</v>
      </c>
      <c r="AV462">
        <v>24</v>
      </c>
      <c r="AW462">
        <v>3</v>
      </c>
      <c r="AX462" t="s">
        <v>74</v>
      </c>
      <c r="AY462" t="s">
        <v>74</v>
      </c>
      <c r="AZ462" t="s">
        <v>74</v>
      </c>
      <c r="BA462" t="s">
        <v>74</v>
      </c>
      <c r="BB462" t="s">
        <v>74</v>
      </c>
      <c r="BC462" t="s">
        <v>74</v>
      </c>
      <c r="BD462" t="s">
        <v>9131</v>
      </c>
      <c r="BE462" t="s">
        <v>9132</v>
      </c>
      <c r="BF462" t="str">
        <f>HYPERLINK("http://dx.doi.org/10.20502/rbg.v24i3.2425","http://dx.doi.org/10.20502/rbg.v24i3.2425")</f>
        <v>http://dx.doi.org/10.20502/rbg.v24i3.2425</v>
      </c>
      <c r="BG462" t="s">
        <v>74</v>
      </c>
      <c r="BH462" t="s">
        <v>74</v>
      </c>
      <c r="BI462">
        <v>25</v>
      </c>
      <c r="BJ462" t="s">
        <v>9112</v>
      </c>
      <c r="BK462" t="s">
        <v>518</v>
      </c>
      <c r="BL462" t="s">
        <v>9113</v>
      </c>
      <c r="BM462" t="s">
        <v>9133</v>
      </c>
      <c r="BN462" t="s">
        <v>74</v>
      </c>
      <c r="BO462" t="s">
        <v>206</v>
      </c>
      <c r="BP462" t="s">
        <v>74</v>
      </c>
      <c r="BQ462" t="s">
        <v>74</v>
      </c>
      <c r="BR462" t="s">
        <v>107</v>
      </c>
      <c r="BS462" t="s">
        <v>9134</v>
      </c>
      <c r="BT462" t="str">
        <f>HYPERLINK("https%3A%2F%2Fwww.webofscience.com%2Fwos%2Fwoscc%2Ffull-record%2FWOS:001072296600001","View Full Record in Web of Science")</f>
        <v>View Full Record in Web of Science</v>
      </c>
    </row>
    <row r="463" spans="1:72" x14ac:dyDescent="0.15">
      <c r="A463" t="s">
        <v>72</v>
      </c>
      <c r="B463" t="s">
        <v>9135</v>
      </c>
      <c r="C463" t="s">
        <v>74</v>
      </c>
      <c r="D463" t="s">
        <v>74</v>
      </c>
      <c r="E463" t="s">
        <v>74</v>
      </c>
      <c r="F463" t="s">
        <v>9136</v>
      </c>
      <c r="G463" t="s">
        <v>74</v>
      </c>
      <c r="H463" t="s">
        <v>74</v>
      </c>
      <c r="I463" t="s">
        <v>9137</v>
      </c>
      <c r="J463" t="s">
        <v>9138</v>
      </c>
      <c r="K463" t="s">
        <v>74</v>
      </c>
      <c r="L463" t="s">
        <v>74</v>
      </c>
      <c r="M463" t="s">
        <v>78</v>
      </c>
      <c r="N463" t="s">
        <v>79</v>
      </c>
      <c r="O463" t="s">
        <v>74</v>
      </c>
      <c r="P463" t="s">
        <v>74</v>
      </c>
      <c r="Q463" t="s">
        <v>74</v>
      </c>
      <c r="R463" t="s">
        <v>74</v>
      </c>
      <c r="S463" t="s">
        <v>74</v>
      </c>
      <c r="T463" t="s">
        <v>9139</v>
      </c>
      <c r="U463" t="s">
        <v>9140</v>
      </c>
      <c r="V463" t="s">
        <v>9141</v>
      </c>
      <c r="W463" t="s">
        <v>9142</v>
      </c>
      <c r="X463" t="s">
        <v>9143</v>
      </c>
      <c r="Y463" t="s">
        <v>9144</v>
      </c>
      <c r="Z463" t="s">
        <v>9145</v>
      </c>
      <c r="AA463" t="s">
        <v>9146</v>
      </c>
      <c r="AB463" t="s">
        <v>9147</v>
      </c>
      <c r="AC463" t="s">
        <v>9148</v>
      </c>
      <c r="AD463" t="s">
        <v>9149</v>
      </c>
      <c r="AE463" t="s">
        <v>9150</v>
      </c>
      <c r="AF463" t="s">
        <v>74</v>
      </c>
      <c r="AG463">
        <v>39</v>
      </c>
      <c r="AH463">
        <v>1</v>
      </c>
      <c r="AI463">
        <v>1</v>
      </c>
      <c r="AJ463">
        <v>3</v>
      </c>
      <c r="AK463">
        <v>3</v>
      </c>
      <c r="AL463" t="s">
        <v>9151</v>
      </c>
      <c r="AM463" t="s">
        <v>9152</v>
      </c>
      <c r="AN463" t="s">
        <v>9153</v>
      </c>
      <c r="AO463" t="s">
        <v>9154</v>
      </c>
      <c r="AP463" t="s">
        <v>74</v>
      </c>
      <c r="AQ463" t="s">
        <v>74</v>
      </c>
      <c r="AR463" t="s">
        <v>9155</v>
      </c>
      <c r="AS463" t="s">
        <v>9156</v>
      </c>
      <c r="AT463" t="s">
        <v>3612</v>
      </c>
      <c r="AU463">
        <v>2023</v>
      </c>
      <c r="AV463">
        <v>52</v>
      </c>
      <c r="AW463">
        <v>7</v>
      </c>
      <c r="AX463" t="s">
        <v>74</v>
      </c>
      <c r="AY463" t="s">
        <v>74</v>
      </c>
      <c r="AZ463" t="s">
        <v>74</v>
      </c>
      <c r="BA463" t="s">
        <v>74</v>
      </c>
      <c r="BB463">
        <v>1955</v>
      </c>
      <c r="BC463">
        <v>1966</v>
      </c>
      <c r="BD463" t="s">
        <v>74</v>
      </c>
      <c r="BE463" t="s">
        <v>9157</v>
      </c>
      <c r="BF463" t="str">
        <f>HYPERLINK("http://dx.doi.org/10.17576/jsm-2023-5207-05","http://dx.doi.org/10.17576/jsm-2023-5207-05")</f>
        <v>http://dx.doi.org/10.17576/jsm-2023-5207-05</v>
      </c>
      <c r="BG463" t="s">
        <v>74</v>
      </c>
      <c r="BH463" t="s">
        <v>74</v>
      </c>
      <c r="BI463">
        <v>12</v>
      </c>
      <c r="BJ463" t="s">
        <v>1881</v>
      </c>
      <c r="BK463" t="s">
        <v>104</v>
      </c>
      <c r="BL463" t="s">
        <v>1882</v>
      </c>
      <c r="BM463" t="s">
        <v>9158</v>
      </c>
      <c r="BN463" t="s">
        <v>74</v>
      </c>
      <c r="BO463" t="s">
        <v>206</v>
      </c>
      <c r="BP463" t="s">
        <v>74</v>
      </c>
      <c r="BQ463" t="s">
        <v>74</v>
      </c>
      <c r="BR463" t="s">
        <v>107</v>
      </c>
      <c r="BS463" t="s">
        <v>9159</v>
      </c>
      <c r="BT463" t="str">
        <f>HYPERLINK("https%3A%2F%2Fwww.webofscience.com%2Fwos%2Fwoscc%2Ffull-record%2FWOS:001077420200004","View Full Record in Web of Science")</f>
        <v>View Full Record in Web of Science</v>
      </c>
    </row>
    <row r="464" spans="1:72" x14ac:dyDescent="0.15">
      <c r="A464" t="s">
        <v>72</v>
      </c>
      <c r="B464" t="s">
        <v>9160</v>
      </c>
      <c r="C464" t="s">
        <v>74</v>
      </c>
      <c r="D464" t="s">
        <v>74</v>
      </c>
      <c r="E464" t="s">
        <v>74</v>
      </c>
      <c r="F464" t="s">
        <v>9161</v>
      </c>
      <c r="G464" t="s">
        <v>74</v>
      </c>
      <c r="H464" t="s">
        <v>74</v>
      </c>
      <c r="I464" t="s">
        <v>9162</v>
      </c>
      <c r="J464" t="s">
        <v>9163</v>
      </c>
      <c r="K464" t="s">
        <v>74</v>
      </c>
      <c r="L464" t="s">
        <v>74</v>
      </c>
      <c r="M464" t="s">
        <v>78</v>
      </c>
      <c r="N464" t="s">
        <v>79</v>
      </c>
      <c r="O464" t="s">
        <v>74</v>
      </c>
      <c r="P464" t="s">
        <v>74</v>
      </c>
      <c r="Q464" t="s">
        <v>74</v>
      </c>
      <c r="R464" t="s">
        <v>74</v>
      </c>
      <c r="S464" t="s">
        <v>74</v>
      </c>
      <c r="T464" t="s">
        <v>9164</v>
      </c>
      <c r="U464" t="s">
        <v>9165</v>
      </c>
      <c r="V464" t="s">
        <v>9166</v>
      </c>
      <c r="W464" t="s">
        <v>9167</v>
      </c>
      <c r="X464" t="s">
        <v>9168</v>
      </c>
      <c r="Y464" t="s">
        <v>9169</v>
      </c>
      <c r="Z464" t="s">
        <v>9170</v>
      </c>
      <c r="AA464" t="s">
        <v>9171</v>
      </c>
      <c r="AB464" t="s">
        <v>9172</v>
      </c>
      <c r="AC464" t="s">
        <v>9173</v>
      </c>
      <c r="AD464" t="s">
        <v>9174</v>
      </c>
      <c r="AE464" t="s">
        <v>9175</v>
      </c>
      <c r="AF464" t="s">
        <v>74</v>
      </c>
      <c r="AG464">
        <v>45</v>
      </c>
      <c r="AH464">
        <v>0</v>
      </c>
      <c r="AI464">
        <v>0</v>
      </c>
      <c r="AJ464">
        <v>3</v>
      </c>
      <c r="AK464">
        <v>4</v>
      </c>
      <c r="AL464" t="s">
        <v>537</v>
      </c>
      <c r="AM464" t="s">
        <v>538</v>
      </c>
      <c r="AN464" t="s">
        <v>539</v>
      </c>
      <c r="AO464" t="s">
        <v>74</v>
      </c>
      <c r="AP464" t="s">
        <v>9176</v>
      </c>
      <c r="AQ464" t="s">
        <v>74</v>
      </c>
      <c r="AR464" t="s">
        <v>9163</v>
      </c>
      <c r="AS464" t="s">
        <v>9177</v>
      </c>
      <c r="AT464" t="s">
        <v>3612</v>
      </c>
      <c r="AU464">
        <v>2023</v>
      </c>
      <c r="AV464">
        <v>2</v>
      </c>
      <c r="AW464">
        <v>7</v>
      </c>
      <c r="AX464" t="s">
        <v>74</v>
      </c>
      <c r="AY464" t="s">
        <v>74</v>
      </c>
      <c r="AZ464" t="s">
        <v>74</v>
      </c>
      <c r="BA464" t="s">
        <v>74</v>
      </c>
      <c r="BB464" t="s">
        <v>74</v>
      </c>
      <c r="BC464" t="s">
        <v>74</v>
      </c>
      <c r="BD464" t="s">
        <v>9178</v>
      </c>
      <c r="BE464" t="s">
        <v>9179</v>
      </c>
      <c r="BF464" t="str">
        <f>HYPERLINK("http://dx.doi.org/10.1093/pnasnexus/pgad221","http://dx.doi.org/10.1093/pnasnexus/pgad221")</f>
        <v>http://dx.doi.org/10.1093/pnasnexus/pgad221</v>
      </c>
      <c r="BG464" t="s">
        <v>74</v>
      </c>
      <c r="BH464" t="s">
        <v>74</v>
      </c>
      <c r="BI464">
        <v>10</v>
      </c>
      <c r="BJ464" t="s">
        <v>9180</v>
      </c>
      <c r="BK464" t="s">
        <v>518</v>
      </c>
      <c r="BL464" t="s">
        <v>9181</v>
      </c>
      <c r="BM464" t="s">
        <v>9182</v>
      </c>
      <c r="BN464">
        <v>37448956</v>
      </c>
      <c r="BO464" t="s">
        <v>181</v>
      </c>
      <c r="BP464" t="s">
        <v>74</v>
      </c>
      <c r="BQ464" t="s">
        <v>74</v>
      </c>
      <c r="BR464" t="s">
        <v>107</v>
      </c>
      <c r="BS464" t="s">
        <v>9183</v>
      </c>
      <c r="BT464" t="str">
        <f>HYPERLINK("https%3A%2F%2Fwww.webofscience.com%2Fwos%2Fwoscc%2Ffull-record%2FWOS:001063301500020","View Full Record in Web of Science")</f>
        <v>View Full Record in Web of Science</v>
      </c>
    </row>
    <row r="465" spans="1:72" x14ac:dyDescent="0.15">
      <c r="A465" t="s">
        <v>72</v>
      </c>
      <c r="B465" t="s">
        <v>9184</v>
      </c>
      <c r="C465" t="s">
        <v>74</v>
      </c>
      <c r="D465" t="s">
        <v>74</v>
      </c>
      <c r="E465" t="s">
        <v>74</v>
      </c>
      <c r="F465" t="s">
        <v>9185</v>
      </c>
      <c r="G465" t="s">
        <v>74</v>
      </c>
      <c r="H465" t="s">
        <v>74</v>
      </c>
      <c r="I465" t="s">
        <v>9186</v>
      </c>
      <c r="J465" t="s">
        <v>9187</v>
      </c>
      <c r="K465" t="s">
        <v>74</v>
      </c>
      <c r="L465" t="s">
        <v>74</v>
      </c>
      <c r="M465" t="s">
        <v>78</v>
      </c>
      <c r="N465" t="s">
        <v>79</v>
      </c>
      <c r="O465" t="s">
        <v>74</v>
      </c>
      <c r="P465" t="s">
        <v>74</v>
      </c>
      <c r="Q465" t="s">
        <v>74</v>
      </c>
      <c r="R465" t="s">
        <v>74</v>
      </c>
      <c r="S465" t="s">
        <v>74</v>
      </c>
      <c r="T465" t="s">
        <v>9188</v>
      </c>
      <c r="U465" t="s">
        <v>9189</v>
      </c>
      <c r="V465" t="s">
        <v>9190</v>
      </c>
      <c r="W465" t="s">
        <v>9191</v>
      </c>
      <c r="X465" t="s">
        <v>9192</v>
      </c>
      <c r="Y465" t="s">
        <v>9193</v>
      </c>
      <c r="Z465" t="s">
        <v>9194</v>
      </c>
      <c r="AA465" t="s">
        <v>9195</v>
      </c>
      <c r="AB465" t="s">
        <v>9196</v>
      </c>
      <c r="AC465" t="s">
        <v>9197</v>
      </c>
      <c r="AD465" t="s">
        <v>9198</v>
      </c>
      <c r="AE465" t="s">
        <v>9199</v>
      </c>
      <c r="AF465" t="s">
        <v>74</v>
      </c>
      <c r="AG465">
        <v>125</v>
      </c>
      <c r="AH465">
        <v>4</v>
      </c>
      <c r="AI465">
        <v>4</v>
      </c>
      <c r="AJ465">
        <v>14</v>
      </c>
      <c r="AK465">
        <v>16</v>
      </c>
      <c r="AL465" t="s">
        <v>9200</v>
      </c>
      <c r="AM465" t="s">
        <v>1528</v>
      </c>
      <c r="AN465" t="s">
        <v>9201</v>
      </c>
      <c r="AO465" t="s">
        <v>9202</v>
      </c>
      <c r="AP465" t="s">
        <v>74</v>
      </c>
      <c r="AQ465" t="s">
        <v>74</v>
      </c>
      <c r="AR465" t="s">
        <v>9203</v>
      </c>
      <c r="AS465" t="s">
        <v>9204</v>
      </c>
      <c r="AT465" t="s">
        <v>3612</v>
      </c>
      <c r="AU465">
        <v>2023</v>
      </c>
      <c r="AV465">
        <v>9</v>
      </c>
      <c r="AW465">
        <v>7</v>
      </c>
      <c r="AX465" t="s">
        <v>74</v>
      </c>
      <c r="AY465" t="s">
        <v>74</v>
      </c>
      <c r="AZ465" t="s">
        <v>74</v>
      </c>
      <c r="BA465" t="s">
        <v>74</v>
      </c>
      <c r="BB465" t="s">
        <v>74</v>
      </c>
      <c r="BC465" t="s">
        <v>74</v>
      </c>
      <c r="BD465">
        <v>1056</v>
      </c>
      <c r="BE465" t="s">
        <v>9205</v>
      </c>
      <c r="BF465" t="str">
        <f>HYPERLINK("http://dx.doi.org/10.1099/mgen.0.001056","http://dx.doi.org/10.1099/mgen.0.001056")</f>
        <v>http://dx.doi.org/10.1099/mgen.0.001056</v>
      </c>
      <c r="BG465" t="s">
        <v>74</v>
      </c>
      <c r="BH465" t="s">
        <v>74</v>
      </c>
      <c r="BI465">
        <v>14</v>
      </c>
      <c r="BJ465" t="s">
        <v>9206</v>
      </c>
      <c r="BK465" t="s">
        <v>104</v>
      </c>
      <c r="BL465" t="s">
        <v>9206</v>
      </c>
      <c r="BM465" t="s">
        <v>9207</v>
      </c>
      <c r="BN465">
        <v>37417735</v>
      </c>
      <c r="BO465" t="s">
        <v>2934</v>
      </c>
      <c r="BP465" t="s">
        <v>74</v>
      </c>
      <c r="BQ465" t="s">
        <v>74</v>
      </c>
      <c r="BR465" t="s">
        <v>107</v>
      </c>
      <c r="BS465" t="s">
        <v>9208</v>
      </c>
      <c r="BT465" t="str">
        <f>HYPERLINK("https%3A%2F%2Fwww.webofscience.com%2Fwos%2Fwoscc%2Ffull-record%2FWOS:001037022200008","View Full Record in Web of Science")</f>
        <v>View Full Record in Web of Science</v>
      </c>
    </row>
    <row r="466" spans="1:72" x14ac:dyDescent="0.15">
      <c r="A466" t="s">
        <v>72</v>
      </c>
      <c r="B466" t="s">
        <v>9209</v>
      </c>
      <c r="C466" t="s">
        <v>74</v>
      </c>
      <c r="D466" t="s">
        <v>74</v>
      </c>
      <c r="E466" t="s">
        <v>74</v>
      </c>
      <c r="F466" t="s">
        <v>9210</v>
      </c>
      <c r="G466" t="s">
        <v>74</v>
      </c>
      <c r="H466" t="s">
        <v>74</v>
      </c>
      <c r="I466" t="s">
        <v>9211</v>
      </c>
      <c r="J466" t="s">
        <v>357</v>
      </c>
      <c r="K466" t="s">
        <v>74</v>
      </c>
      <c r="L466" t="s">
        <v>74</v>
      </c>
      <c r="M466" t="s">
        <v>78</v>
      </c>
      <c r="N466" t="s">
        <v>79</v>
      </c>
      <c r="O466" t="s">
        <v>74</v>
      </c>
      <c r="P466" t="s">
        <v>74</v>
      </c>
      <c r="Q466" t="s">
        <v>74</v>
      </c>
      <c r="R466" t="s">
        <v>74</v>
      </c>
      <c r="S466" t="s">
        <v>74</v>
      </c>
      <c r="T466" t="s">
        <v>9212</v>
      </c>
      <c r="U466" t="s">
        <v>9213</v>
      </c>
      <c r="V466" t="s">
        <v>9214</v>
      </c>
      <c r="W466" t="s">
        <v>9215</v>
      </c>
      <c r="X466" t="s">
        <v>9216</v>
      </c>
      <c r="Y466" t="s">
        <v>9217</v>
      </c>
      <c r="Z466" t="s">
        <v>9218</v>
      </c>
      <c r="AA466" t="s">
        <v>9219</v>
      </c>
      <c r="AB466" t="s">
        <v>9220</v>
      </c>
      <c r="AC466" t="s">
        <v>9221</v>
      </c>
      <c r="AD466" t="s">
        <v>9222</v>
      </c>
      <c r="AE466" t="s">
        <v>9223</v>
      </c>
      <c r="AF466" t="s">
        <v>74</v>
      </c>
      <c r="AG466">
        <v>81</v>
      </c>
      <c r="AH466">
        <v>0</v>
      </c>
      <c r="AI466">
        <v>0</v>
      </c>
      <c r="AJ466">
        <v>11</v>
      </c>
      <c r="AK466">
        <v>11</v>
      </c>
      <c r="AL466" t="s">
        <v>369</v>
      </c>
      <c r="AM466" t="s">
        <v>370</v>
      </c>
      <c r="AN466" t="s">
        <v>371</v>
      </c>
      <c r="AO466" t="s">
        <v>74</v>
      </c>
      <c r="AP466" t="s">
        <v>372</v>
      </c>
      <c r="AQ466" t="s">
        <v>74</v>
      </c>
      <c r="AR466" t="s">
        <v>357</v>
      </c>
      <c r="AS466" t="s">
        <v>373</v>
      </c>
      <c r="AT466" t="s">
        <v>3612</v>
      </c>
      <c r="AU466">
        <v>2023</v>
      </c>
      <c r="AV466">
        <v>12</v>
      </c>
      <c r="AW466">
        <v>14</v>
      </c>
      <c r="AX466" t="s">
        <v>74</v>
      </c>
      <c r="AY466" t="s">
        <v>74</v>
      </c>
      <c r="AZ466" t="s">
        <v>74</v>
      </c>
      <c r="BA466" t="s">
        <v>74</v>
      </c>
      <c r="BB466" t="s">
        <v>74</v>
      </c>
      <c r="BC466" t="s">
        <v>74</v>
      </c>
      <c r="BD466">
        <v>2721</v>
      </c>
      <c r="BE466" t="s">
        <v>9224</v>
      </c>
      <c r="BF466" t="str">
        <f>HYPERLINK("http://dx.doi.org/10.3390/plants12142721","http://dx.doi.org/10.3390/plants12142721")</f>
        <v>http://dx.doi.org/10.3390/plants12142721</v>
      </c>
      <c r="BG466" t="s">
        <v>74</v>
      </c>
      <c r="BH466" t="s">
        <v>74</v>
      </c>
      <c r="BI466">
        <v>16</v>
      </c>
      <c r="BJ466" t="s">
        <v>375</v>
      </c>
      <c r="BK466" t="s">
        <v>104</v>
      </c>
      <c r="BL466" t="s">
        <v>375</v>
      </c>
      <c r="BM466" t="s">
        <v>9225</v>
      </c>
      <c r="BN466">
        <v>37514335</v>
      </c>
      <c r="BO466" t="s">
        <v>181</v>
      </c>
      <c r="BP466" t="s">
        <v>74</v>
      </c>
      <c r="BQ466" t="s">
        <v>74</v>
      </c>
      <c r="BR466" t="s">
        <v>107</v>
      </c>
      <c r="BS466" t="s">
        <v>9226</v>
      </c>
      <c r="BT466" t="str">
        <f>HYPERLINK("https%3A%2F%2Fwww.webofscience.com%2Fwos%2Fwoscc%2Ffull-record%2FWOS:001073298900001","View Full Record in Web of Science")</f>
        <v>View Full Record in Web of Science</v>
      </c>
    </row>
    <row r="467" spans="1:72" x14ac:dyDescent="0.15">
      <c r="A467" t="s">
        <v>72</v>
      </c>
      <c r="B467" t="s">
        <v>9227</v>
      </c>
      <c r="C467" t="s">
        <v>74</v>
      </c>
      <c r="D467" t="s">
        <v>74</v>
      </c>
      <c r="E467" t="s">
        <v>74</v>
      </c>
      <c r="F467" t="s">
        <v>9228</v>
      </c>
      <c r="G467" t="s">
        <v>74</v>
      </c>
      <c r="H467" t="s">
        <v>74</v>
      </c>
      <c r="I467" t="s">
        <v>9229</v>
      </c>
      <c r="J467" t="s">
        <v>1008</v>
      </c>
      <c r="K467" t="s">
        <v>74</v>
      </c>
      <c r="L467" t="s">
        <v>74</v>
      </c>
      <c r="M467" t="s">
        <v>78</v>
      </c>
      <c r="N467" t="s">
        <v>79</v>
      </c>
      <c r="O467" t="s">
        <v>74</v>
      </c>
      <c r="P467" t="s">
        <v>74</v>
      </c>
      <c r="Q467" t="s">
        <v>74</v>
      </c>
      <c r="R467" t="s">
        <v>74</v>
      </c>
      <c r="S467" t="s">
        <v>74</v>
      </c>
      <c r="T467" t="s">
        <v>74</v>
      </c>
      <c r="U467" t="s">
        <v>9230</v>
      </c>
      <c r="V467" t="s">
        <v>9231</v>
      </c>
      <c r="W467" t="s">
        <v>9232</v>
      </c>
      <c r="X467" t="s">
        <v>9233</v>
      </c>
      <c r="Y467" t="s">
        <v>9234</v>
      </c>
      <c r="Z467" t="s">
        <v>9235</v>
      </c>
      <c r="AA467" t="s">
        <v>9236</v>
      </c>
      <c r="AB467" t="s">
        <v>9237</v>
      </c>
      <c r="AC467" t="s">
        <v>9238</v>
      </c>
      <c r="AD467" t="s">
        <v>9239</v>
      </c>
      <c r="AE467" t="s">
        <v>9240</v>
      </c>
      <c r="AF467" t="s">
        <v>74</v>
      </c>
      <c r="AG467">
        <v>70</v>
      </c>
      <c r="AH467">
        <v>0</v>
      </c>
      <c r="AI467">
        <v>0</v>
      </c>
      <c r="AJ467">
        <v>5</v>
      </c>
      <c r="AK467">
        <v>6</v>
      </c>
      <c r="AL467" t="s">
        <v>588</v>
      </c>
      <c r="AM467" t="s">
        <v>589</v>
      </c>
      <c r="AN467" t="s">
        <v>590</v>
      </c>
      <c r="AO467" t="s">
        <v>1020</v>
      </c>
      <c r="AP467" t="s">
        <v>1021</v>
      </c>
      <c r="AQ467" t="s">
        <v>74</v>
      </c>
      <c r="AR467" t="s">
        <v>1022</v>
      </c>
      <c r="AS467" t="s">
        <v>1023</v>
      </c>
      <c r="AT467" t="s">
        <v>3612</v>
      </c>
      <c r="AU467">
        <v>2023</v>
      </c>
      <c r="AV467">
        <v>128</v>
      </c>
      <c r="AW467">
        <v>7</v>
      </c>
      <c r="AX467" t="s">
        <v>74</v>
      </c>
      <c r="AY467" t="s">
        <v>74</v>
      </c>
      <c r="AZ467" t="s">
        <v>74</v>
      </c>
      <c r="BA467" t="s">
        <v>74</v>
      </c>
      <c r="BB467" t="s">
        <v>74</v>
      </c>
      <c r="BC467" t="s">
        <v>74</v>
      </c>
      <c r="BD467" t="s">
        <v>9241</v>
      </c>
      <c r="BE467" t="s">
        <v>9242</v>
      </c>
      <c r="BF467" t="str">
        <f>HYPERLINK("http://dx.doi.org/10.1029/2023JC019697","http://dx.doi.org/10.1029/2023JC019697")</f>
        <v>http://dx.doi.org/10.1029/2023JC019697</v>
      </c>
      <c r="BG467" t="s">
        <v>74</v>
      </c>
      <c r="BH467" t="s">
        <v>74</v>
      </c>
      <c r="BI467">
        <v>17</v>
      </c>
      <c r="BJ467" t="s">
        <v>306</v>
      </c>
      <c r="BK467" t="s">
        <v>104</v>
      </c>
      <c r="BL467" t="s">
        <v>306</v>
      </c>
      <c r="BM467" t="s">
        <v>9243</v>
      </c>
      <c r="BN467" t="s">
        <v>74</v>
      </c>
      <c r="BO467" t="s">
        <v>74</v>
      </c>
      <c r="BP467" t="s">
        <v>74</v>
      </c>
      <c r="BQ467" t="s">
        <v>74</v>
      </c>
      <c r="BR467" t="s">
        <v>107</v>
      </c>
      <c r="BS467" t="s">
        <v>9244</v>
      </c>
      <c r="BT467" t="str">
        <f>HYPERLINK("https%3A%2F%2Fwww.webofscience.com%2Fwos%2Fwoscc%2Ffull-record%2FWOS:001026973900001","View Full Record in Web of Science")</f>
        <v>View Full Record in Web of Science</v>
      </c>
    </row>
    <row r="468" spans="1:72" x14ac:dyDescent="0.15">
      <c r="A468" t="s">
        <v>72</v>
      </c>
      <c r="B468" t="s">
        <v>9245</v>
      </c>
      <c r="C468" t="s">
        <v>74</v>
      </c>
      <c r="D468" t="s">
        <v>74</v>
      </c>
      <c r="E468" t="s">
        <v>74</v>
      </c>
      <c r="F468" t="s">
        <v>9246</v>
      </c>
      <c r="G468" t="s">
        <v>74</v>
      </c>
      <c r="H468" t="s">
        <v>74</v>
      </c>
      <c r="I468" t="s">
        <v>9247</v>
      </c>
      <c r="J468" t="s">
        <v>708</v>
      </c>
      <c r="K468" t="s">
        <v>74</v>
      </c>
      <c r="L468" t="s">
        <v>74</v>
      </c>
      <c r="M468" t="s">
        <v>78</v>
      </c>
      <c r="N468" t="s">
        <v>79</v>
      </c>
      <c r="O468" t="s">
        <v>74</v>
      </c>
      <c r="P468" t="s">
        <v>74</v>
      </c>
      <c r="Q468" t="s">
        <v>74</v>
      </c>
      <c r="R468" t="s">
        <v>74</v>
      </c>
      <c r="S468" t="s">
        <v>74</v>
      </c>
      <c r="T468" t="s">
        <v>9248</v>
      </c>
      <c r="U468" t="s">
        <v>9249</v>
      </c>
      <c r="V468" t="s">
        <v>9250</v>
      </c>
      <c r="W468" t="s">
        <v>9251</v>
      </c>
      <c r="X468" t="s">
        <v>9252</v>
      </c>
      <c r="Y468" t="s">
        <v>9253</v>
      </c>
      <c r="Z468" t="s">
        <v>9254</v>
      </c>
      <c r="AA468" t="s">
        <v>74</v>
      </c>
      <c r="AB468" t="s">
        <v>9255</v>
      </c>
      <c r="AC468" t="s">
        <v>9256</v>
      </c>
      <c r="AD468" t="s">
        <v>9256</v>
      </c>
      <c r="AE468" t="s">
        <v>9256</v>
      </c>
      <c r="AF468" t="s">
        <v>74</v>
      </c>
      <c r="AG468">
        <v>61</v>
      </c>
      <c r="AH468">
        <v>4</v>
      </c>
      <c r="AI468">
        <v>5</v>
      </c>
      <c r="AJ468">
        <v>8</v>
      </c>
      <c r="AK468">
        <v>8</v>
      </c>
      <c r="AL468" t="s">
        <v>369</v>
      </c>
      <c r="AM468" t="s">
        <v>370</v>
      </c>
      <c r="AN468" t="s">
        <v>371</v>
      </c>
      <c r="AO468" t="s">
        <v>74</v>
      </c>
      <c r="AP468" t="s">
        <v>720</v>
      </c>
      <c r="AQ468" t="s">
        <v>74</v>
      </c>
      <c r="AR468" t="s">
        <v>721</v>
      </c>
      <c r="AS468" t="s">
        <v>722</v>
      </c>
      <c r="AT468" t="s">
        <v>3612</v>
      </c>
      <c r="AU468">
        <v>2023</v>
      </c>
      <c r="AV468">
        <v>15</v>
      </c>
      <c r="AW468">
        <v>14</v>
      </c>
      <c r="AX468" t="s">
        <v>74</v>
      </c>
      <c r="AY468" t="s">
        <v>74</v>
      </c>
      <c r="AZ468" t="s">
        <v>74</v>
      </c>
      <c r="BA468" t="s">
        <v>74</v>
      </c>
      <c r="BB468" t="s">
        <v>74</v>
      </c>
      <c r="BC468" t="s">
        <v>74</v>
      </c>
      <c r="BD468">
        <v>3540</v>
      </c>
      <c r="BE468" t="s">
        <v>9257</v>
      </c>
      <c r="BF468" t="str">
        <f>HYPERLINK("http://dx.doi.org/10.3390/rs15143540","http://dx.doi.org/10.3390/rs15143540")</f>
        <v>http://dx.doi.org/10.3390/rs15143540</v>
      </c>
      <c r="BG468" t="s">
        <v>74</v>
      </c>
      <c r="BH468" t="s">
        <v>74</v>
      </c>
      <c r="BI468">
        <v>19</v>
      </c>
      <c r="BJ468" t="s">
        <v>724</v>
      </c>
      <c r="BK468" t="s">
        <v>104</v>
      </c>
      <c r="BL468" t="s">
        <v>725</v>
      </c>
      <c r="BM468" t="s">
        <v>9258</v>
      </c>
      <c r="BN468" t="s">
        <v>74</v>
      </c>
      <c r="BO468" t="s">
        <v>821</v>
      </c>
      <c r="BP468" t="s">
        <v>74</v>
      </c>
      <c r="BQ468" t="s">
        <v>74</v>
      </c>
      <c r="BR468" t="s">
        <v>107</v>
      </c>
      <c r="BS468" t="s">
        <v>9259</v>
      </c>
      <c r="BT468" t="str">
        <f>HYPERLINK("https%3A%2F%2Fwww.webofscience.com%2Fwos%2Fwoscc%2Ffull-record%2FWOS:001069876700001","View Full Record in Web of Science")</f>
        <v>View Full Record in Web of Science</v>
      </c>
    </row>
    <row r="469" spans="1:72" x14ac:dyDescent="0.15">
      <c r="A469" t="s">
        <v>72</v>
      </c>
      <c r="B469" t="s">
        <v>9260</v>
      </c>
      <c r="C469" t="s">
        <v>74</v>
      </c>
      <c r="D469" t="s">
        <v>74</v>
      </c>
      <c r="E469" t="s">
        <v>74</v>
      </c>
      <c r="F469" t="s">
        <v>9261</v>
      </c>
      <c r="G469" t="s">
        <v>74</v>
      </c>
      <c r="H469" t="s">
        <v>74</v>
      </c>
      <c r="I469" t="s">
        <v>9262</v>
      </c>
      <c r="J469" t="s">
        <v>9263</v>
      </c>
      <c r="K469" t="s">
        <v>74</v>
      </c>
      <c r="L469" t="s">
        <v>74</v>
      </c>
      <c r="M469" t="s">
        <v>78</v>
      </c>
      <c r="N469" t="s">
        <v>79</v>
      </c>
      <c r="O469" t="s">
        <v>74</v>
      </c>
      <c r="P469" t="s">
        <v>74</v>
      </c>
      <c r="Q469" t="s">
        <v>74</v>
      </c>
      <c r="R469" t="s">
        <v>74</v>
      </c>
      <c r="S469" t="s">
        <v>74</v>
      </c>
      <c r="T469" t="s">
        <v>9264</v>
      </c>
      <c r="U469" t="s">
        <v>9265</v>
      </c>
      <c r="V469" t="s">
        <v>9266</v>
      </c>
      <c r="W469" t="s">
        <v>9267</v>
      </c>
      <c r="X469" t="s">
        <v>9268</v>
      </c>
      <c r="Y469" t="s">
        <v>9269</v>
      </c>
      <c r="Z469" t="s">
        <v>74</v>
      </c>
      <c r="AA469" t="s">
        <v>9270</v>
      </c>
      <c r="AB469" t="s">
        <v>9271</v>
      </c>
      <c r="AC469" t="s">
        <v>9272</v>
      </c>
      <c r="AD469" t="s">
        <v>9272</v>
      </c>
      <c r="AE469" t="s">
        <v>9273</v>
      </c>
      <c r="AF469" t="s">
        <v>74</v>
      </c>
      <c r="AG469">
        <v>80</v>
      </c>
      <c r="AH469">
        <v>0</v>
      </c>
      <c r="AI469">
        <v>0</v>
      </c>
      <c r="AJ469">
        <v>5</v>
      </c>
      <c r="AK469">
        <v>8</v>
      </c>
      <c r="AL469" t="s">
        <v>460</v>
      </c>
      <c r="AM469" t="s">
        <v>461</v>
      </c>
      <c r="AN469" t="s">
        <v>462</v>
      </c>
      <c r="AO469" t="s">
        <v>9274</v>
      </c>
      <c r="AP469" t="s">
        <v>9275</v>
      </c>
      <c r="AQ469" t="s">
        <v>74</v>
      </c>
      <c r="AR469" t="s">
        <v>9276</v>
      </c>
      <c r="AS469" t="s">
        <v>9277</v>
      </c>
      <c r="AT469" t="s">
        <v>3612</v>
      </c>
      <c r="AU469">
        <v>2023</v>
      </c>
      <c r="AV469">
        <v>34</v>
      </c>
      <c r="AW469">
        <v>4</v>
      </c>
      <c r="AX469" t="s">
        <v>74</v>
      </c>
      <c r="AY469" t="s">
        <v>74</v>
      </c>
      <c r="AZ469" t="s">
        <v>74</v>
      </c>
      <c r="BA469" t="s">
        <v>74</v>
      </c>
      <c r="BB469" t="s">
        <v>74</v>
      </c>
      <c r="BC469" t="s">
        <v>74</v>
      </c>
      <c r="BD469" t="s">
        <v>9278</v>
      </c>
      <c r="BE469" t="s">
        <v>9279</v>
      </c>
      <c r="BF469" t="str">
        <f>HYPERLINK("http://dx.doi.org/10.1111/jvs.13200","http://dx.doi.org/10.1111/jvs.13200")</f>
        <v>http://dx.doi.org/10.1111/jvs.13200</v>
      </c>
      <c r="BG469" t="s">
        <v>74</v>
      </c>
      <c r="BH469" t="s">
        <v>74</v>
      </c>
      <c r="BI469">
        <v>16</v>
      </c>
      <c r="BJ469" t="s">
        <v>9280</v>
      </c>
      <c r="BK469" t="s">
        <v>104</v>
      </c>
      <c r="BL469" t="s">
        <v>9281</v>
      </c>
      <c r="BM469" t="s">
        <v>9282</v>
      </c>
      <c r="BN469" t="s">
        <v>74</v>
      </c>
      <c r="BO469" t="s">
        <v>549</v>
      </c>
      <c r="BP469" t="s">
        <v>74</v>
      </c>
      <c r="BQ469" t="s">
        <v>74</v>
      </c>
      <c r="BR469" t="s">
        <v>107</v>
      </c>
      <c r="BS469" t="s">
        <v>9283</v>
      </c>
      <c r="BT469" t="str">
        <f>HYPERLINK("https%3A%2F%2Fwww.webofscience.com%2Fwos%2Fwoscc%2Ffull-record%2FWOS:001054800700001","View Full Record in Web of Science")</f>
        <v>View Full Record in Web of Science</v>
      </c>
    </row>
    <row r="470" spans="1:72" x14ac:dyDescent="0.15">
      <c r="A470" t="s">
        <v>72</v>
      </c>
      <c r="B470" t="s">
        <v>9284</v>
      </c>
      <c r="C470" t="s">
        <v>74</v>
      </c>
      <c r="D470" t="s">
        <v>74</v>
      </c>
      <c r="E470" t="s">
        <v>74</v>
      </c>
      <c r="F470" t="s">
        <v>9285</v>
      </c>
      <c r="G470" t="s">
        <v>74</v>
      </c>
      <c r="H470" t="s">
        <v>74</v>
      </c>
      <c r="I470" t="s">
        <v>9286</v>
      </c>
      <c r="J470" t="s">
        <v>1152</v>
      </c>
      <c r="K470" t="s">
        <v>74</v>
      </c>
      <c r="L470" t="s">
        <v>74</v>
      </c>
      <c r="M470" t="s">
        <v>78</v>
      </c>
      <c r="N470" t="s">
        <v>79</v>
      </c>
      <c r="O470" t="s">
        <v>74</v>
      </c>
      <c r="P470" t="s">
        <v>74</v>
      </c>
      <c r="Q470" t="s">
        <v>74</v>
      </c>
      <c r="R470" t="s">
        <v>74</v>
      </c>
      <c r="S470" t="s">
        <v>74</v>
      </c>
      <c r="T470" t="s">
        <v>9287</v>
      </c>
      <c r="U470" t="s">
        <v>9288</v>
      </c>
      <c r="V470" t="s">
        <v>9289</v>
      </c>
      <c r="W470" t="s">
        <v>9290</v>
      </c>
      <c r="X470" t="s">
        <v>9291</v>
      </c>
      <c r="Y470" t="s">
        <v>9292</v>
      </c>
      <c r="Z470" t="s">
        <v>9293</v>
      </c>
      <c r="AA470" t="s">
        <v>9294</v>
      </c>
      <c r="AB470" t="s">
        <v>9295</v>
      </c>
      <c r="AC470" t="s">
        <v>9296</v>
      </c>
      <c r="AD470" t="s">
        <v>9297</v>
      </c>
      <c r="AE470" t="s">
        <v>9298</v>
      </c>
      <c r="AF470" t="s">
        <v>74</v>
      </c>
      <c r="AG470">
        <v>53</v>
      </c>
      <c r="AH470">
        <v>0</v>
      </c>
      <c r="AI470">
        <v>0</v>
      </c>
      <c r="AJ470">
        <v>5</v>
      </c>
      <c r="AK470">
        <v>6</v>
      </c>
      <c r="AL470" t="s">
        <v>588</v>
      </c>
      <c r="AM470" t="s">
        <v>589</v>
      </c>
      <c r="AN470" t="s">
        <v>590</v>
      </c>
      <c r="AO470" t="s">
        <v>1165</v>
      </c>
      <c r="AP470" t="s">
        <v>1166</v>
      </c>
      <c r="AQ470" t="s">
        <v>74</v>
      </c>
      <c r="AR470" t="s">
        <v>1167</v>
      </c>
      <c r="AS470" t="s">
        <v>1168</v>
      </c>
      <c r="AT470" t="s">
        <v>3612</v>
      </c>
      <c r="AU470">
        <v>2023</v>
      </c>
      <c r="AV470">
        <v>128</v>
      </c>
      <c r="AW470">
        <v>7</v>
      </c>
      <c r="AX470" t="s">
        <v>74</v>
      </c>
      <c r="AY470" t="s">
        <v>74</v>
      </c>
      <c r="AZ470" t="s">
        <v>74</v>
      </c>
      <c r="BA470" t="s">
        <v>74</v>
      </c>
      <c r="BB470" t="s">
        <v>74</v>
      </c>
      <c r="BC470" t="s">
        <v>74</v>
      </c>
      <c r="BD470" t="s">
        <v>9299</v>
      </c>
      <c r="BE470" t="s">
        <v>9300</v>
      </c>
      <c r="BF470" t="str">
        <f>HYPERLINK("http://dx.doi.org/10.1029/2022JG007242","http://dx.doi.org/10.1029/2022JG007242")</f>
        <v>http://dx.doi.org/10.1029/2022JG007242</v>
      </c>
      <c r="BG470" t="s">
        <v>74</v>
      </c>
      <c r="BH470" t="s">
        <v>74</v>
      </c>
      <c r="BI470">
        <v>17</v>
      </c>
      <c r="BJ470" t="s">
        <v>1171</v>
      </c>
      <c r="BK470" t="s">
        <v>104</v>
      </c>
      <c r="BL470" t="s">
        <v>248</v>
      </c>
      <c r="BM470" t="s">
        <v>9301</v>
      </c>
      <c r="BN470" t="s">
        <v>74</v>
      </c>
      <c r="BO470" t="s">
        <v>9302</v>
      </c>
      <c r="BP470" t="s">
        <v>74</v>
      </c>
      <c r="BQ470" t="s">
        <v>74</v>
      </c>
      <c r="BR470" t="s">
        <v>107</v>
      </c>
      <c r="BS470" t="s">
        <v>9303</v>
      </c>
      <c r="BT470" t="str">
        <f>HYPERLINK("https%3A%2F%2Fwww.webofscience.com%2Fwos%2Fwoscc%2Ffull-record%2FWOS:001040784800001","View Full Record in Web of Science")</f>
        <v>View Full Record in Web of Science</v>
      </c>
    </row>
    <row r="471" spans="1:72" x14ac:dyDescent="0.15">
      <c r="A471" t="s">
        <v>72</v>
      </c>
      <c r="B471" t="s">
        <v>9304</v>
      </c>
      <c r="C471" t="s">
        <v>74</v>
      </c>
      <c r="D471" t="s">
        <v>74</v>
      </c>
      <c r="E471" t="s">
        <v>74</v>
      </c>
      <c r="F471" t="s">
        <v>9305</v>
      </c>
      <c r="G471" t="s">
        <v>74</v>
      </c>
      <c r="H471" t="s">
        <v>74</v>
      </c>
      <c r="I471" t="s">
        <v>9306</v>
      </c>
      <c r="J471" t="s">
        <v>9307</v>
      </c>
      <c r="K471" t="s">
        <v>74</v>
      </c>
      <c r="L471" t="s">
        <v>74</v>
      </c>
      <c r="M471" t="s">
        <v>78</v>
      </c>
      <c r="N471" t="s">
        <v>79</v>
      </c>
      <c r="O471" t="s">
        <v>74</v>
      </c>
      <c r="P471" t="s">
        <v>74</v>
      </c>
      <c r="Q471" t="s">
        <v>74</v>
      </c>
      <c r="R471" t="s">
        <v>74</v>
      </c>
      <c r="S471" t="s">
        <v>74</v>
      </c>
      <c r="T471" t="s">
        <v>9308</v>
      </c>
      <c r="U471" t="s">
        <v>74</v>
      </c>
      <c r="V471" t="s">
        <v>9309</v>
      </c>
      <c r="W471" t="s">
        <v>9310</v>
      </c>
      <c r="X471" t="s">
        <v>9311</v>
      </c>
      <c r="Y471" t="s">
        <v>9312</v>
      </c>
      <c r="Z471" t="s">
        <v>9313</v>
      </c>
      <c r="AA471" t="s">
        <v>9314</v>
      </c>
      <c r="AB471" t="s">
        <v>74</v>
      </c>
      <c r="AC471" t="s">
        <v>9315</v>
      </c>
      <c r="AD471" t="s">
        <v>9316</v>
      </c>
      <c r="AE471" t="s">
        <v>9317</v>
      </c>
      <c r="AF471" t="s">
        <v>74</v>
      </c>
      <c r="AG471">
        <v>15</v>
      </c>
      <c r="AH471">
        <v>0</v>
      </c>
      <c r="AI471">
        <v>0</v>
      </c>
      <c r="AJ471">
        <v>2</v>
      </c>
      <c r="AK471">
        <v>4</v>
      </c>
      <c r="AL471" t="s">
        <v>9318</v>
      </c>
      <c r="AM471" t="s">
        <v>9319</v>
      </c>
      <c r="AN471" t="s">
        <v>9320</v>
      </c>
      <c r="AO471" t="s">
        <v>9321</v>
      </c>
      <c r="AP471" t="s">
        <v>9322</v>
      </c>
      <c r="AQ471" t="s">
        <v>74</v>
      </c>
      <c r="AR471" t="s">
        <v>9323</v>
      </c>
      <c r="AS471" t="s">
        <v>9324</v>
      </c>
      <c r="AT471" t="s">
        <v>3612</v>
      </c>
      <c r="AU471">
        <v>2023</v>
      </c>
      <c r="AV471">
        <v>35</v>
      </c>
      <c r="AW471">
        <v>4</v>
      </c>
      <c r="AX471" t="s">
        <v>74</v>
      </c>
      <c r="AY471" t="s">
        <v>74</v>
      </c>
      <c r="AZ471" t="s">
        <v>74</v>
      </c>
      <c r="BA471" t="s">
        <v>74</v>
      </c>
      <c r="BB471">
        <v>881</v>
      </c>
      <c r="BC471">
        <v>888</v>
      </c>
      <c r="BD471" t="s">
        <v>74</v>
      </c>
      <c r="BE471" t="s">
        <v>9325</v>
      </c>
      <c r="BF471" t="str">
        <f>HYPERLINK("http://dx.doi.org/10.17576/jkukm-2023-35(4)-10","http://dx.doi.org/10.17576/jkukm-2023-35(4)-10")</f>
        <v>http://dx.doi.org/10.17576/jkukm-2023-35(4)-10</v>
      </c>
      <c r="BG471" t="s">
        <v>74</v>
      </c>
      <c r="BH471" t="s">
        <v>74</v>
      </c>
      <c r="BI471">
        <v>8</v>
      </c>
      <c r="BJ471" t="s">
        <v>9326</v>
      </c>
      <c r="BK471" t="s">
        <v>518</v>
      </c>
      <c r="BL471" t="s">
        <v>325</v>
      </c>
      <c r="BM471" t="s">
        <v>9327</v>
      </c>
      <c r="BN471" t="s">
        <v>74</v>
      </c>
      <c r="BO471" t="s">
        <v>206</v>
      </c>
      <c r="BP471" t="s">
        <v>74</v>
      </c>
      <c r="BQ471" t="s">
        <v>74</v>
      </c>
      <c r="BR471" t="s">
        <v>107</v>
      </c>
      <c r="BS471" t="s">
        <v>9328</v>
      </c>
      <c r="BT471" t="str">
        <f>HYPERLINK("https%3A%2F%2Fwww.webofscience.com%2Fwos%2Fwoscc%2Ffull-record%2FWOS:001040741600010","View Full Record in Web of Science")</f>
        <v>View Full Record in Web of Science</v>
      </c>
    </row>
    <row r="472" spans="1:72" x14ac:dyDescent="0.15">
      <c r="A472" t="s">
        <v>72</v>
      </c>
      <c r="B472" t="s">
        <v>9329</v>
      </c>
      <c r="C472" t="s">
        <v>74</v>
      </c>
      <c r="D472" t="s">
        <v>74</v>
      </c>
      <c r="E472" t="s">
        <v>74</v>
      </c>
      <c r="F472" t="s">
        <v>9330</v>
      </c>
      <c r="G472" t="s">
        <v>74</v>
      </c>
      <c r="H472" t="s">
        <v>74</v>
      </c>
      <c r="I472" t="s">
        <v>9331</v>
      </c>
      <c r="J472" t="s">
        <v>1222</v>
      </c>
      <c r="K472" t="s">
        <v>74</v>
      </c>
      <c r="L472" t="s">
        <v>74</v>
      </c>
      <c r="M472" t="s">
        <v>78</v>
      </c>
      <c r="N472" t="s">
        <v>79</v>
      </c>
      <c r="O472" t="s">
        <v>74</v>
      </c>
      <c r="P472" t="s">
        <v>74</v>
      </c>
      <c r="Q472" t="s">
        <v>74</v>
      </c>
      <c r="R472" t="s">
        <v>74</v>
      </c>
      <c r="S472" t="s">
        <v>74</v>
      </c>
      <c r="T472" t="s">
        <v>9332</v>
      </c>
      <c r="U472" t="s">
        <v>9333</v>
      </c>
      <c r="V472" t="s">
        <v>9334</v>
      </c>
      <c r="W472" t="s">
        <v>9335</v>
      </c>
      <c r="X472" t="s">
        <v>9336</v>
      </c>
      <c r="Y472" t="s">
        <v>9337</v>
      </c>
      <c r="Z472" t="s">
        <v>9338</v>
      </c>
      <c r="AA472" t="s">
        <v>9339</v>
      </c>
      <c r="AB472" t="s">
        <v>9340</v>
      </c>
      <c r="AC472" t="s">
        <v>9341</v>
      </c>
      <c r="AD472" t="s">
        <v>9342</v>
      </c>
      <c r="AE472" t="s">
        <v>9343</v>
      </c>
      <c r="AF472" t="s">
        <v>74</v>
      </c>
      <c r="AG472">
        <v>35</v>
      </c>
      <c r="AH472">
        <v>1</v>
      </c>
      <c r="AI472">
        <v>1</v>
      </c>
      <c r="AJ472">
        <v>1</v>
      </c>
      <c r="AK472">
        <v>1</v>
      </c>
      <c r="AL472" t="s">
        <v>90</v>
      </c>
      <c r="AM472" t="s">
        <v>91</v>
      </c>
      <c r="AN472" t="s">
        <v>92</v>
      </c>
      <c r="AO472" t="s">
        <v>1234</v>
      </c>
      <c r="AP472" t="s">
        <v>1235</v>
      </c>
      <c r="AQ472" t="s">
        <v>74</v>
      </c>
      <c r="AR472" t="s">
        <v>1236</v>
      </c>
      <c r="AS472" t="s">
        <v>1237</v>
      </c>
      <c r="AT472" t="s">
        <v>3612</v>
      </c>
      <c r="AU472">
        <v>2023</v>
      </c>
      <c r="AV472">
        <v>53</v>
      </c>
      <c r="AW472">
        <v>7</v>
      </c>
      <c r="AX472" t="s">
        <v>74</v>
      </c>
      <c r="AY472" t="s">
        <v>74</v>
      </c>
      <c r="AZ472" t="s">
        <v>74</v>
      </c>
      <c r="BA472" t="s">
        <v>74</v>
      </c>
      <c r="BB472">
        <v>1805</v>
      </c>
      <c r="BC472">
        <v>1820</v>
      </c>
      <c r="BD472" t="s">
        <v>74</v>
      </c>
      <c r="BE472" t="s">
        <v>9344</v>
      </c>
      <c r="BF472" t="str">
        <f>HYPERLINK("http://dx.doi.org/10.1175/JPO-D-22-0237.1","http://dx.doi.org/10.1175/JPO-D-22-0237.1")</f>
        <v>http://dx.doi.org/10.1175/JPO-D-22-0237.1</v>
      </c>
      <c r="BG472" t="s">
        <v>74</v>
      </c>
      <c r="BH472" t="s">
        <v>74</v>
      </c>
      <c r="BI472">
        <v>16</v>
      </c>
      <c r="BJ472" t="s">
        <v>306</v>
      </c>
      <c r="BK472" t="s">
        <v>104</v>
      </c>
      <c r="BL472" t="s">
        <v>306</v>
      </c>
      <c r="BM472" t="s">
        <v>9345</v>
      </c>
      <c r="BN472" t="s">
        <v>74</v>
      </c>
      <c r="BO472" t="s">
        <v>74</v>
      </c>
      <c r="BP472" t="s">
        <v>74</v>
      </c>
      <c r="BQ472" t="s">
        <v>74</v>
      </c>
      <c r="BR472" t="s">
        <v>107</v>
      </c>
      <c r="BS472" t="s">
        <v>9346</v>
      </c>
      <c r="BT472" t="str">
        <f>HYPERLINK("https%3A%2F%2Fwww.webofscience.com%2Fwos%2Fwoscc%2Ffull-record%2FWOS:001041277000002","View Full Record in Web of Science")</f>
        <v>View Full Record in Web of Science</v>
      </c>
    </row>
    <row r="473" spans="1:72" x14ac:dyDescent="0.15">
      <c r="A473" t="s">
        <v>72</v>
      </c>
      <c r="B473" t="s">
        <v>9347</v>
      </c>
      <c r="C473" t="s">
        <v>74</v>
      </c>
      <c r="D473" t="s">
        <v>74</v>
      </c>
      <c r="E473" t="s">
        <v>74</v>
      </c>
      <c r="F473" t="s">
        <v>9348</v>
      </c>
      <c r="G473" t="s">
        <v>74</v>
      </c>
      <c r="H473" t="s">
        <v>74</v>
      </c>
      <c r="I473" t="s">
        <v>9349</v>
      </c>
      <c r="J473" t="s">
        <v>5439</v>
      </c>
      <c r="K473" t="s">
        <v>74</v>
      </c>
      <c r="L473" t="s">
        <v>74</v>
      </c>
      <c r="M473" t="s">
        <v>78</v>
      </c>
      <c r="N473" t="s">
        <v>79</v>
      </c>
      <c r="O473" t="s">
        <v>74</v>
      </c>
      <c r="P473" t="s">
        <v>74</v>
      </c>
      <c r="Q473" t="s">
        <v>74</v>
      </c>
      <c r="R473" t="s">
        <v>74</v>
      </c>
      <c r="S473" t="s">
        <v>74</v>
      </c>
      <c r="T473" t="s">
        <v>9350</v>
      </c>
      <c r="U473" t="s">
        <v>9351</v>
      </c>
      <c r="V473" t="s">
        <v>9352</v>
      </c>
      <c r="W473" t="s">
        <v>9353</v>
      </c>
      <c r="X473" t="s">
        <v>9354</v>
      </c>
      <c r="Y473" t="s">
        <v>9355</v>
      </c>
      <c r="Z473" t="s">
        <v>9356</v>
      </c>
      <c r="AA473" t="s">
        <v>9357</v>
      </c>
      <c r="AB473" t="s">
        <v>9358</v>
      </c>
      <c r="AC473" t="s">
        <v>9359</v>
      </c>
      <c r="AD473" t="s">
        <v>9360</v>
      </c>
      <c r="AE473" t="s">
        <v>9361</v>
      </c>
      <c r="AF473" t="s">
        <v>74</v>
      </c>
      <c r="AG473">
        <v>187</v>
      </c>
      <c r="AH473">
        <v>0</v>
      </c>
      <c r="AI473">
        <v>0</v>
      </c>
      <c r="AJ473">
        <v>0</v>
      </c>
      <c r="AK473">
        <v>2</v>
      </c>
      <c r="AL473" t="s">
        <v>369</v>
      </c>
      <c r="AM473" t="s">
        <v>370</v>
      </c>
      <c r="AN473" t="s">
        <v>371</v>
      </c>
      <c r="AO473" t="s">
        <v>74</v>
      </c>
      <c r="AP473" t="s">
        <v>5446</v>
      </c>
      <c r="AQ473" t="s">
        <v>74</v>
      </c>
      <c r="AR473" t="s">
        <v>5439</v>
      </c>
      <c r="AS473" t="s">
        <v>5447</v>
      </c>
      <c r="AT473" t="s">
        <v>3612</v>
      </c>
      <c r="AU473">
        <v>2023</v>
      </c>
      <c r="AV473">
        <v>15</v>
      </c>
      <c r="AW473">
        <v>7</v>
      </c>
      <c r="AX473" t="s">
        <v>74</v>
      </c>
      <c r="AY473" t="s">
        <v>74</v>
      </c>
      <c r="AZ473" t="s">
        <v>74</v>
      </c>
      <c r="BA473" t="s">
        <v>74</v>
      </c>
      <c r="BB473" t="s">
        <v>74</v>
      </c>
      <c r="BC473" t="s">
        <v>74</v>
      </c>
      <c r="BD473">
        <v>814</v>
      </c>
      <c r="BE473" t="s">
        <v>9362</v>
      </c>
      <c r="BF473" t="str">
        <f>HYPERLINK("http://dx.doi.org/10.3390/d15070814","http://dx.doi.org/10.3390/d15070814")</f>
        <v>http://dx.doi.org/10.3390/d15070814</v>
      </c>
      <c r="BG473" t="s">
        <v>74</v>
      </c>
      <c r="BH473" t="s">
        <v>74</v>
      </c>
      <c r="BI473">
        <v>28</v>
      </c>
      <c r="BJ473" t="s">
        <v>3772</v>
      </c>
      <c r="BK473" t="s">
        <v>104</v>
      </c>
      <c r="BL473" t="s">
        <v>1905</v>
      </c>
      <c r="BM473" t="s">
        <v>9363</v>
      </c>
      <c r="BN473" t="s">
        <v>74</v>
      </c>
      <c r="BO473" t="s">
        <v>2390</v>
      </c>
      <c r="BP473" t="s">
        <v>74</v>
      </c>
      <c r="BQ473" t="s">
        <v>74</v>
      </c>
      <c r="BR473" t="s">
        <v>107</v>
      </c>
      <c r="BS473" t="s">
        <v>9364</v>
      </c>
      <c r="BT473" t="str">
        <f>HYPERLINK("https%3A%2F%2Fwww.webofscience.com%2Fwos%2Fwoscc%2Ffull-record%2FWOS:001038092700001","View Full Record in Web of Science")</f>
        <v>View Full Record in Web of Science</v>
      </c>
    </row>
    <row r="474" spans="1:72" x14ac:dyDescent="0.15">
      <c r="A474" t="s">
        <v>72</v>
      </c>
      <c r="B474" t="s">
        <v>9365</v>
      </c>
      <c r="C474" t="s">
        <v>74</v>
      </c>
      <c r="D474" t="s">
        <v>74</v>
      </c>
      <c r="E474" t="s">
        <v>74</v>
      </c>
      <c r="F474" t="s">
        <v>9366</v>
      </c>
      <c r="G474" t="s">
        <v>74</v>
      </c>
      <c r="H474" t="s">
        <v>74</v>
      </c>
      <c r="I474" t="s">
        <v>9367</v>
      </c>
      <c r="J474" t="s">
        <v>1440</v>
      </c>
      <c r="K474" t="s">
        <v>74</v>
      </c>
      <c r="L474" t="s">
        <v>74</v>
      </c>
      <c r="M474" t="s">
        <v>78</v>
      </c>
      <c r="N474" t="s">
        <v>79</v>
      </c>
      <c r="O474" t="s">
        <v>74</v>
      </c>
      <c r="P474" t="s">
        <v>74</v>
      </c>
      <c r="Q474" t="s">
        <v>74</v>
      </c>
      <c r="R474" t="s">
        <v>74</v>
      </c>
      <c r="S474" t="s">
        <v>74</v>
      </c>
      <c r="T474" t="s">
        <v>9368</v>
      </c>
      <c r="U474" t="s">
        <v>9369</v>
      </c>
      <c r="V474" t="s">
        <v>9370</v>
      </c>
      <c r="W474" t="s">
        <v>9371</v>
      </c>
      <c r="X474" t="s">
        <v>9372</v>
      </c>
      <c r="Y474" t="s">
        <v>9373</v>
      </c>
      <c r="Z474" t="s">
        <v>9374</v>
      </c>
      <c r="AA474" t="s">
        <v>74</v>
      </c>
      <c r="AB474" t="s">
        <v>9375</v>
      </c>
      <c r="AC474" t="s">
        <v>9376</v>
      </c>
      <c r="AD474" t="s">
        <v>9377</v>
      </c>
      <c r="AE474" t="s">
        <v>9378</v>
      </c>
      <c r="AF474" t="s">
        <v>74</v>
      </c>
      <c r="AG474">
        <v>40</v>
      </c>
      <c r="AH474">
        <v>0</v>
      </c>
      <c r="AI474">
        <v>0</v>
      </c>
      <c r="AJ474">
        <v>2</v>
      </c>
      <c r="AK474">
        <v>2</v>
      </c>
      <c r="AL474" t="s">
        <v>369</v>
      </c>
      <c r="AM474" t="s">
        <v>370</v>
      </c>
      <c r="AN474" t="s">
        <v>371</v>
      </c>
      <c r="AO474" t="s">
        <v>74</v>
      </c>
      <c r="AP474" t="s">
        <v>1453</v>
      </c>
      <c r="AQ474" t="s">
        <v>74</v>
      </c>
      <c r="AR474" t="s">
        <v>1454</v>
      </c>
      <c r="AS474" t="s">
        <v>1455</v>
      </c>
      <c r="AT474" t="s">
        <v>3612</v>
      </c>
      <c r="AU474">
        <v>2023</v>
      </c>
      <c r="AV474">
        <v>23</v>
      </c>
      <c r="AW474">
        <v>14</v>
      </c>
      <c r="AX474" t="s">
        <v>74</v>
      </c>
      <c r="AY474" t="s">
        <v>74</v>
      </c>
      <c r="AZ474" t="s">
        <v>74</v>
      </c>
      <c r="BA474" t="s">
        <v>74</v>
      </c>
      <c r="BB474" t="s">
        <v>74</v>
      </c>
      <c r="BC474" t="s">
        <v>74</v>
      </c>
      <c r="BD474">
        <v>6288</v>
      </c>
      <c r="BE474" t="s">
        <v>9379</v>
      </c>
      <c r="BF474" t="str">
        <f>HYPERLINK("http://dx.doi.org/10.3390/s23146288","http://dx.doi.org/10.3390/s23146288")</f>
        <v>http://dx.doi.org/10.3390/s23146288</v>
      </c>
      <c r="BG474" t="s">
        <v>74</v>
      </c>
      <c r="BH474" t="s">
        <v>74</v>
      </c>
      <c r="BI474">
        <v>30</v>
      </c>
      <c r="BJ474" t="s">
        <v>1457</v>
      </c>
      <c r="BK474" t="s">
        <v>104</v>
      </c>
      <c r="BL474" t="s">
        <v>1458</v>
      </c>
      <c r="BM474" t="s">
        <v>9380</v>
      </c>
      <c r="BN474">
        <v>37514583</v>
      </c>
      <c r="BO474" t="s">
        <v>181</v>
      </c>
      <c r="BP474" t="s">
        <v>74</v>
      </c>
      <c r="BQ474" t="s">
        <v>74</v>
      </c>
      <c r="BR474" t="s">
        <v>107</v>
      </c>
      <c r="BS474" t="s">
        <v>9381</v>
      </c>
      <c r="BT474" t="str">
        <f>HYPERLINK("https%3A%2F%2Fwww.webofscience.com%2Fwos%2Fwoscc%2Ffull-record%2FWOS:001039717100001","View Full Record in Web of Science")</f>
        <v>View Full Record in Web of Science</v>
      </c>
    </row>
    <row r="475" spans="1:72" x14ac:dyDescent="0.15">
      <c r="A475" t="s">
        <v>72</v>
      </c>
      <c r="B475" t="s">
        <v>9382</v>
      </c>
      <c r="C475" t="s">
        <v>74</v>
      </c>
      <c r="D475" t="s">
        <v>74</v>
      </c>
      <c r="E475" t="s">
        <v>74</v>
      </c>
      <c r="F475" t="s">
        <v>9383</v>
      </c>
      <c r="G475" t="s">
        <v>74</v>
      </c>
      <c r="H475" t="s">
        <v>74</v>
      </c>
      <c r="I475" t="s">
        <v>9384</v>
      </c>
      <c r="J475" t="s">
        <v>9385</v>
      </c>
      <c r="K475" t="s">
        <v>74</v>
      </c>
      <c r="L475" t="s">
        <v>74</v>
      </c>
      <c r="M475" t="s">
        <v>78</v>
      </c>
      <c r="N475" t="s">
        <v>4565</v>
      </c>
      <c r="O475" t="s">
        <v>74</v>
      </c>
      <c r="P475" t="s">
        <v>74</v>
      </c>
      <c r="Q475" t="s">
        <v>74</v>
      </c>
      <c r="R475" t="s">
        <v>74</v>
      </c>
      <c r="S475" t="s">
        <v>74</v>
      </c>
      <c r="T475" t="s">
        <v>74</v>
      </c>
      <c r="U475" t="s">
        <v>74</v>
      </c>
      <c r="V475" t="s">
        <v>74</v>
      </c>
      <c r="W475" t="s">
        <v>9386</v>
      </c>
      <c r="X475" t="s">
        <v>9387</v>
      </c>
      <c r="Y475" t="s">
        <v>9388</v>
      </c>
      <c r="Z475" t="s">
        <v>9389</v>
      </c>
      <c r="AA475" t="s">
        <v>74</v>
      </c>
      <c r="AB475" t="s">
        <v>9390</v>
      </c>
      <c r="AC475" t="s">
        <v>74</v>
      </c>
      <c r="AD475" t="s">
        <v>74</v>
      </c>
      <c r="AE475" t="s">
        <v>74</v>
      </c>
      <c r="AF475" t="s">
        <v>74</v>
      </c>
      <c r="AG475">
        <v>1</v>
      </c>
      <c r="AH475">
        <v>0</v>
      </c>
      <c r="AI475">
        <v>0</v>
      </c>
      <c r="AJ475">
        <v>0</v>
      </c>
      <c r="AK475">
        <v>1</v>
      </c>
      <c r="AL475" t="s">
        <v>369</v>
      </c>
      <c r="AM475" t="s">
        <v>370</v>
      </c>
      <c r="AN475" t="s">
        <v>371</v>
      </c>
      <c r="AO475" t="s">
        <v>74</v>
      </c>
      <c r="AP475" t="s">
        <v>9391</v>
      </c>
      <c r="AQ475" t="s">
        <v>74</v>
      </c>
      <c r="AR475" t="s">
        <v>9392</v>
      </c>
      <c r="AS475" t="s">
        <v>9393</v>
      </c>
      <c r="AT475" t="s">
        <v>3612</v>
      </c>
      <c r="AU475">
        <v>2023</v>
      </c>
      <c r="AV475">
        <v>10</v>
      </c>
      <c r="AW475">
        <v>7</v>
      </c>
      <c r="AX475" t="s">
        <v>74</v>
      </c>
      <c r="AY475" t="s">
        <v>74</v>
      </c>
      <c r="AZ475" t="s">
        <v>74</v>
      </c>
      <c r="BA475" t="s">
        <v>74</v>
      </c>
      <c r="BB475" t="s">
        <v>74</v>
      </c>
      <c r="BC475" t="s">
        <v>74</v>
      </c>
      <c r="BD475">
        <v>422</v>
      </c>
      <c r="BE475" t="s">
        <v>9394</v>
      </c>
      <c r="BF475" t="str">
        <f>HYPERLINK("http://dx.doi.org/10.3390/vetsci10070422","http://dx.doi.org/10.3390/vetsci10070422")</f>
        <v>http://dx.doi.org/10.3390/vetsci10070422</v>
      </c>
      <c r="BG475" t="s">
        <v>74</v>
      </c>
      <c r="BH475" t="s">
        <v>74</v>
      </c>
      <c r="BI475">
        <v>2</v>
      </c>
      <c r="BJ475" t="s">
        <v>9395</v>
      </c>
      <c r="BK475" t="s">
        <v>104</v>
      </c>
      <c r="BL475" t="s">
        <v>9395</v>
      </c>
      <c r="BM475" t="s">
        <v>9396</v>
      </c>
      <c r="BN475">
        <v>37505887</v>
      </c>
      <c r="BO475" t="s">
        <v>181</v>
      </c>
      <c r="BP475" t="s">
        <v>74</v>
      </c>
      <c r="BQ475" t="s">
        <v>74</v>
      </c>
      <c r="BR475" t="s">
        <v>107</v>
      </c>
      <c r="BS475" t="s">
        <v>9397</v>
      </c>
      <c r="BT475" t="str">
        <f>HYPERLINK("https%3A%2F%2Fwww.webofscience.com%2Fwos%2Fwoscc%2Ffull-record%2FWOS:001039684600001","View Full Record in Web of Science")</f>
        <v>View Full Record in Web of Science</v>
      </c>
    </row>
    <row r="476" spans="1:72" x14ac:dyDescent="0.15">
      <c r="A476" t="s">
        <v>72</v>
      </c>
      <c r="B476" t="s">
        <v>9398</v>
      </c>
      <c r="C476" t="s">
        <v>74</v>
      </c>
      <c r="D476" t="s">
        <v>74</v>
      </c>
      <c r="E476" t="s">
        <v>74</v>
      </c>
      <c r="F476" t="s">
        <v>9399</v>
      </c>
      <c r="G476" t="s">
        <v>74</v>
      </c>
      <c r="H476" t="s">
        <v>74</v>
      </c>
      <c r="I476" t="s">
        <v>9400</v>
      </c>
      <c r="J476" t="s">
        <v>5519</v>
      </c>
      <c r="K476" t="s">
        <v>74</v>
      </c>
      <c r="L476" t="s">
        <v>74</v>
      </c>
      <c r="M476" t="s">
        <v>78</v>
      </c>
      <c r="N476" t="s">
        <v>79</v>
      </c>
      <c r="O476" t="s">
        <v>74</v>
      </c>
      <c r="P476" t="s">
        <v>74</v>
      </c>
      <c r="Q476" t="s">
        <v>74</v>
      </c>
      <c r="R476" t="s">
        <v>74</v>
      </c>
      <c r="S476" t="s">
        <v>74</v>
      </c>
      <c r="T476" t="s">
        <v>74</v>
      </c>
      <c r="U476" t="s">
        <v>9401</v>
      </c>
      <c r="V476" t="s">
        <v>9402</v>
      </c>
      <c r="W476" t="s">
        <v>9403</v>
      </c>
      <c r="X476" t="s">
        <v>9404</v>
      </c>
      <c r="Y476" t="s">
        <v>9405</v>
      </c>
      <c r="Z476" t="s">
        <v>9406</v>
      </c>
      <c r="AA476" t="s">
        <v>9407</v>
      </c>
      <c r="AB476" t="s">
        <v>9408</v>
      </c>
      <c r="AC476" t="s">
        <v>9409</v>
      </c>
      <c r="AD476" t="s">
        <v>9410</v>
      </c>
      <c r="AE476" t="s">
        <v>9411</v>
      </c>
      <c r="AF476" t="s">
        <v>74</v>
      </c>
      <c r="AG476">
        <v>123</v>
      </c>
      <c r="AH476">
        <v>3</v>
      </c>
      <c r="AI476">
        <v>3</v>
      </c>
      <c r="AJ476">
        <v>3</v>
      </c>
      <c r="AK476">
        <v>7</v>
      </c>
      <c r="AL476" t="s">
        <v>5530</v>
      </c>
      <c r="AM476" t="s">
        <v>589</v>
      </c>
      <c r="AN476" t="s">
        <v>5531</v>
      </c>
      <c r="AO476" t="s">
        <v>5532</v>
      </c>
      <c r="AP476" t="s">
        <v>74</v>
      </c>
      <c r="AQ476" t="s">
        <v>74</v>
      </c>
      <c r="AR476" t="s">
        <v>5533</v>
      </c>
      <c r="AS476" t="s">
        <v>5534</v>
      </c>
      <c r="AT476" t="s">
        <v>3612</v>
      </c>
      <c r="AU476">
        <v>2023</v>
      </c>
      <c r="AV476">
        <v>9</v>
      </c>
      <c r="AW476">
        <v>27</v>
      </c>
      <c r="AX476" t="s">
        <v>74</v>
      </c>
      <c r="AY476" t="s">
        <v>74</v>
      </c>
      <c r="AZ476" t="s">
        <v>74</v>
      </c>
      <c r="BA476" t="s">
        <v>74</v>
      </c>
      <c r="BB476" t="s">
        <v>74</v>
      </c>
      <c r="BC476" t="s">
        <v>74</v>
      </c>
      <c r="BD476" t="s">
        <v>9412</v>
      </c>
      <c r="BE476" t="s">
        <v>9413</v>
      </c>
      <c r="BF476" t="str">
        <f>HYPERLINK("http://dx.doi.org/10.1126/sciadv.adf0198","http://dx.doi.org/10.1126/sciadv.adf0198")</f>
        <v>http://dx.doi.org/10.1126/sciadv.adf0198</v>
      </c>
      <c r="BG476" t="s">
        <v>74</v>
      </c>
      <c r="BH476" t="s">
        <v>74</v>
      </c>
      <c r="BI476">
        <v>13</v>
      </c>
      <c r="BJ476" t="s">
        <v>1881</v>
      </c>
      <c r="BK476" t="s">
        <v>104</v>
      </c>
      <c r="BL476" t="s">
        <v>1882</v>
      </c>
      <c r="BM476" t="s">
        <v>9414</v>
      </c>
      <c r="BN476">
        <v>37406130</v>
      </c>
      <c r="BO476" t="s">
        <v>181</v>
      </c>
      <c r="BP476" t="s">
        <v>74</v>
      </c>
      <c r="BQ476" t="s">
        <v>74</v>
      </c>
      <c r="BR476" t="s">
        <v>107</v>
      </c>
      <c r="BS476" t="s">
        <v>9415</v>
      </c>
      <c r="BT476" t="str">
        <f>HYPERLINK("https%3A%2F%2Fwww.webofscience.com%2Fwos%2Fwoscc%2Ffull-record%2FWOS:001030977500017","View Full Record in Web of Science")</f>
        <v>View Full Record in Web of Science</v>
      </c>
    </row>
    <row r="477" spans="1:72" x14ac:dyDescent="0.15">
      <c r="A477" t="s">
        <v>72</v>
      </c>
      <c r="B477" t="s">
        <v>9416</v>
      </c>
      <c r="C477" t="s">
        <v>74</v>
      </c>
      <c r="D477" t="s">
        <v>74</v>
      </c>
      <c r="E477" t="s">
        <v>74</v>
      </c>
      <c r="F477" t="s">
        <v>9417</v>
      </c>
      <c r="G477" t="s">
        <v>74</v>
      </c>
      <c r="H477" t="s">
        <v>74</v>
      </c>
      <c r="I477" t="s">
        <v>9418</v>
      </c>
      <c r="J477" t="s">
        <v>9419</v>
      </c>
      <c r="K477" t="s">
        <v>74</v>
      </c>
      <c r="L477" t="s">
        <v>74</v>
      </c>
      <c r="M477" t="s">
        <v>78</v>
      </c>
      <c r="N477" t="s">
        <v>79</v>
      </c>
      <c r="O477" t="s">
        <v>74</v>
      </c>
      <c r="P477" t="s">
        <v>74</v>
      </c>
      <c r="Q477" t="s">
        <v>74</v>
      </c>
      <c r="R477" t="s">
        <v>74</v>
      </c>
      <c r="S477" t="s">
        <v>74</v>
      </c>
      <c r="T477" t="s">
        <v>9420</v>
      </c>
      <c r="U477" t="s">
        <v>9421</v>
      </c>
      <c r="V477" t="s">
        <v>9422</v>
      </c>
      <c r="W477" t="s">
        <v>9423</v>
      </c>
      <c r="X477" t="s">
        <v>9424</v>
      </c>
      <c r="Y477" t="s">
        <v>9425</v>
      </c>
      <c r="Z477" t="s">
        <v>9426</v>
      </c>
      <c r="AA477" t="s">
        <v>74</v>
      </c>
      <c r="AB477" t="s">
        <v>74</v>
      </c>
      <c r="AC477" t="s">
        <v>9427</v>
      </c>
      <c r="AD477" t="s">
        <v>9428</v>
      </c>
      <c r="AE477" t="s">
        <v>9429</v>
      </c>
      <c r="AF477" t="s">
        <v>74</v>
      </c>
      <c r="AG477">
        <v>152</v>
      </c>
      <c r="AH477">
        <v>0</v>
      </c>
      <c r="AI477">
        <v>0</v>
      </c>
      <c r="AJ477">
        <v>6</v>
      </c>
      <c r="AK477">
        <v>7</v>
      </c>
      <c r="AL477" t="s">
        <v>537</v>
      </c>
      <c r="AM477" t="s">
        <v>538</v>
      </c>
      <c r="AN477" t="s">
        <v>539</v>
      </c>
      <c r="AO477" t="s">
        <v>9430</v>
      </c>
      <c r="AP477" t="s">
        <v>9431</v>
      </c>
      <c r="AQ477" t="s">
        <v>74</v>
      </c>
      <c r="AR477" t="s">
        <v>9432</v>
      </c>
      <c r="AS477" t="s">
        <v>9433</v>
      </c>
      <c r="AT477" t="s">
        <v>9434</v>
      </c>
      <c r="AU477">
        <v>2023</v>
      </c>
      <c r="AV477">
        <v>64</v>
      </c>
      <c r="AW477">
        <v>7</v>
      </c>
      <c r="AX477" t="s">
        <v>74</v>
      </c>
      <c r="AY477" t="s">
        <v>74</v>
      </c>
      <c r="AZ477" t="s">
        <v>74</v>
      </c>
      <c r="BA477" t="s">
        <v>74</v>
      </c>
      <c r="BB477" t="s">
        <v>74</v>
      </c>
      <c r="BC477" t="s">
        <v>74</v>
      </c>
      <c r="BD477" t="s">
        <v>9435</v>
      </c>
      <c r="BE477" t="s">
        <v>9436</v>
      </c>
      <c r="BF477" t="str">
        <f>HYPERLINK("http://dx.doi.org/10.1093/petrology/egad051","http://dx.doi.org/10.1093/petrology/egad051")</f>
        <v>http://dx.doi.org/10.1093/petrology/egad051</v>
      </c>
      <c r="BG477" t="s">
        <v>74</v>
      </c>
      <c r="BH477" t="s">
        <v>74</v>
      </c>
      <c r="BI477">
        <v>27</v>
      </c>
      <c r="BJ477" t="s">
        <v>597</v>
      </c>
      <c r="BK477" t="s">
        <v>104</v>
      </c>
      <c r="BL477" t="s">
        <v>597</v>
      </c>
      <c r="BM477" t="s">
        <v>9437</v>
      </c>
      <c r="BN477" t="s">
        <v>74</v>
      </c>
      <c r="BO477" t="s">
        <v>74</v>
      </c>
      <c r="BP477" t="s">
        <v>74</v>
      </c>
      <c r="BQ477" t="s">
        <v>74</v>
      </c>
      <c r="BR477" t="s">
        <v>107</v>
      </c>
      <c r="BS477" t="s">
        <v>9438</v>
      </c>
      <c r="BT477" t="str">
        <f>HYPERLINK("https%3A%2F%2Fwww.webofscience.com%2Fwos%2Fwoscc%2Ffull-record%2FWOS:001036025600002","View Full Record in Web of Science")</f>
        <v>View Full Record in Web of Science</v>
      </c>
    </row>
    <row r="478" spans="1:72" x14ac:dyDescent="0.15">
      <c r="A478" t="s">
        <v>72</v>
      </c>
      <c r="B478" t="s">
        <v>9439</v>
      </c>
      <c r="C478" t="s">
        <v>74</v>
      </c>
      <c r="D478" t="s">
        <v>74</v>
      </c>
      <c r="E478" t="s">
        <v>74</v>
      </c>
      <c r="F478" t="s">
        <v>9440</v>
      </c>
      <c r="G478" t="s">
        <v>74</v>
      </c>
      <c r="H478" t="s">
        <v>74</v>
      </c>
      <c r="I478" t="s">
        <v>9441</v>
      </c>
      <c r="J478" t="s">
        <v>9442</v>
      </c>
      <c r="K478" t="s">
        <v>74</v>
      </c>
      <c r="L478" t="s">
        <v>74</v>
      </c>
      <c r="M478" t="s">
        <v>78</v>
      </c>
      <c r="N478" t="s">
        <v>79</v>
      </c>
      <c r="O478" t="s">
        <v>74</v>
      </c>
      <c r="P478" t="s">
        <v>74</v>
      </c>
      <c r="Q478" t="s">
        <v>74</v>
      </c>
      <c r="R478" t="s">
        <v>74</v>
      </c>
      <c r="S478" t="s">
        <v>74</v>
      </c>
      <c r="T478" t="s">
        <v>9443</v>
      </c>
      <c r="U478" t="s">
        <v>9444</v>
      </c>
      <c r="V478" t="s">
        <v>9445</v>
      </c>
      <c r="W478" t="s">
        <v>9446</v>
      </c>
      <c r="X478" t="s">
        <v>9447</v>
      </c>
      <c r="Y478" t="s">
        <v>9448</v>
      </c>
      <c r="Z478" t="s">
        <v>9449</v>
      </c>
      <c r="AA478" t="s">
        <v>9450</v>
      </c>
      <c r="AB478" t="s">
        <v>9451</v>
      </c>
      <c r="AC478" t="s">
        <v>9452</v>
      </c>
      <c r="AD478" t="s">
        <v>9453</v>
      </c>
      <c r="AE478" t="s">
        <v>9454</v>
      </c>
      <c r="AF478" t="s">
        <v>74</v>
      </c>
      <c r="AG478">
        <v>63</v>
      </c>
      <c r="AH478">
        <v>1</v>
      </c>
      <c r="AI478">
        <v>1</v>
      </c>
      <c r="AJ478">
        <v>1</v>
      </c>
      <c r="AK478">
        <v>2</v>
      </c>
      <c r="AL478" t="s">
        <v>588</v>
      </c>
      <c r="AM478" t="s">
        <v>589</v>
      </c>
      <c r="AN478" t="s">
        <v>590</v>
      </c>
      <c r="AO478" t="s">
        <v>74</v>
      </c>
      <c r="AP478" t="s">
        <v>9455</v>
      </c>
      <c r="AQ478" t="s">
        <v>74</v>
      </c>
      <c r="AR478" t="s">
        <v>9456</v>
      </c>
      <c r="AS478" t="s">
        <v>9457</v>
      </c>
      <c r="AT478" t="s">
        <v>3612</v>
      </c>
      <c r="AU478">
        <v>2023</v>
      </c>
      <c r="AV478">
        <v>21</v>
      </c>
      <c r="AW478">
        <v>7</v>
      </c>
      <c r="AX478" t="s">
        <v>74</v>
      </c>
      <c r="AY478" t="s">
        <v>74</v>
      </c>
      <c r="AZ478" t="s">
        <v>74</v>
      </c>
      <c r="BA478" t="s">
        <v>74</v>
      </c>
      <c r="BB478" t="s">
        <v>74</v>
      </c>
      <c r="BC478" t="s">
        <v>74</v>
      </c>
      <c r="BD478" t="s">
        <v>9458</v>
      </c>
      <c r="BE478" t="s">
        <v>9459</v>
      </c>
      <c r="BF478" t="str">
        <f>HYPERLINK("http://dx.doi.org/10.1029/2023SW003428","http://dx.doi.org/10.1029/2023SW003428")</f>
        <v>http://dx.doi.org/10.1029/2023SW003428</v>
      </c>
      <c r="BG478" t="s">
        <v>74</v>
      </c>
      <c r="BH478" t="s">
        <v>74</v>
      </c>
      <c r="BI478">
        <v>17</v>
      </c>
      <c r="BJ478" t="s">
        <v>9460</v>
      </c>
      <c r="BK478" t="s">
        <v>104</v>
      </c>
      <c r="BL478" t="s">
        <v>9460</v>
      </c>
      <c r="BM478" t="s">
        <v>9461</v>
      </c>
      <c r="BN478" t="s">
        <v>74</v>
      </c>
      <c r="BO478" t="s">
        <v>2670</v>
      </c>
      <c r="BP478" t="s">
        <v>74</v>
      </c>
      <c r="BQ478" t="s">
        <v>74</v>
      </c>
      <c r="BR478" t="s">
        <v>107</v>
      </c>
      <c r="BS478" t="s">
        <v>9462</v>
      </c>
      <c r="BT478" t="str">
        <f>HYPERLINK("https%3A%2F%2Fwww.webofscience.com%2Fwos%2Fwoscc%2Ffull-record%2FWOS:001042088800001","View Full Record in Web of Science")</f>
        <v>View Full Record in Web of Science</v>
      </c>
    </row>
    <row r="479" spans="1:72" x14ac:dyDescent="0.15">
      <c r="A479" t="s">
        <v>72</v>
      </c>
      <c r="B479" t="s">
        <v>9463</v>
      </c>
      <c r="C479" t="s">
        <v>74</v>
      </c>
      <c r="D479" t="s">
        <v>74</v>
      </c>
      <c r="E479" t="s">
        <v>74</v>
      </c>
      <c r="F479" t="s">
        <v>9464</v>
      </c>
      <c r="G479" t="s">
        <v>74</v>
      </c>
      <c r="H479" t="s">
        <v>74</v>
      </c>
      <c r="I479" t="s">
        <v>9465</v>
      </c>
      <c r="J479" t="s">
        <v>888</v>
      </c>
      <c r="K479" t="s">
        <v>74</v>
      </c>
      <c r="L479" t="s">
        <v>74</v>
      </c>
      <c r="M479" t="s">
        <v>78</v>
      </c>
      <c r="N479" t="s">
        <v>79</v>
      </c>
      <c r="O479" t="s">
        <v>74</v>
      </c>
      <c r="P479" t="s">
        <v>74</v>
      </c>
      <c r="Q479" t="s">
        <v>74</v>
      </c>
      <c r="R479" t="s">
        <v>74</v>
      </c>
      <c r="S479" t="s">
        <v>74</v>
      </c>
      <c r="T479" t="s">
        <v>9466</v>
      </c>
      <c r="U479" t="s">
        <v>9467</v>
      </c>
      <c r="V479" t="s">
        <v>9468</v>
      </c>
      <c r="W479" t="s">
        <v>9469</v>
      </c>
      <c r="X479" t="s">
        <v>9470</v>
      </c>
      <c r="Y479" t="s">
        <v>9471</v>
      </c>
      <c r="Z479" t="s">
        <v>9472</v>
      </c>
      <c r="AA479" t="s">
        <v>9473</v>
      </c>
      <c r="AB479" t="s">
        <v>9474</v>
      </c>
      <c r="AC479" t="s">
        <v>9475</v>
      </c>
      <c r="AD479" t="s">
        <v>9476</v>
      </c>
      <c r="AE479" t="s">
        <v>9477</v>
      </c>
      <c r="AF479" t="s">
        <v>74</v>
      </c>
      <c r="AG479">
        <v>102</v>
      </c>
      <c r="AH479">
        <v>3</v>
      </c>
      <c r="AI479">
        <v>3</v>
      </c>
      <c r="AJ479">
        <v>3</v>
      </c>
      <c r="AK479">
        <v>5</v>
      </c>
      <c r="AL479" t="s">
        <v>588</v>
      </c>
      <c r="AM479" t="s">
        <v>589</v>
      </c>
      <c r="AN479" t="s">
        <v>590</v>
      </c>
      <c r="AO479" t="s">
        <v>901</v>
      </c>
      <c r="AP479" t="s">
        <v>902</v>
      </c>
      <c r="AQ479" t="s">
        <v>74</v>
      </c>
      <c r="AR479" t="s">
        <v>903</v>
      </c>
      <c r="AS479" t="s">
        <v>904</v>
      </c>
      <c r="AT479" t="s">
        <v>3612</v>
      </c>
      <c r="AU479">
        <v>2023</v>
      </c>
      <c r="AV479">
        <v>128</v>
      </c>
      <c r="AW479">
        <v>7</v>
      </c>
      <c r="AX479" t="s">
        <v>74</v>
      </c>
      <c r="AY479" t="s">
        <v>74</v>
      </c>
      <c r="AZ479" t="s">
        <v>74</v>
      </c>
      <c r="BA479" t="s">
        <v>74</v>
      </c>
      <c r="BB479" t="s">
        <v>74</v>
      </c>
      <c r="BC479" t="s">
        <v>74</v>
      </c>
      <c r="BD479" t="s">
        <v>9478</v>
      </c>
      <c r="BE479" t="s">
        <v>9479</v>
      </c>
      <c r="BF479" t="str">
        <f>HYPERLINK("http://dx.doi.org/10.1029/2023JA031464","http://dx.doi.org/10.1029/2023JA031464")</f>
        <v>http://dx.doi.org/10.1029/2023JA031464</v>
      </c>
      <c r="BG479" t="s">
        <v>74</v>
      </c>
      <c r="BH479" t="s">
        <v>74</v>
      </c>
      <c r="BI479">
        <v>31</v>
      </c>
      <c r="BJ479" t="s">
        <v>845</v>
      </c>
      <c r="BK479" t="s">
        <v>104</v>
      </c>
      <c r="BL479" t="s">
        <v>845</v>
      </c>
      <c r="BM479" t="s">
        <v>9480</v>
      </c>
      <c r="BN479" t="s">
        <v>74</v>
      </c>
      <c r="BO479" t="s">
        <v>9481</v>
      </c>
      <c r="BP479" t="s">
        <v>74</v>
      </c>
      <c r="BQ479" t="s">
        <v>74</v>
      </c>
      <c r="BR479" t="s">
        <v>107</v>
      </c>
      <c r="BS479" t="s">
        <v>9482</v>
      </c>
      <c r="BT479" t="str">
        <f>HYPERLINK("https%3A%2F%2Fwww.webofscience.com%2Fwos%2Fwoscc%2Ffull-record%2FWOS:001040705000001","View Full Record in Web of Science")</f>
        <v>View Full Record in Web of Science</v>
      </c>
    </row>
    <row r="480" spans="1:72" x14ac:dyDescent="0.15">
      <c r="A480" t="s">
        <v>72</v>
      </c>
      <c r="B480" t="s">
        <v>9483</v>
      </c>
      <c r="C480" t="s">
        <v>74</v>
      </c>
      <c r="D480" t="s">
        <v>74</v>
      </c>
      <c r="E480" t="s">
        <v>74</v>
      </c>
      <c r="F480" t="s">
        <v>9484</v>
      </c>
      <c r="G480" t="s">
        <v>74</v>
      </c>
      <c r="H480" t="s">
        <v>74</v>
      </c>
      <c r="I480" t="s">
        <v>9485</v>
      </c>
      <c r="J480" t="s">
        <v>9486</v>
      </c>
      <c r="K480" t="s">
        <v>74</v>
      </c>
      <c r="L480" t="s">
        <v>74</v>
      </c>
      <c r="M480" t="s">
        <v>78</v>
      </c>
      <c r="N480" t="s">
        <v>869</v>
      </c>
      <c r="O480" t="s">
        <v>74</v>
      </c>
      <c r="P480" t="s">
        <v>74</v>
      </c>
      <c r="Q480" t="s">
        <v>74</v>
      </c>
      <c r="R480" t="s">
        <v>74</v>
      </c>
      <c r="S480" t="s">
        <v>74</v>
      </c>
      <c r="T480" t="s">
        <v>74</v>
      </c>
      <c r="U480" t="s">
        <v>74</v>
      </c>
      <c r="V480" t="s">
        <v>74</v>
      </c>
      <c r="W480" t="s">
        <v>9487</v>
      </c>
      <c r="X480" t="s">
        <v>9488</v>
      </c>
      <c r="Y480" t="s">
        <v>9489</v>
      </c>
      <c r="Z480" t="s">
        <v>9490</v>
      </c>
      <c r="AA480" t="s">
        <v>9491</v>
      </c>
      <c r="AB480" t="s">
        <v>9492</v>
      </c>
      <c r="AC480" t="s">
        <v>9493</v>
      </c>
      <c r="AD480" t="s">
        <v>9494</v>
      </c>
      <c r="AE480" t="s">
        <v>9495</v>
      </c>
      <c r="AF480" t="s">
        <v>74</v>
      </c>
      <c r="AG480">
        <v>22</v>
      </c>
      <c r="AH480">
        <v>0</v>
      </c>
      <c r="AI480">
        <v>0</v>
      </c>
      <c r="AJ480">
        <v>0</v>
      </c>
      <c r="AK480">
        <v>1</v>
      </c>
      <c r="AL480" t="s">
        <v>369</v>
      </c>
      <c r="AM480" t="s">
        <v>370</v>
      </c>
      <c r="AN480" t="s">
        <v>371</v>
      </c>
      <c r="AO480" t="s">
        <v>74</v>
      </c>
      <c r="AP480" t="s">
        <v>9496</v>
      </c>
      <c r="AQ480" t="s">
        <v>74</v>
      </c>
      <c r="AR480" t="s">
        <v>9497</v>
      </c>
      <c r="AS480" t="s">
        <v>9498</v>
      </c>
      <c r="AT480" t="s">
        <v>3612</v>
      </c>
      <c r="AU480">
        <v>2023</v>
      </c>
      <c r="AV480">
        <v>14</v>
      </c>
      <c r="AW480">
        <v>7</v>
      </c>
      <c r="AX480" t="s">
        <v>74</v>
      </c>
      <c r="AY480" t="s">
        <v>74</v>
      </c>
      <c r="AZ480" t="s">
        <v>74</v>
      </c>
      <c r="BA480" t="s">
        <v>74</v>
      </c>
      <c r="BB480" t="s">
        <v>74</v>
      </c>
      <c r="BC480" t="s">
        <v>74</v>
      </c>
      <c r="BD480">
        <v>1395</v>
      </c>
      <c r="BE480" t="s">
        <v>9499</v>
      </c>
      <c r="BF480" t="str">
        <f>HYPERLINK("http://dx.doi.org/10.3390/genes14071395","http://dx.doi.org/10.3390/genes14071395")</f>
        <v>http://dx.doi.org/10.3390/genes14071395</v>
      </c>
      <c r="BG480" t="s">
        <v>74</v>
      </c>
      <c r="BH480" t="s">
        <v>74</v>
      </c>
      <c r="BI480">
        <v>5</v>
      </c>
      <c r="BJ480" t="s">
        <v>9500</v>
      </c>
      <c r="BK480" t="s">
        <v>104</v>
      </c>
      <c r="BL480" t="s">
        <v>9500</v>
      </c>
      <c r="BM480" t="s">
        <v>9501</v>
      </c>
      <c r="BN480">
        <v>37510300</v>
      </c>
      <c r="BO480" t="s">
        <v>6754</v>
      </c>
      <c r="BP480" t="s">
        <v>74</v>
      </c>
      <c r="BQ480" t="s">
        <v>74</v>
      </c>
      <c r="BR480" t="s">
        <v>107</v>
      </c>
      <c r="BS480" t="s">
        <v>9502</v>
      </c>
      <c r="BT480" t="str">
        <f>HYPERLINK("https%3A%2F%2Fwww.webofscience.com%2Fwos%2Fwoscc%2Ffull-record%2FWOS:001039495200001","View Full Record in Web of Science")</f>
        <v>View Full Record in Web of Science</v>
      </c>
    </row>
    <row r="481" spans="1:72" x14ac:dyDescent="0.15">
      <c r="A481" t="s">
        <v>72</v>
      </c>
      <c r="B481" t="s">
        <v>9503</v>
      </c>
      <c r="C481" t="s">
        <v>74</v>
      </c>
      <c r="D481" t="s">
        <v>74</v>
      </c>
      <c r="E481" t="s">
        <v>74</v>
      </c>
      <c r="F481" t="s">
        <v>9504</v>
      </c>
      <c r="G481" t="s">
        <v>74</v>
      </c>
      <c r="H481" t="s">
        <v>74</v>
      </c>
      <c r="I481" t="s">
        <v>9505</v>
      </c>
      <c r="J481" t="s">
        <v>5379</v>
      </c>
      <c r="K481" t="s">
        <v>74</v>
      </c>
      <c r="L481" t="s">
        <v>74</v>
      </c>
      <c r="M481" t="s">
        <v>78</v>
      </c>
      <c r="N481" t="s">
        <v>79</v>
      </c>
      <c r="O481" t="s">
        <v>74</v>
      </c>
      <c r="P481" t="s">
        <v>74</v>
      </c>
      <c r="Q481" t="s">
        <v>74</v>
      </c>
      <c r="R481" t="s">
        <v>74</v>
      </c>
      <c r="S481" t="s">
        <v>74</v>
      </c>
      <c r="T481" t="s">
        <v>9506</v>
      </c>
      <c r="U481" t="s">
        <v>9507</v>
      </c>
      <c r="V481" t="s">
        <v>9508</v>
      </c>
      <c r="W481" t="s">
        <v>9509</v>
      </c>
      <c r="X481" t="s">
        <v>9510</v>
      </c>
      <c r="Y481" t="s">
        <v>9511</v>
      </c>
      <c r="Z481" t="s">
        <v>9512</v>
      </c>
      <c r="AA481" t="s">
        <v>74</v>
      </c>
      <c r="AB481" t="s">
        <v>74</v>
      </c>
      <c r="AC481" t="s">
        <v>9513</v>
      </c>
      <c r="AD481" t="s">
        <v>367</v>
      </c>
      <c r="AE481" t="s">
        <v>9514</v>
      </c>
      <c r="AF481" t="s">
        <v>74</v>
      </c>
      <c r="AG481">
        <v>85</v>
      </c>
      <c r="AH481">
        <v>0</v>
      </c>
      <c r="AI481">
        <v>0</v>
      </c>
      <c r="AJ481">
        <v>2</v>
      </c>
      <c r="AK481">
        <v>6</v>
      </c>
      <c r="AL481" t="s">
        <v>369</v>
      </c>
      <c r="AM481" t="s">
        <v>370</v>
      </c>
      <c r="AN481" t="s">
        <v>371</v>
      </c>
      <c r="AO481" t="s">
        <v>74</v>
      </c>
      <c r="AP481" t="s">
        <v>5389</v>
      </c>
      <c r="AQ481" t="s">
        <v>74</v>
      </c>
      <c r="AR481" t="s">
        <v>5390</v>
      </c>
      <c r="AS481" t="s">
        <v>5391</v>
      </c>
      <c r="AT481" t="s">
        <v>3612</v>
      </c>
      <c r="AU481">
        <v>2023</v>
      </c>
      <c r="AV481">
        <v>11</v>
      </c>
      <c r="AW481">
        <v>7</v>
      </c>
      <c r="AX481" t="s">
        <v>74</v>
      </c>
      <c r="AY481" t="s">
        <v>74</v>
      </c>
      <c r="AZ481" t="s">
        <v>74</v>
      </c>
      <c r="BA481" t="s">
        <v>74</v>
      </c>
      <c r="BB481" t="s">
        <v>74</v>
      </c>
      <c r="BC481" t="s">
        <v>74</v>
      </c>
      <c r="BD481">
        <v>1428</v>
      </c>
      <c r="BE481" t="s">
        <v>9515</v>
      </c>
      <c r="BF481" t="str">
        <f>HYPERLINK("http://dx.doi.org/10.3390/jmse11071428","http://dx.doi.org/10.3390/jmse11071428")</f>
        <v>http://dx.doi.org/10.3390/jmse11071428</v>
      </c>
      <c r="BG481" t="s">
        <v>74</v>
      </c>
      <c r="BH481" t="s">
        <v>74</v>
      </c>
      <c r="BI481">
        <v>15</v>
      </c>
      <c r="BJ481" t="s">
        <v>5393</v>
      </c>
      <c r="BK481" t="s">
        <v>104</v>
      </c>
      <c r="BL481" t="s">
        <v>5394</v>
      </c>
      <c r="BM481" t="s">
        <v>9516</v>
      </c>
      <c r="BN481" t="s">
        <v>74</v>
      </c>
      <c r="BO481" t="s">
        <v>206</v>
      </c>
      <c r="BP481" t="s">
        <v>74</v>
      </c>
      <c r="BQ481" t="s">
        <v>74</v>
      </c>
      <c r="BR481" t="s">
        <v>107</v>
      </c>
      <c r="BS481" t="s">
        <v>9517</v>
      </c>
      <c r="BT481" t="str">
        <f>HYPERLINK("https%3A%2F%2Fwww.webofscience.com%2Fwos%2Fwoscc%2Ffull-record%2FWOS:001038508100001","View Full Record in Web of Science")</f>
        <v>View Full Record in Web of Science</v>
      </c>
    </row>
    <row r="482" spans="1:72" x14ac:dyDescent="0.15">
      <c r="A482" t="s">
        <v>72</v>
      </c>
      <c r="B482" t="s">
        <v>9518</v>
      </c>
      <c r="C482" t="s">
        <v>74</v>
      </c>
      <c r="D482" t="s">
        <v>74</v>
      </c>
      <c r="E482" t="s">
        <v>74</v>
      </c>
      <c r="F482" t="s">
        <v>9519</v>
      </c>
      <c r="G482" t="s">
        <v>74</v>
      </c>
      <c r="H482" t="s">
        <v>74</v>
      </c>
      <c r="I482" t="s">
        <v>9520</v>
      </c>
      <c r="J482" t="s">
        <v>708</v>
      </c>
      <c r="K482" t="s">
        <v>74</v>
      </c>
      <c r="L482" t="s">
        <v>74</v>
      </c>
      <c r="M482" t="s">
        <v>78</v>
      </c>
      <c r="N482" t="s">
        <v>79</v>
      </c>
      <c r="O482" t="s">
        <v>74</v>
      </c>
      <c r="P482" t="s">
        <v>74</v>
      </c>
      <c r="Q482" t="s">
        <v>74</v>
      </c>
      <c r="R482" t="s">
        <v>74</v>
      </c>
      <c r="S482" t="s">
        <v>74</v>
      </c>
      <c r="T482" t="s">
        <v>9521</v>
      </c>
      <c r="U482" t="s">
        <v>9522</v>
      </c>
      <c r="V482" t="s">
        <v>9523</v>
      </c>
      <c r="W482" t="s">
        <v>9524</v>
      </c>
      <c r="X482" t="s">
        <v>9525</v>
      </c>
      <c r="Y482" t="s">
        <v>9526</v>
      </c>
      <c r="Z482" t="s">
        <v>9527</v>
      </c>
      <c r="AA482" t="s">
        <v>9528</v>
      </c>
      <c r="AB482" t="s">
        <v>9529</v>
      </c>
      <c r="AC482" t="s">
        <v>9530</v>
      </c>
      <c r="AD482" t="s">
        <v>9531</v>
      </c>
      <c r="AE482" t="s">
        <v>9532</v>
      </c>
      <c r="AF482" t="s">
        <v>74</v>
      </c>
      <c r="AG482">
        <v>48</v>
      </c>
      <c r="AH482">
        <v>1</v>
      </c>
      <c r="AI482">
        <v>1</v>
      </c>
      <c r="AJ482">
        <v>2</v>
      </c>
      <c r="AK482">
        <v>2</v>
      </c>
      <c r="AL482" t="s">
        <v>369</v>
      </c>
      <c r="AM482" t="s">
        <v>370</v>
      </c>
      <c r="AN482" t="s">
        <v>371</v>
      </c>
      <c r="AO482" t="s">
        <v>74</v>
      </c>
      <c r="AP482" t="s">
        <v>720</v>
      </c>
      <c r="AQ482" t="s">
        <v>74</v>
      </c>
      <c r="AR482" t="s">
        <v>721</v>
      </c>
      <c r="AS482" t="s">
        <v>722</v>
      </c>
      <c r="AT482" t="s">
        <v>3612</v>
      </c>
      <c r="AU482">
        <v>2023</v>
      </c>
      <c r="AV482">
        <v>15</v>
      </c>
      <c r="AW482">
        <v>14</v>
      </c>
      <c r="AX482" t="s">
        <v>74</v>
      </c>
      <c r="AY482" t="s">
        <v>74</v>
      </c>
      <c r="AZ482" t="s">
        <v>74</v>
      </c>
      <c r="BA482" t="s">
        <v>74</v>
      </c>
      <c r="BB482" t="s">
        <v>74</v>
      </c>
      <c r="BC482" t="s">
        <v>74</v>
      </c>
      <c r="BD482">
        <v>3685</v>
      </c>
      <c r="BE482" t="s">
        <v>9533</v>
      </c>
      <c r="BF482" t="str">
        <f>HYPERLINK("http://dx.doi.org/10.3390/rs15143685","http://dx.doi.org/10.3390/rs15143685")</f>
        <v>http://dx.doi.org/10.3390/rs15143685</v>
      </c>
      <c r="BG482" t="s">
        <v>74</v>
      </c>
      <c r="BH482" t="s">
        <v>74</v>
      </c>
      <c r="BI482">
        <v>17</v>
      </c>
      <c r="BJ482" t="s">
        <v>724</v>
      </c>
      <c r="BK482" t="s">
        <v>104</v>
      </c>
      <c r="BL482" t="s">
        <v>725</v>
      </c>
      <c r="BM482" t="s">
        <v>9534</v>
      </c>
      <c r="BN482" t="s">
        <v>74</v>
      </c>
      <c r="BO482" t="s">
        <v>821</v>
      </c>
      <c r="BP482" t="s">
        <v>74</v>
      </c>
      <c r="BQ482" t="s">
        <v>74</v>
      </c>
      <c r="BR482" t="s">
        <v>107</v>
      </c>
      <c r="BS482" t="s">
        <v>9535</v>
      </c>
      <c r="BT482" t="str">
        <f>HYPERLINK("https%3A%2F%2Fwww.webofscience.com%2Fwos%2Fwoscc%2Ffull-record%2FWOS:001039013600001","View Full Record in Web of Science")</f>
        <v>View Full Record in Web of Science</v>
      </c>
    </row>
    <row r="483" spans="1:72" x14ac:dyDescent="0.15">
      <c r="A483" t="s">
        <v>72</v>
      </c>
      <c r="B483" t="s">
        <v>9536</v>
      </c>
      <c r="C483" t="s">
        <v>74</v>
      </c>
      <c r="D483" t="s">
        <v>74</v>
      </c>
      <c r="E483" t="s">
        <v>74</v>
      </c>
      <c r="F483" t="s">
        <v>9537</v>
      </c>
      <c r="G483" t="s">
        <v>74</v>
      </c>
      <c r="H483" t="s">
        <v>74</v>
      </c>
      <c r="I483" t="s">
        <v>9538</v>
      </c>
      <c r="J483" t="s">
        <v>5290</v>
      </c>
      <c r="K483" t="s">
        <v>74</v>
      </c>
      <c r="L483" t="s">
        <v>74</v>
      </c>
      <c r="M483" t="s">
        <v>78</v>
      </c>
      <c r="N483" t="s">
        <v>79</v>
      </c>
      <c r="O483" t="s">
        <v>74</v>
      </c>
      <c r="P483" t="s">
        <v>74</v>
      </c>
      <c r="Q483" t="s">
        <v>74</v>
      </c>
      <c r="R483" t="s">
        <v>74</v>
      </c>
      <c r="S483" t="s">
        <v>74</v>
      </c>
      <c r="T483" t="s">
        <v>9539</v>
      </c>
      <c r="U483" t="s">
        <v>9540</v>
      </c>
      <c r="V483" t="s">
        <v>9541</v>
      </c>
      <c r="W483" t="s">
        <v>9542</v>
      </c>
      <c r="X483" t="s">
        <v>9543</v>
      </c>
      <c r="Y483" t="s">
        <v>9544</v>
      </c>
      <c r="Z483" t="s">
        <v>9545</v>
      </c>
      <c r="AA483" t="s">
        <v>74</v>
      </c>
      <c r="AB483" t="s">
        <v>9546</v>
      </c>
      <c r="AC483" t="s">
        <v>9547</v>
      </c>
      <c r="AD483" t="s">
        <v>9548</v>
      </c>
      <c r="AE483" t="s">
        <v>9549</v>
      </c>
      <c r="AF483" t="s">
        <v>74</v>
      </c>
      <c r="AG483">
        <v>23</v>
      </c>
      <c r="AH483">
        <v>2</v>
      </c>
      <c r="AI483">
        <v>3</v>
      </c>
      <c r="AJ483">
        <v>1</v>
      </c>
      <c r="AK483">
        <v>1</v>
      </c>
      <c r="AL483" t="s">
        <v>369</v>
      </c>
      <c r="AM483" t="s">
        <v>370</v>
      </c>
      <c r="AN483" t="s">
        <v>371</v>
      </c>
      <c r="AO483" t="s">
        <v>74</v>
      </c>
      <c r="AP483" t="s">
        <v>5300</v>
      </c>
      <c r="AQ483" t="s">
        <v>74</v>
      </c>
      <c r="AR483" t="s">
        <v>5301</v>
      </c>
      <c r="AS483" t="s">
        <v>5302</v>
      </c>
      <c r="AT483" t="s">
        <v>3612</v>
      </c>
      <c r="AU483">
        <v>2023</v>
      </c>
      <c r="AV483">
        <v>14</v>
      </c>
      <c r="AW483">
        <v>7</v>
      </c>
      <c r="AX483" t="s">
        <v>74</v>
      </c>
      <c r="AY483" t="s">
        <v>74</v>
      </c>
      <c r="AZ483" t="s">
        <v>74</v>
      </c>
      <c r="BA483" t="s">
        <v>74</v>
      </c>
      <c r="BB483" t="s">
        <v>74</v>
      </c>
      <c r="BC483" t="s">
        <v>74</v>
      </c>
      <c r="BD483">
        <v>1118</v>
      </c>
      <c r="BE483" t="s">
        <v>9550</v>
      </c>
      <c r="BF483" t="str">
        <f>HYPERLINK("http://dx.doi.org/10.3390/atmos14071118","http://dx.doi.org/10.3390/atmos14071118")</f>
        <v>http://dx.doi.org/10.3390/atmos14071118</v>
      </c>
      <c r="BG483" t="s">
        <v>74</v>
      </c>
      <c r="BH483" t="s">
        <v>74</v>
      </c>
      <c r="BI483">
        <v>17</v>
      </c>
      <c r="BJ483" t="s">
        <v>3303</v>
      </c>
      <c r="BK483" t="s">
        <v>104</v>
      </c>
      <c r="BL483" t="s">
        <v>2372</v>
      </c>
      <c r="BM483" t="s">
        <v>9551</v>
      </c>
      <c r="BN483" t="s">
        <v>74</v>
      </c>
      <c r="BO483" t="s">
        <v>206</v>
      </c>
      <c r="BP483" t="s">
        <v>74</v>
      </c>
      <c r="BQ483" t="s">
        <v>74</v>
      </c>
      <c r="BR483" t="s">
        <v>107</v>
      </c>
      <c r="BS483" t="s">
        <v>9552</v>
      </c>
      <c r="BT483" t="str">
        <f>HYPERLINK("https%3A%2F%2Fwww.webofscience.com%2Fwos%2Fwoscc%2Ffull-record%2FWOS:001037896100001","View Full Record in Web of Science")</f>
        <v>View Full Record in Web of Science</v>
      </c>
    </row>
    <row r="484" spans="1:72" x14ac:dyDescent="0.15">
      <c r="A484" t="s">
        <v>72</v>
      </c>
      <c r="B484" t="s">
        <v>9553</v>
      </c>
      <c r="C484" t="s">
        <v>74</v>
      </c>
      <c r="D484" t="s">
        <v>74</v>
      </c>
      <c r="E484" t="s">
        <v>74</v>
      </c>
      <c r="F484" t="s">
        <v>9554</v>
      </c>
      <c r="G484" t="s">
        <v>74</v>
      </c>
      <c r="H484" t="s">
        <v>74</v>
      </c>
      <c r="I484" t="s">
        <v>9555</v>
      </c>
      <c r="J484" t="s">
        <v>1031</v>
      </c>
      <c r="K484" t="s">
        <v>74</v>
      </c>
      <c r="L484" t="s">
        <v>74</v>
      </c>
      <c r="M484" t="s">
        <v>78</v>
      </c>
      <c r="N484" t="s">
        <v>79</v>
      </c>
      <c r="O484" t="s">
        <v>74</v>
      </c>
      <c r="P484" t="s">
        <v>74</v>
      </c>
      <c r="Q484" t="s">
        <v>74</v>
      </c>
      <c r="R484" t="s">
        <v>74</v>
      </c>
      <c r="S484" t="s">
        <v>74</v>
      </c>
      <c r="T484" t="s">
        <v>9556</v>
      </c>
      <c r="U484" t="s">
        <v>9557</v>
      </c>
      <c r="V484" t="s">
        <v>9558</v>
      </c>
      <c r="W484" t="s">
        <v>9559</v>
      </c>
      <c r="X484" t="s">
        <v>9560</v>
      </c>
      <c r="Y484" t="s">
        <v>9561</v>
      </c>
      <c r="Z484" t="s">
        <v>9562</v>
      </c>
      <c r="AA484" t="s">
        <v>74</v>
      </c>
      <c r="AB484" t="s">
        <v>9563</v>
      </c>
      <c r="AC484" t="s">
        <v>9564</v>
      </c>
      <c r="AD484" t="s">
        <v>9565</v>
      </c>
      <c r="AE484" t="s">
        <v>9566</v>
      </c>
      <c r="AF484" t="s">
        <v>74</v>
      </c>
      <c r="AG484">
        <v>51</v>
      </c>
      <c r="AH484">
        <v>2</v>
      </c>
      <c r="AI484">
        <v>2</v>
      </c>
      <c r="AJ484">
        <v>1</v>
      </c>
      <c r="AK484">
        <v>5</v>
      </c>
      <c r="AL484" t="s">
        <v>369</v>
      </c>
      <c r="AM484" t="s">
        <v>370</v>
      </c>
      <c r="AN484" t="s">
        <v>371</v>
      </c>
      <c r="AO484" t="s">
        <v>74</v>
      </c>
      <c r="AP484" t="s">
        <v>1042</v>
      </c>
      <c r="AQ484" t="s">
        <v>74</v>
      </c>
      <c r="AR484" t="s">
        <v>1031</v>
      </c>
      <c r="AS484" t="s">
        <v>1043</v>
      </c>
      <c r="AT484" t="s">
        <v>3612</v>
      </c>
      <c r="AU484">
        <v>2023</v>
      </c>
      <c r="AV484">
        <v>12</v>
      </c>
      <c r="AW484">
        <v>7</v>
      </c>
      <c r="AX484" t="s">
        <v>74</v>
      </c>
      <c r="AY484" t="s">
        <v>74</v>
      </c>
      <c r="AZ484" t="s">
        <v>74</v>
      </c>
      <c r="BA484" t="s">
        <v>74</v>
      </c>
      <c r="BB484" t="s">
        <v>74</v>
      </c>
      <c r="BC484" t="s">
        <v>74</v>
      </c>
      <c r="BD484">
        <v>924</v>
      </c>
      <c r="BE484" t="s">
        <v>9567</v>
      </c>
      <c r="BF484" t="str">
        <f>HYPERLINK("http://dx.doi.org/10.3390/biology12070924","http://dx.doi.org/10.3390/biology12070924")</f>
        <v>http://dx.doi.org/10.3390/biology12070924</v>
      </c>
      <c r="BG484" t="s">
        <v>74</v>
      </c>
      <c r="BH484" t="s">
        <v>74</v>
      </c>
      <c r="BI484">
        <v>13</v>
      </c>
      <c r="BJ484" t="s">
        <v>1045</v>
      </c>
      <c r="BK484" t="s">
        <v>104</v>
      </c>
      <c r="BL484" t="s">
        <v>1046</v>
      </c>
      <c r="BM484" t="s">
        <v>9568</v>
      </c>
      <c r="BN484">
        <v>37508355</v>
      </c>
      <c r="BO484" t="s">
        <v>181</v>
      </c>
      <c r="BP484" t="s">
        <v>74</v>
      </c>
      <c r="BQ484" t="s">
        <v>74</v>
      </c>
      <c r="BR484" t="s">
        <v>107</v>
      </c>
      <c r="BS484" t="s">
        <v>9569</v>
      </c>
      <c r="BT484" t="str">
        <f>HYPERLINK("https%3A%2F%2Fwww.webofscience.com%2Fwos%2Fwoscc%2Ffull-record%2FWOS:001037935200001","View Full Record in Web of Science")</f>
        <v>View Full Record in Web of Science</v>
      </c>
    </row>
    <row r="485" spans="1:72" x14ac:dyDescent="0.15">
      <c r="A485" t="s">
        <v>72</v>
      </c>
      <c r="B485" t="s">
        <v>9570</v>
      </c>
      <c r="C485" t="s">
        <v>74</v>
      </c>
      <c r="D485" t="s">
        <v>74</v>
      </c>
      <c r="E485" t="s">
        <v>74</v>
      </c>
      <c r="F485" t="s">
        <v>9571</v>
      </c>
      <c r="G485" t="s">
        <v>74</v>
      </c>
      <c r="H485" t="s">
        <v>74</v>
      </c>
      <c r="I485" t="s">
        <v>9572</v>
      </c>
      <c r="J485" t="s">
        <v>5379</v>
      </c>
      <c r="K485" t="s">
        <v>74</v>
      </c>
      <c r="L485" t="s">
        <v>74</v>
      </c>
      <c r="M485" t="s">
        <v>78</v>
      </c>
      <c r="N485" t="s">
        <v>79</v>
      </c>
      <c r="O485" t="s">
        <v>74</v>
      </c>
      <c r="P485" t="s">
        <v>74</v>
      </c>
      <c r="Q485" t="s">
        <v>74</v>
      </c>
      <c r="R485" t="s">
        <v>74</v>
      </c>
      <c r="S485" t="s">
        <v>74</v>
      </c>
      <c r="T485" t="s">
        <v>9573</v>
      </c>
      <c r="U485" t="s">
        <v>9574</v>
      </c>
      <c r="V485" t="s">
        <v>9575</v>
      </c>
      <c r="W485" t="s">
        <v>9576</v>
      </c>
      <c r="X485" t="s">
        <v>9577</v>
      </c>
      <c r="Y485" t="s">
        <v>9578</v>
      </c>
      <c r="Z485" t="s">
        <v>9579</v>
      </c>
      <c r="AA485" t="s">
        <v>9580</v>
      </c>
      <c r="AB485" t="s">
        <v>9581</v>
      </c>
      <c r="AC485" t="s">
        <v>9582</v>
      </c>
      <c r="AD485" t="s">
        <v>9583</v>
      </c>
      <c r="AE485" t="s">
        <v>9584</v>
      </c>
      <c r="AF485" t="s">
        <v>74</v>
      </c>
      <c r="AG485">
        <v>72</v>
      </c>
      <c r="AH485">
        <v>0</v>
      </c>
      <c r="AI485">
        <v>0</v>
      </c>
      <c r="AJ485">
        <v>7</v>
      </c>
      <c r="AK485">
        <v>8</v>
      </c>
      <c r="AL485" t="s">
        <v>369</v>
      </c>
      <c r="AM485" t="s">
        <v>370</v>
      </c>
      <c r="AN485" t="s">
        <v>371</v>
      </c>
      <c r="AO485" t="s">
        <v>74</v>
      </c>
      <c r="AP485" t="s">
        <v>5389</v>
      </c>
      <c r="AQ485" t="s">
        <v>74</v>
      </c>
      <c r="AR485" t="s">
        <v>5390</v>
      </c>
      <c r="AS485" t="s">
        <v>5391</v>
      </c>
      <c r="AT485" t="s">
        <v>3612</v>
      </c>
      <c r="AU485">
        <v>2023</v>
      </c>
      <c r="AV485">
        <v>11</v>
      </c>
      <c r="AW485">
        <v>7</v>
      </c>
      <c r="AX485" t="s">
        <v>74</v>
      </c>
      <c r="AY485" t="s">
        <v>74</v>
      </c>
      <c r="AZ485" t="s">
        <v>74</v>
      </c>
      <c r="BA485" t="s">
        <v>74</v>
      </c>
      <c r="BB485" t="s">
        <v>74</v>
      </c>
      <c r="BC485" t="s">
        <v>74</v>
      </c>
      <c r="BD485">
        <v>1317</v>
      </c>
      <c r="BE485" t="s">
        <v>9585</v>
      </c>
      <c r="BF485" t="str">
        <f>HYPERLINK("http://dx.doi.org/10.3390/jmse11071317","http://dx.doi.org/10.3390/jmse11071317")</f>
        <v>http://dx.doi.org/10.3390/jmse11071317</v>
      </c>
      <c r="BG485" t="s">
        <v>74</v>
      </c>
      <c r="BH485" t="s">
        <v>74</v>
      </c>
      <c r="BI485">
        <v>19</v>
      </c>
      <c r="BJ485" t="s">
        <v>5393</v>
      </c>
      <c r="BK485" t="s">
        <v>104</v>
      </c>
      <c r="BL485" t="s">
        <v>5394</v>
      </c>
      <c r="BM485" t="s">
        <v>9586</v>
      </c>
      <c r="BN485" t="s">
        <v>74</v>
      </c>
      <c r="BO485" t="s">
        <v>206</v>
      </c>
      <c r="BP485" t="s">
        <v>74</v>
      </c>
      <c r="BQ485" t="s">
        <v>74</v>
      </c>
      <c r="BR485" t="s">
        <v>107</v>
      </c>
      <c r="BS485" t="s">
        <v>9587</v>
      </c>
      <c r="BT485" t="str">
        <f>HYPERLINK("https%3A%2F%2Fwww.webofscience.com%2Fwos%2Fwoscc%2Ffull-record%2FWOS:001036923200001","View Full Record in Web of Science")</f>
        <v>View Full Record in Web of Science</v>
      </c>
    </row>
    <row r="486" spans="1:72" x14ac:dyDescent="0.15">
      <c r="A486" t="s">
        <v>72</v>
      </c>
      <c r="B486" t="s">
        <v>9588</v>
      </c>
      <c r="C486" t="s">
        <v>74</v>
      </c>
      <c r="D486" t="s">
        <v>74</v>
      </c>
      <c r="E486" t="s">
        <v>74</v>
      </c>
      <c r="F486" t="s">
        <v>9589</v>
      </c>
      <c r="G486" t="s">
        <v>74</v>
      </c>
      <c r="H486" t="s">
        <v>74</v>
      </c>
      <c r="I486" t="s">
        <v>9590</v>
      </c>
      <c r="J486" t="s">
        <v>708</v>
      </c>
      <c r="K486" t="s">
        <v>74</v>
      </c>
      <c r="L486" t="s">
        <v>74</v>
      </c>
      <c r="M486" t="s">
        <v>78</v>
      </c>
      <c r="N486" t="s">
        <v>79</v>
      </c>
      <c r="O486" t="s">
        <v>74</v>
      </c>
      <c r="P486" t="s">
        <v>74</v>
      </c>
      <c r="Q486" t="s">
        <v>74</v>
      </c>
      <c r="R486" t="s">
        <v>74</v>
      </c>
      <c r="S486" t="s">
        <v>74</v>
      </c>
      <c r="T486" t="s">
        <v>9591</v>
      </c>
      <c r="U486" t="s">
        <v>9592</v>
      </c>
      <c r="V486" t="s">
        <v>9593</v>
      </c>
      <c r="W486" t="s">
        <v>9594</v>
      </c>
      <c r="X486" t="s">
        <v>9595</v>
      </c>
      <c r="Y486" t="s">
        <v>9596</v>
      </c>
      <c r="Z486" t="s">
        <v>9597</v>
      </c>
      <c r="AA486" t="s">
        <v>74</v>
      </c>
      <c r="AB486" t="s">
        <v>9598</v>
      </c>
      <c r="AC486" t="s">
        <v>74</v>
      </c>
      <c r="AD486" t="s">
        <v>74</v>
      </c>
      <c r="AE486" t="s">
        <v>74</v>
      </c>
      <c r="AF486" t="s">
        <v>74</v>
      </c>
      <c r="AG486">
        <v>20</v>
      </c>
      <c r="AH486">
        <v>1</v>
      </c>
      <c r="AI486">
        <v>1</v>
      </c>
      <c r="AJ486">
        <v>0</v>
      </c>
      <c r="AK486">
        <v>1</v>
      </c>
      <c r="AL486" t="s">
        <v>369</v>
      </c>
      <c r="AM486" t="s">
        <v>370</v>
      </c>
      <c r="AN486" t="s">
        <v>371</v>
      </c>
      <c r="AO486" t="s">
        <v>74</v>
      </c>
      <c r="AP486" t="s">
        <v>720</v>
      </c>
      <c r="AQ486" t="s">
        <v>74</v>
      </c>
      <c r="AR486" t="s">
        <v>721</v>
      </c>
      <c r="AS486" t="s">
        <v>722</v>
      </c>
      <c r="AT486" t="s">
        <v>3612</v>
      </c>
      <c r="AU486">
        <v>2023</v>
      </c>
      <c r="AV486">
        <v>15</v>
      </c>
      <c r="AW486">
        <v>14</v>
      </c>
      <c r="AX486" t="s">
        <v>74</v>
      </c>
      <c r="AY486" t="s">
        <v>74</v>
      </c>
      <c r="AZ486" t="s">
        <v>74</v>
      </c>
      <c r="BA486" t="s">
        <v>74</v>
      </c>
      <c r="BB486" t="s">
        <v>74</v>
      </c>
      <c r="BC486" t="s">
        <v>74</v>
      </c>
      <c r="BD486">
        <v>3530</v>
      </c>
      <c r="BE486" t="s">
        <v>9599</v>
      </c>
      <c r="BF486" t="str">
        <f>HYPERLINK("http://dx.doi.org/10.3390/rs15143530","http://dx.doi.org/10.3390/rs15143530")</f>
        <v>http://dx.doi.org/10.3390/rs15143530</v>
      </c>
      <c r="BG486" t="s">
        <v>74</v>
      </c>
      <c r="BH486" t="s">
        <v>74</v>
      </c>
      <c r="BI486">
        <v>12</v>
      </c>
      <c r="BJ486" t="s">
        <v>724</v>
      </c>
      <c r="BK486" t="s">
        <v>104</v>
      </c>
      <c r="BL486" t="s">
        <v>725</v>
      </c>
      <c r="BM486" t="s">
        <v>9600</v>
      </c>
      <c r="BN486" t="s">
        <v>74</v>
      </c>
      <c r="BO486" t="s">
        <v>206</v>
      </c>
      <c r="BP486" t="s">
        <v>74</v>
      </c>
      <c r="BQ486" t="s">
        <v>74</v>
      </c>
      <c r="BR486" t="s">
        <v>107</v>
      </c>
      <c r="BS486" t="s">
        <v>9601</v>
      </c>
      <c r="BT486" t="str">
        <f>HYPERLINK("https%3A%2F%2Fwww.webofscience.com%2Fwos%2Fwoscc%2Ffull-record%2FWOS:001036547800001","View Full Record in Web of Science")</f>
        <v>View Full Record in Web of Science</v>
      </c>
    </row>
    <row r="487" spans="1:72" x14ac:dyDescent="0.15">
      <c r="A487" t="s">
        <v>72</v>
      </c>
      <c r="B487" t="s">
        <v>9602</v>
      </c>
      <c r="C487" t="s">
        <v>74</v>
      </c>
      <c r="D487" t="s">
        <v>74</v>
      </c>
      <c r="E487" t="s">
        <v>74</v>
      </c>
      <c r="F487" t="s">
        <v>9603</v>
      </c>
      <c r="G487" t="s">
        <v>74</v>
      </c>
      <c r="H487" t="s">
        <v>74</v>
      </c>
      <c r="I487" t="s">
        <v>9604</v>
      </c>
      <c r="J487" t="s">
        <v>9442</v>
      </c>
      <c r="K487" t="s">
        <v>74</v>
      </c>
      <c r="L487" t="s">
        <v>74</v>
      </c>
      <c r="M487" t="s">
        <v>78</v>
      </c>
      <c r="N487" t="s">
        <v>79</v>
      </c>
      <c r="O487" t="s">
        <v>74</v>
      </c>
      <c r="P487" t="s">
        <v>74</v>
      </c>
      <c r="Q487" t="s">
        <v>74</v>
      </c>
      <c r="R487" t="s">
        <v>74</v>
      </c>
      <c r="S487" t="s">
        <v>74</v>
      </c>
      <c r="T487" t="s">
        <v>74</v>
      </c>
      <c r="U487" t="s">
        <v>9605</v>
      </c>
      <c r="V487" t="s">
        <v>9606</v>
      </c>
      <c r="W487" t="s">
        <v>9607</v>
      </c>
      <c r="X487" t="s">
        <v>9608</v>
      </c>
      <c r="Y487" t="s">
        <v>9609</v>
      </c>
      <c r="Z487" t="s">
        <v>9610</v>
      </c>
      <c r="AA487" t="s">
        <v>9611</v>
      </c>
      <c r="AB487" t="s">
        <v>9612</v>
      </c>
      <c r="AC487" t="s">
        <v>9613</v>
      </c>
      <c r="AD487" t="s">
        <v>9614</v>
      </c>
      <c r="AE487" t="s">
        <v>9615</v>
      </c>
      <c r="AF487" t="s">
        <v>74</v>
      </c>
      <c r="AG487">
        <v>78</v>
      </c>
      <c r="AH487">
        <v>1</v>
      </c>
      <c r="AI487">
        <v>1</v>
      </c>
      <c r="AJ487">
        <v>3</v>
      </c>
      <c r="AK487">
        <v>6</v>
      </c>
      <c r="AL487" t="s">
        <v>588</v>
      </c>
      <c r="AM487" t="s">
        <v>589</v>
      </c>
      <c r="AN487" t="s">
        <v>590</v>
      </c>
      <c r="AO487" t="s">
        <v>74</v>
      </c>
      <c r="AP487" t="s">
        <v>9455</v>
      </c>
      <c r="AQ487" t="s">
        <v>74</v>
      </c>
      <c r="AR487" t="s">
        <v>9456</v>
      </c>
      <c r="AS487" t="s">
        <v>9457</v>
      </c>
      <c r="AT487" t="s">
        <v>3612</v>
      </c>
      <c r="AU487">
        <v>2023</v>
      </c>
      <c r="AV487">
        <v>21</v>
      </c>
      <c r="AW487">
        <v>7</v>
      </c>
      <c r="AX487" t="s">
        <v>74</v>
      </c>
      <c r="AY487" t="s">
        <v>74</v>
      </c>
      <c r="AZ487" t="s">
        <v>74</v>
      </c>
      <c r="BA487" t="s">
        <v>74</v>
      </c>
      <c r="BB487" t="s">
        <v>74</v>
      </c>
      <c r="BC487" t="s">
        <v>74</v>
      </c>
      <c r="BD487" t="s">
        <v>9616</v>
      </c>
      <c r="BE487" t="s">
        <v>9617</v>
      </c>
      <c r="BF487" t="str">
        <f>HYPERLINK("http://dx.doi.org/10.1029/2023SW003440","http://dx.doi.org/10.1029/2023SW003440")</f>
        <v>http://dx.doi.org/10.1029/2023SW003440</v>
      </c>
      <c r="BG487" t="s">
        <v>74</v>
      </c>
      <c r="BH487" t="s">
        <v>74</v>
      </c>
      <c r="BI487">
        <v>20</v>
      </c>
      <c r="BJ487" t="s">
        <v>9460</v>
      </c>
      <c r="BK487" t="s">
        <v>104</v>
      </c>
      <c r="BL487" t="s">
        <v>9460</v>
      </c>
      <c r="BM487" t="s">
        <v>9618</v>
      </c>
      <c r="BN487" t="s">
        <v>74</v>
      </c>
      <c r="BO487" t="s">
        <v>2894</v>
      </c>
      <c r="BP487" t="s">
        <v>74</v>
      </c>
      <c r="BQ487" t="s">
        <v>74</v>
      </c>
      <c r="BR487" t="s">
        <v>107</v>
      </c>
      <c r="BS487" t="s">
        <v>9619</v>
      </c>
      <c r="BT487" t="str">
        <f>HYPERLINK("https%3A%2F%2Fwww.webofscience.com%2Fwos%2Fwoscc%2Ffull-record%2FWOS:001033499300001","View Full Record in Web of Science")</f>
        <v>View Full Record in Web of Science</v>
      </c>
    </row>
    <row r="488" spans="1:72" x14ac:dyDescent="0.15">
      <c r="A488" t="s">
        <v>72</v>
      </c>
      <c r="B488" t="s">
        <v>9620</v>
      </c>
      <c r="C488" t="s">
        <v>74</v>
      </c>
      <c r="D488" t="s">
        <v>74</v>
      </c>
      <c r="E488" t="s">
        <v>74</v>
      </c>
      <c r="F488" t="s">
        <v>9621</v>
      </c>
      <c r="G488" t="s">
        <v>74</v>
      </c>
      <c r="H488" t="s">
        <v>74</v>
      </c>
      <c r="I488" t="s">
        <v>9622</v>
      </c>
      <c r="J488" t="s">
        <v>5439</v>
      </c>
      <c r="K488" t="s">
        <v>74</v>
      </c>
      <c r="L488" t="s">
        <v>74</v>
      </c>
      <c r="M488" t="s">
        <v>78</v>
      </c>
      <c r="N488" t="s">
        <v>424</v>
      </c>
      <c r="O488" t="s">
        <v>74</v>
      </c>
      <c r="P488" t="s">
        <v>74</v>
      </c>
      <c r="Q488" t="s">
        <v>74</v>
      </c>
      <c r="R488" t="s">
        <v>74</v>
      </c>
      <c r="S488" t="s">
        <v>74</v>
      </c>
      <c r="T488" t="s">
        <v>9623</v>
      </c>
      <c r="U488" t="s">
        <v>9624</v>
      </c>
      <c r="V488" t="s">
        <v>9625</v>
      </c>
      <c r="W488" t="s">
        <v>9626</v>
      </c>
      <c r="X488" t="s">
        <v>9627</v>
      </c>
      <c r="Y488" t="s">
        <v>9628</v>
      </c>
      <c r="Z488" t="s">
        <v>9629</v>
      </c>
      <c r="AA488" t="s">
        <v>9630</v>
      </c>
      <c r="AB488" t="s">
        <v>9631</v>
      </c>
      <c r="AC488" t="s">
        <v>9632</v>
      </c>
      <c r="AD488" t="s">
        <v>9633</v>
      </c>
      <c r="AE488" t="s">
        <v>9634</v>
      </c>
      <c r="AF488" t="s">
        <v>74</v>
      </c>
      <c r="AG488">
        <v>102</v>
      </c>
      <c r="AH488">
        <v>1</v>
      </c>
      <c r="AI488">
        <v>1</v>
      </c>
      <c r="AJ488">
        <v>5</v>
      </c>
      <c r="AK488">
        <v>5</v>
      </c>
      <c r="AL488" t="s">
        <v>369</v>
      </c>
      <c r="AM488" t="s">
        <v>370</v>
      </c>
      <c r="AN488" t="s">
        <v>371</v>
      </c>
      <c r="AO488" t="s">
        <v>74</v>
      </c>
      <c r="AP488" t="s">
        <v>5446</v>
      </c>
      <c r="AQ488" t="s">
        <v>74</v>
      </c>
      <c r="AR488" t="s">
        <v>5439</v>
      </c>
      <c r="AS488" t="s">
        <v>5447</v>
      </c>
      <c r="AT488" t="s">
        <v>3612</v>
      </c>
      <c r="AU488">
        <v>2023</v>
      </c>
      <c r="AV488">
        <v>15</v>
      </c>
      <c r="AW488">
        <v>7</v>
      </c>
      <c r="AX488" t="s">
        <v>74</v>
      </c>
      <c r="AY488" t="s">
        <v>74</v>
      </c>
      <c r="AZ488" t="s">
        <v>74</v>
      </c>
      <c r="BA488" t="s">
        <v>74</v>
      </c>
      <c r="BB488" t="s">
        <v>74</v>
      </c>
      <c r="BC488" t="s">
        <v>74</v>
      </c>
      <c r="BD488">
        <v>862</v>
      </c>
      <c r="BE488" t="s">
        <v>9635</v>
      </c>
      <c r="BF488" t="str">
        <f>HYPERLINK("http://dx.doi.org/10.3390/d15070862","http://dx.doi.org/10.3390/d15070862")</f>
        <v>http://dx.doi.org/10.3390/d15070862</v>
      </c>
      <c r="BG488" t="s">
        <v>74</v>
      </c>
      <c r="BH488" t="s">
        <v>74</v>
      </c>
      <c r="BI488">
        <v>15</v>
      </c>
      <c r="BJ488" t="s">
        <v>3772</v>
      </c>
      <c r="BK488" t="s">
        <v>104</v>
      </c>
      <c r="BL488" t="s">
        <v>1905</v>
      </c>
      <c r="BM488" t="s">
        <v>9636</v>
      </c>
      <c r="BN488" t="s">
        <v>74</v>
      </c>
      <c r="BO488" t="s">
        <v>206</v>
      </c>
      <c r="BP488" t="s">
        <v>74</v>
      </c>
      <c r="BQ488" t="s">
        <v>74</v>
      </c>
      <c r="BR488" t="s">
        <v>107</v>
      </c>
      <c r="BS488" t="s">
        <v>9637</v>
      </c>
      <c r="BT488" t="str">
        <f>HYPERLINK("https%3A%2F%2Fwww.webofscience.com%2Fwos%2Fwoscc%2Ffull-record%2FWOS:001038168000001","View Full Record in Web of Science")</f>
        <v>View Full Record in Web of Science</v>
      </c>
    </row>
    <row r="489" spans="1:72" x14ac:dyDescent="0.15">
      <c r="A489" t="s">
        <v>72</v>
      </c>
      <c r="B489" t="s">
        <v>9638</v>
      </c>
      <c r="C489" t="s">
        <v>74</v>
      </c>
      <c r="D489" t="s">
        <v>74</v>
      </c>
      <c r="E489" t="s">
        <v>74</v>
      </c>
      <c r="F489" t="s">
        <v>9639</v>
      </c>
      <c r="G489" t="s">
        <v>74</v>
      </c>
      <c r="H489" t="s">
        <v>74</v>
      </c>
      <c r="I489" t="s">
        <v>9640</v>
      </c>
      <c r="J489" t="s">
        <v>357</v>
      </c>
      <c r="K489" t="s">
        <v>74</v>
      </c>
      <c r="L489" t="s">
        <v>74</v>
      </c>
      <c r="M489" t="s">
        <v>78</v>
      </c>
      <c r="N489" t="s">
        <v>79</v>
      </c>
      <c r="O489" t="s">
        <v>74</v>
      </c>
      <c r="P489" t="s">
        <v>74</v>
      </c>
      <c r="Q489" t="s">
        <v>74</v>
      </c>
      <c r="R489" t="s">
        <v>74</v>
      </c>
      <c r="S489" t="s">
        <v>74</v>
      </c>
      <c r="T489" t="s">
        <v>9641</v>
      </c>
      <c r="U489" t="s">
        <v>9642</v>
      </c>
      <c r="V489" t="s">
        <v>9643</v>
      </c>
      <c r="W489" t="s">
        <v>9644</v>
      </c>
      <c r="X489" t="s">
        <v>9645</v>
      </c>
      <c r="Y489" t="s">
        <v>9646</v>
      </c>
      <c r="Z489" t="s">
        <v>9647</v>
      </c>
      <c r="AA489" t="s">
        <v>9648</v>
      </c>
      <c r="AB489" t="s">
        <v>9649</v>
      </c>
      <c r="AC489" t="s">
        <v>9650</v>
      </c>
      <c r="AD489" t="s">
        <v>9651</v>
      </c>
      <c r="AE489" t="s">
        <v>9652</v>
      </c>
      <c r="AF489" t="s">
        <v>74</v>
      </c>
      <c r="AG489">
        <v>63</v>
      </c>
      <c r="AH489">
        <v>1</v>
      </c>
      <c r="AI489">
        <v>1</v>
      </c>
      <c r="AJ489">
        <v>3</v>
      </c>
      <c r="AK489">
        <v>5</v>
      </c>
      <c r="AL489" t="s">
        <v>369</v>
      </c>
      <c r="AM489" t="s">
        <v>370</v>
      </c>
      <c r="AN489" t="s">
        <v>371</v>
      </c>
      <c r="AO489" t="s">
        <v>74</v>
      </c>
      <c r="AP489" t="s">
        <v>372</v>
      </c>
      <c r="AQ489" t="s">
        <v>74</v>
      </c>
      <c r="AR489" t="s">
        <v>357</v>
      </c>
      <c r="AS489" t="s">
        <v>373</v>
      </c>
      <c r="AT489" t="s">
        <v>3612</v>
      </c>
      <c r="AU489">
        <v>2023</v>
      </c>
      <c r="AV489">
        <v>12</v>
      </c>
      <c r="AW489">
        <v>13</v>
      </c>
      <c r="AX489" t="s">
        <v>74</v>
      </c>
      <c r="AY489" t="s">
        <v>74</v>
      </c>
      <c r="AZ489" t="s">
        <v>74</v>
      </c>
      <c r="BA489" t="s">
        <v>74</v>
      </c>
      <c r="BB489" t="s">
        <v>74</v>
      </c>
      <c r="BC489" t="s">
        <v>74</v>
      </c>
      <c r="BD489">
        <v>2536</v>
      </c>
      <c r="BE489" t="s">
        <v>9653</v>
      </c>
      <c r="BF489" t="str">
        <f>HYPERLINK("http://dx.doi.org/10.3390/plants12132536","http://dx.doi.org/10.3390/plants12132536")</f>
        <v>http://dx.doi.org/10.3390/plants12132536</v>
      </c>
      <c r="BG489" t="s">
        <v>74</v>
      </c>
      <c r="BH489" t="s">
        <v>74</v>
      </c>
      <c r="BI489">
        <v>16</v>
      </c>
      <c r="BJ489" t="s">
        <v>375</v>
      </c>
      <c r="BK489" t="s">
        <v>104</v>
      </c>
      <c r="BL489" t="s">
        <v>375</v>
      </c>
      <c r="BM489" t="s">
        <v>9654</v>
      </c>
      <c r="BN489">
        <v>37447097</v>
      </c>
      <c r="BO489" t="s">
        <v>1048</v>
      </c>
      <c r="BP489" t="s">
        <v>74</v>
      </c>
      <c r="BQ489" t="s">
        <v>74</v>
      </c>
      <c r="BR489" t="s">
        <v>107</v>
      </c>
      <c r="BS489" t="s">
        <v>9655</v>
      </c>
      <c r="BT489" t="str">
        <f>HYPERLINK("https%3A%2F%2Fwww.webofscience.com%2Fwos%2Fwoscc%2Ffull-record%2FWOS:001031000700001","View Full Record in Web of Science")</f>
        <v>View Full Record in Web of Science</v>
      </c>
    </row>
    <row r="490" spans="1:72" x14ac:dyDescent="0.15">
      <c r="A490" t="s">
        <v>72</v>
      </c>
      <c r="B490" t="s">
        <v>9656</v>
      </c>
      <c r="C490" t="s">
        <v>74</v>
      </c>
      <c r="D490" t="s">
        <v>74</v>
      </c>
      <c r="E490" t="s">
        <v>74</v>
      </c>
      <c r="F490" t="s">
        <v>9657</v>
      </c>
      <c r="G490" t="s">
        <v>74</v>
      </c>
      <c r="H490" t="s">
        <v>74</v>
      </c>
      <c r="I490" t="s">
        <v>9658</v>
      </c>
      <c r="J490" t="s">
        <v>776</v>
      </c>
      <c r="K490" t="s">
        <v>74</v>
      </c>
      <c r="L490" t="s">
        <v>74</v>
      </c>
      <c r="M490" t="s">
        <v>78</v>
      </c>
      <c r="N490" t="s">
        <v>79</v>
      </c>
      <c r="O490" t="s">
        <v>74</v>
      </c>
      <c r="P490" t="s">
        <v>74</v>
      </c>
      <c r="Q490" t="s">
        <v>74</v>
      </c>
      <c r="R490" t="s">
        <v>74</v>
      </c>
      <c r="S490" t="s">
        <v>74</v>
      </c>
      <c r="T490" t="s">
        <v>9659</v>
      </c>
      <c r="U490" t="s">
        <v>9660</v>
      </c>
      <c r="V490" t="s">
        <v>9661</v>
      </c>
      <c r="W490" t="s">
        <v>9662</v>
      </c>
      <c r="X490" t="s">
        <v>9663</v>
      </c>
      <c r="Y490" t="s">
        <v>9664</v>
      </c>
      <c r="Z490" t="s">
        <v>9665</v>
      </c>
      <c r="AA490" t="s">
        <v>9666</v>
      </c>
      <c r="AB490" t="s">
        <v>9667</v>
      </c>
      <c r="AC490" t="s">
        <v>9668</v>
      </c>
      <c r="AD490" t="s">
        <v>9669</v>
      </c>
      <c r="AE490" t="s">
        <v>9670</v>
      </c>
      <c r="AF490" t="s">
        <v>74</v>
      </c>
      <c r="AG490">
        <v>80</v>
      </c>
      <c r="AH490">
        <v>2</v>
      </c>
      <c r="AI490">
        <v>2</v>
      </c>
      <c r="AJ490">
        <v>2</v>
      </c>
      <c r="AK490">
        <v>3</v>
      </c>
      <c r="AL490" t="s">
        <v>369</v>
      </c>
      <c r="AM490" t="s">
        <v>370</v>
      </c>
      <c r="AN490" t="s">
        <v>371</v>
      </c>
      <c r="AO490" t="s">
        <v>789</v>
      </c>
      <c r="AP490" t="s">
        <v>790</v>
      </c>
      <c r="AQ490" t="s">
        <v>74</v>
      </c>
      <c r="AR490" t="s">
        <v>791</v>
      </c>
      <c r="AS490" t="s">
        <v>792</v>
      </c>
      <c r="AT490" t="s">
        <v>3612</v>
      </c>
      <c r="AU490">
        <v>2023</v>
      </c>
      <c r="AV490">
        <v>24</v>
      </c>
      <c r="AW490">
        <v>13</v>
      </c>
      <c r="AX490" t="s">
        <v>74</v>
      </c>
      <c r="AY490" t="s">
        <v>74</v>
      </c>
      <c r="AZ490" t="s">
        <v>74</v>
      </c>
      <c r="BA490" t="s">
        <v>74</v>
      </c>
      <c r="BB490" t="s">
        <v>74</v>
      </c>
      <c r="BC490" t="s">
        <v>74</v>
      </c>
      <c r="BD490">
        <v>11211</v>
      </c>
      <c r="BE490" t="s">
        <v>9671</v>
      </c>
      <c r="BF490" t="str">
        <f>HYPERLINK("http://dx.doi.org/10.3390/ijms241311211","http://dx.doi.org/10.3390/ijms241311211")</f>
        <v>http://dx.doi.org/10.3390/ijms241311211</v>
      </c>
      <c r="BG490" t="s">
        <v>74</v>
      </c>
      <c r="BH490" t="s">
        <v>74</v>
      </c>
      <c r="BI490">
        <v>17</v>
      </c>
      <c r="BJ490" t="s">
        <v>794</v>
      </c>
      <c r="BK490" t="s">
        <v>104</v>
      </c>
      <c r="BL490" t="s">
        <v>795</v>
      </c>
      <c r="BM490" t="s">
        <v>9672</v>
      </c>
      <c r="BN490">
        <v>37446390</v>
      </c>
      <c r="BO490" t="s">
        <v>821</v>
      </c>
      <c r="BP490" t="s">
        <v>74</v>
      </c>
      <c r="BQ490" t="s">
        <v>74</v>
      </c>
      <c r="BR490" t="s">
        <v>107</v>
      </c>
      <c r="BS490" t="s">
        <v>9673</v>
      </c>
      <c r="BT490" t="str">
        <f>HYPERLINK("https%3A%2F%2Fwww.webofscience.com%2Fwos%2Fwoscc%2Ffull-record%2FWOS:001030891300001","View Full Record in Web of Science")</f>
        <v>View Full Record in Web of Science</v>
      </c>
    </row>
    <row r="491" spans="1:72" x14ac:dyDescent="0.15">
      <c r="A491" t="s">
        <v>72</v>
      </c>
      <c r="B491" t="s">
        <v>9674</v>
      </c>
      <c r="C491" t="s">
        <v>74</v>
      </c>
      <c r="D491" t="s">
        <v>74</v>
      </c>
      <c r="E491" t="s">
        <v>74</v>
      </c>
      <c r="F491" t="s">
        <v>9675</v>
      </c>
      <c r="G491" t="s">
        <v>74</v>
      </c>
      <c r="H491" t="s">
        <v>74</v>
      </c>
      <c r="I491" t="s">
        <v>9676</v>
      </c>
      <c r="J491" t="s">
        <v>9677</v>
      </c>
      <c r="K491" t="s">
        <v>74</v>
      </c>
      <c r="L491" t="s">
        <v>74</v>
      </c>
      <c r="M491" t="s">
        <v>78</v>
      </c>
      <c r="N491" t="s">
        <v>79</v>
      </c>
      <c r="O491" t="s">
        <v>74</v>
      </c>
      <c r="P491" t="s">
        <v>74</v>
      </c>
      <c r="Q491" t="s">
        <v>74</v>
      </c>
      <c r="R491" t="s">
        <v>74</v>
      </c>
      <c r="S491" t="s">
        <v>74</v>
      </c>
      <c r="T491" t="s">
        <v>9678</v>
      </c>
      <c r="U491" t="s">
        <v>9679</v>
      </c>
      <c r="V491" t="s">
        <v>9680</v>
      </c>
      <c r="W491" t="s">
        <v>9681</v>
      </c>
      <c r="X491" t="s">
        <v>9682</v>
      </c>
      <c r="Y491" t="s">
        <v>9683</v>
      </c>
      <c r="Z491" t="s">
        <v>9684</v>
      </c>
      <c r="AA491" t="s">
        <v>74</v>
      </c>
      <c r="AB491" t="s">
        <v>9685</v>
      </c>
      <c r="AC491" t="s">
        <v>9686</v>
      </c>
      <c r="AD491" t="s">
        <v>9686</v>
      </c>
      <c r="AE491" t="s">
        <v>9687</v>
      </c>
      <c r="AF491" t="s">
        <v>74</v>
      </c>
      <c r="AG491">
        <v>38</v>
      </c>
      <c r="AH491">
        <v>1</v>
      </c>
      <c r="AI491">
        <v>1</v>
      </c>
      <c r="AJ491">
        <v>4</v>
      </c>
      <c r="AK491">
        <v>4</v>
      </c>
      <c r="AL491" t="s">
        <v>369</v>
      </c>
      <c r="AM491" t="s">
        <v>370</v>
      </c>
      <c r="AN491" t="s">
        <v>371</v>
      </c>
      <c r="AO491" t="s">
        <v>9688</v>
      </c>
      <c r="AP491" t="s">
        <v>74</v>
      </c>
      <c r="AQ491" t="s">
        <v>74</v>
      </c>
      <c r="AR491" t="s">
        <v>9689</v>
      </c>
      <c r="AS491" t="s">
        <v>9690</v>
      </c>
      <c r="AT491" t="s">
        <v>3612</v>
      </c>
      <c r="AU491">
        <v>2023</v>
      </c>
      <c r="AV491">
        <v>13</v>
      </c>
      <c r="AW491">
        <v>13</v>
      </c>
      <c r="AX491" t="s">
        <v>74</v>
      </c>
      <c r="AY491" t="s">
        <v>74</v>
      </c>
      <c r="AZ491" t="s">
        <v>74</v>
      </c>
      <c r="BA491" t="s">
        <v>74</v>
      </c>
      <c r="BB491" t="s">
        <v>74</v>
      </c>
      <c r="BC491" t="s">
        <v>74</v>
      </c>
      <c r="BD491">
        <v>2213</v>
      </c>
      <c r="BE491" t="s">
        <v>9691</v>
      </c>
      <c r="BF491" t="str">
        <f>HYPERLINK("http://dx.doi.org/10.3390/ani13132213","http://dx.doi.org/10.3390/ani13132213")</f>
        <v>http://dx.doi.org/10.3390/ani13132213</v>
      </c>
      <c r="BG491" t="s">
        <v>74</v>
      </c>
      <c r="BH491" t="s">
        <v>74</v>
      </c>
      <c r="BI491">
        <v>39</v>
      </c>
      <c r="BJ491" t="s">
        <v>9692</v>
      </c>
      <c r="BK491" t="s">
        <v>104</v>
      </c>
      <c r="BL491" t="s">
        <v>9693</v>
      </c>
      <c r="BM491" t="s">
        <v>9694</v>
      </c>
      <c r="BN491">
        <v>37444011</v>
      </c>
      <c r="BO491" t="s">
        <v>181</v>
      </c>
      <c r="BP491" t="s">
        <v>74</v>
      </c>
      <c r="BQ491" t="s">
        <v>74</v>
      </c>
      <c r="BR491" t="s">
        <v>107</v>
      </c>
      <c r="BS491" t="s">
        <v>9695</v>
      </c>
      <c r="BT491" t="str">
        <f>HYPERLINK("https%3A%2F%2Fwww.webofscience.com%2Fwos%2Fwoscc%2Ffull-record%2FWOS:001031008000001","View Full Record in Web of Science")</f>
        <v>View Full Record in Web of Science</v>
      </c>
    </row>
    <row r="492" spans="1:72" x14ac:dyDescent="0.15">
      <c r="A492" t="s">
        <v>72</v>
      </c>
      <c r="B492" t="s">
        <v>9696</v>
      </c>
      <c r="C492" t="s">
        <v>74</v>
      </c>
      <c r="D492" t="s">
        <v>74</v>
      </c>
      <c r="E492" t="s">
        <v>74</v>
      </c>
      <c r="F492" t="s">
        <v>9697</v>
      </c>
      <c r="G492" t="s">
        <v>74</v>
      </c>
      <c r="H492" t="s">
        <v>74</v>
      </c>
      <c r="I492" t="s">
        <v>9698</v>
      </c>
      <c r="J492" t="s">
        <v>9699</v>
      </c>
      <c r="K492" t="s">
        <v>74</v>
      </c>
      <c r="L492" t="s">
        <v>74</v>
      </c>
      <c r="M492" t="s">
        <v>78</v>
      </c>
      <c r="N492" t="s">
        <v>79</v>
      </c>
      <c r="O492" t="s">
        <v>74</v>
      </c>
      <c r="P492" t="s">
        <v>74</v>
      </c>
      <c r="Q492" t="s">
        <v>74</v>
      </c>
      <c r="R492" t="s">
        <v>74</v>
      </c>
      <c r="S492" t="s">
        <v>74</v>
      </c>
      <c r="T492" t="s">
        <v>9700</v>
      </c>
      <c r="U492" t="s">
        <v>9701</v>
      </c>
      <c r="V492" t="s">
        <v>9702</v>
      </c>
      <c r="W492" t="s">
        <v>9703</v>
      </c>
      <c r="X492" t="s">
        <v>9704</v>
      </c>
      <c r="Y492" t="s">
        <v>9705</v>
      </c>
      <c r="Z492" t="s">
        <v>9706</v>
      </c>
      <c r="AA492" t="s">
        <v>74</v>
      </c>
      <c r="AB492" t="s">
        <v>9707</v>
      </c>
      <c r="AC492" t="s">
        <v>9708</v>
      </c>
      <c r="AD492" t="s">
        <v>9709</v>
      </c>
      <c r="AE492" t="s">
        <v>9710</v>
      </c>
      <c r="AF492" t="s">
        <v>74</v>
      </c>
      <c r="AG492">
        <v>92</v>
      </c>
      <c r="AH492">
        <v>0</v>
      </c>
      <c r="AI492">
        <v>0</v>
      </c>
      <c r="AJ492">
        <v>4</v>
      </c>
      <c r="AK492">
        <v>8</v>
      </c>
      <c r="AL492" t="s">
        <v>588</v>
      </c>
      <c r="AM492" t="s">
        <v>589</v>
      </c>
      <c r="AN492" t="s">
        <v>590</v>
      </c>
      <c r="AO492" t="s">
        <v>74</v>
      </c>
      <c r="AP492" t="s">
        <v>9711</v>
      </c>
      <c r="AQ492" t="s">
        <v>74</v>
      </c>
      <c r="AR492" t="s">
        <v>9712</v>
      </c>
      <c r="AS492" t="s">
        <v>9713</v>
      </c>
      <c r="AT492" t="s">
        <v>3612</v>
      </c>
      <c r="AU492">
        <v>2023</v>
      </c>
      <c r="AV492">
        <v>24</v>
      </c>
      <c r="AW492">
        <v>7</v>
      </c>
      <c r="AX492" t="s">
        <v>74</v>
      </c>
      <c r="AY492" t="s">
        <v>74</v>
      </c>
      <c r="AZ492" t="s">
        <v>74</v>
      </c>
      <c r="BA492" t="s">
        <v>74</v>
      </c>
      <c r="BB492" t="s">
        <v>74</v>
      </c>
      <c r="BC492" t="s">
        <v>74</v>
      </c>
      <c r="BD492" t="s">
        <v>9714</v>
      </c>
      <c r="BE492" t="s">
        <v>9715</v>
      </c>
      <c r="BF492" t="str">
        <f>HYPERLINK("http://dx.doi.org/10.1029/2023GC010984","http://dx.doi.org/10.1029/2023GC010984")</f>
        <v>http://dx.doi.org/10.1029/2023GC010984</v>
      </c>
      <c r="BG492" t="s">
        <v>74</v>
      </c>
      <c r="BH492" t="s">
        <v>74</v>
      </c>
      <c r="BI492">
        <v>16</v>
      </c>
      <c r="BJ492" t="s">
        <v>597</v>
      </c>
      <c r="BK492" t="s">
        <v>104</v>
      </c>
      <c r="BL492" t="s">
        <v>597</v>
      </c>
      <c r="BM492" t="s">
        <v>9716</v>
      </c>
      <c r="BN492" t="s">
        <v>74</v>
      </c>
      <c r="BO492" t="s">
        <v>181</v>
      </c>
      <c r="BP492" t="s">
        <v>74</v>
      </c>
      <c r="BQ492" t="s">
        <v>74</v>
      </c>
      <c r="BR492" t="s">
        <v>107</v>
      </c>
      <c r="BS492" t="s">
        <v>9717</v>
      </c>
      <c r="BT492" t="str">
        <f>HYPERLINK("https%3A%2F%2Fwww.webofscience.com%2Fwos%2Fwoscc%2Ffull-record%2FWOS:001034047900001","View Full Record in Web of Science")</f>
        <v>View Full Record in Web of Science</v>
      </c>
    </row>
    <row r="493" spans="1:72" x14ac:dyDescent="0.15">
      <c r="A493" t="s">
        <v>72</v>
      </c>
      <c r="B493" t="s">
        <v>9718</v>
      </c>
      <c r="C493" t="s">
        <v>74</v>
      </c>
      <c r="D493" t="s">
        <v>74</v>
      </c>
      <c r="E493" t="s">
        <v>74</v>
      </c>
      <c r="F493" t="s">
        <v>9719</v>
      </c>
      <c r="G493" t="s">
        <v>74</v>
      </c>
      <c r="H493" t="s">
        <v>74</v>
      </c>
      <c r="I493" t="s">
        <v>9720</v>
      </c>
      <c r="J493" t="s">
        <v>961</v>
      </c>
      <c r="K493" t="s">
        <v>74</v>
      </c>
      <c r="L493" t="s">
        <v>74</v>
      </c>
      <c r="M493" t="s">
        <v>78</v>
      </c>
      <c r="N493" t="s">
        <v>869</v>
      </c>
      <c r="O493" t="s">
        <v>74</v>
      </c>
      <c r="P493" t="s">
        <v>74</v>
      </c>
      <c r="Q493" t="s">
        <v>74</v>
      </c>
      <c r="R493" t="s">
        <v>74</v>
      </c>
      <c r="S493" t="s">
        <v>74</v>
      </c>
      <c r="T493" t="s">
        <v>74</v>
      </c>
      <c r="U493" t="s">
        <v>74</v>
      </c>
      <c r="V493" t="s">
        <v>74</v>
      </c>
      <c r="W493" t="s">
        <v>9721</v>
      </c>
      <c r="X493" t="s">
        <v>9722</v>
      </c>
      <c r="Y493" t="s">
        <v>9723</v>
      </c>
      <c r="Z493" t="s">
        <v>5085</v>
      </c>
      <c r="AA493" t="s">
        <v>74</v>
      </c>
      <c r="AB493" t="s">
        <v>9724</v>
      </c>
      <c r="AC493" t="s">
        <v>5102</v>
      </c>
      <c r="AD493" t="s">
        <v>2603</v>
      </c>
      <c r="AE493" t="s">
        <v>9725</v>
      </c>
      <c r="AF493" t="s">
        <v>74</v>
      </c>
      <c r="AG493">
        <v>9</v>
      </c>
      <c r="AH493">
        <v>0</v>
      </c>
      <c r="AI493">
        <v>0</v>
      </c>
      <c r="AJ493">
        <v>0</v>
      </c>
      <c r="AK493">
        <v>0</v>
      </c>
      <c r="AL493" t="s">
        <v>369</v>
      </c>
      <c r="AM493" t="s">
        <v>370</v>
      </c>
      <c r="AN493" t="s">
        <v>371</v>
      </c>
      <c r="AO493" t="s">
        <v>74</v>
      </c>
      <c r="AP493" t="s">
        <v>972</v>
      </c>
      <c r="AQ493" t="s">
        <v>74</v>
      </c>
      <c r="AR493" t="s">
        <v>973</v>
      </c>
      <c r="AS493" t="s">
        <v>974</v>
      </c>
      <c r="AT493" t="s">
        <v>3612</v>
      </c>
      <c r="AU493">
        <v>2023</v>
      </c>
      <c r="AV493">
        <v>15</v>
      </c>
      <c r="AW493">
        <v>13</v>
      </c>
      <c r="AX493" t="s">
        <v>74</v>
      </c>
      <c r="AY493" t="s">
        <v>74</v>
      </c>
      <c r="AZ493" t="s">
        <v>74</v>
      </c>
      <c r="BA493" t="s">
        <v>74</v>
      </c>
      <c r="BB493" t="s">
        <v>74</v>
      </c>
      <c r="BC493" t="s">
        <v>74</v>
      </c>
      <c r="BD493">
        <v>2348</v>
      </c>
      <c r="BE493" t="s">
        <v>9726</v>
      </c>
      <c r="BF493" t="str">
        <f>HYPERLINK("http://dx.doi.org/10.3390/w15132348","http://dx.doi.org/10.3390/w15132348")</f>
        <v>http://dx.doi.org/10.3390/w15132348</v>
      </c>
      <c r="BG493" t="s">
        <v>74</v>
      </c>
      <c r="BH493" t="s">
        <v>74</v>
      </c>
      <c r="BI493">
        <v>2</v>
      </c>
      <c r="BJ493" t="s">
        <v>976</v>
      </c>
      <c r="BK493" t="s">
        <v>104</v>
      </c>
      <c r="BL493" t="s">
        <v>977</v>
      </c>
      <c r="BM493" t="s">
        <v>9727</v>
      </c>
      <c r="BN493" t="s">
        <v>74</v>
      </c>
      <c r="BO493" t="s">
        <v>206</v>
      </c>
      <c r="BP493" t="s">
        <v>74</v>
      </c>
      <c r="BQ493" t="s">
        <v>74</v>
      </c>
      <c r="BR493" t="s">
        <v>107</v>
      </c>
      <c r="BS493" t="s">
        <v>9728</v>
      </c>
      <c r="BT493" t="str">
        <f>HYPERLINK("https%3A%2F%2Fwww.webofscience.com%2Fwos%2Fwoscc%2Ffull-record%2FWOS:001029587400001","View Full Record in Web of Science")</f>
        <v>View Full Record in Web of Science</v>
      </c>
    </row>
    <row r="494" spans="1:72" x14ac:dyDescent="0.15">
      <c r="A494" t="s">
        <v>72</v>
      </c>
      <c r="B494" t="s">
        <v>9729</v>
      </c>
      <c r="C494" t="s">
        <v>74</v>
      </c>
      <c r="D494" t="s">
        <v>74</v>
      </c>
      <c r="E494" t="s">
        <v>74</v>
      </c>
      <c r="F494" t="s">
        <v>9730</v>
      </c>
      <c r="G494" t="s">
        <v>74</v>
      </c>
      <c r="H494" t="s">
        <v>74</v>
      </c>
      <c r="I494" t="s">
        <v>9731</v>
      </c>
      <c r="J494" t="s">
        <v>9732</v>
      </c>
      <c r="K494" t="s">
        <v>74</v>
      </c>
      <c r="L494" t="s">
        <v>74</v>
      </c>
      <c r="M494" t="s">
        <v>78</v>
      </c>
      <c r="N494" t="s">
        <v>79</v>
      </c>
      <c r="O494" t="s">
        <v>74</v>
      </c>
      <c r="P494" t="s">
        <v>74</v>
      </c>
      <c r="Q494" t="s">
        <v>74</v>
      </c>
      <c r="R494" t="s">
        <v>74</v>
      </c>
      <c r="S494" t="s">
        <v>74</v>
      </c>
      <c r="T494" t="s">
        <v>74</v>
      </c>
      <c r="U494" t="s">
        <v>9733</v>
      </c>
      <c r="V494" t="s">
        <v>9734</v>
      </c>
      <c r="W494" t="s">
        <v>9735</v>
      </c>
      <c r="X494" t="s">
        <v>9736</v>
      </c>
      <c r="Y494" t="s">
        <v>9737</v>
      </c>
      <c r="Z494" t="s">
        <v>9738</v>
      </c>
      <c r="AA494" t="s">
        <v>74</v>
      </c>
      <c r="AB494" t="s">
        <v>9739</v>
      </c>
      <c r="AC494" t="s">
        <v>9740</v>
      </c>
      <c r="AD494" t="s">
        <v>9741</v>
      </c>
      <c r="AE494" t="s">
        <v>9742</v>
      </c>
      <c r="AF494" t="s">
        <v>74</v>
      </c>
      <c r="AG494">
        <v>43</v>
      </c>
      <c r="AH494">
        <v>0</v>
      </c>
      <c r="AI494">
        <v>0</v>
      </c>
      <c r="AJ494">
        <v>2</v>
      </c>
      <c r="AK494">
        <v>4</v>
      </c>
      <c r="AL494" t="s">
        <v>838</v>
      </c>
      <c r="AM494" t="s">
        <v>839</v>
      </c>
      <c r="AN494" t="s">
        <v>840</v>
      </c>
      <c r="AO494" t="s">
        <v>9743</v>
      </c>
      <c r="AP494" t="s">
        <v>9744</v>
      </c>
      <c r="AQ494" t="s">
        <v>74</v>
      </c>
      <c r="AR494" t="s">
        <v>9745</v>
      </c>
      <c r="AS494" t="s">
        <v>9746</v>
      </c>
      <c r="AT494" t="s">
        <v>9434</v>
      </c>
      <c r="AU494">
        <v>2023</v>
      </c>
      <c r="AV494">
        <v>952</v>
      </c>
      <c r="AW494">
        <v>1</v>
      </c>
      <c r="AX494" t="s">
        <v>74</v>
      </c>
      <c r="AY494" t="s">
        <v>74</v>
      </c>
      <c r="AZ494" t="s">
        <v>74</v>
      </c>
      <c r="BA494" t="s">
        <v>74</v>
      </c>
      <c r="BB494" t="s">
        <v>74</v>
      </c>
      <c r="BC494" t="s">
        <v>74</v>
      </c>
      <c r="BD494" t="s">
        <v>9747</v>
      </c>
      <c r="BE494" t="s">
        <v>9748</v>
      </c>
      <c r="BF494" t="str">
        <f>HYPERLINK("http://dx.doi.org/10.3847/2041-8213/ace187","http://dx.doi.org/10.3847/2041-8213/ace187")</f>
        <v>http://dx.doi.org/10.3847/2041-8213/ace187</v>
      </c>
      <c r="BG494" t="s">
        <v>74</v>
      </c>
      <c r="BH494" t="s">
        <v>74</v>
      </c>
      <c r="BI494">
        <v>8</v>
      </c>
      <c r="BJ494" t="s">
        <v>845</v>
      </c>
      <c r="BK494" t="s">
        <v>104</v>
      </c>
      <c r="BL494" t="s">
        <v>845</v>
      </c>
      <c r="BM494" t="s">
        <v>9749</v>
      </c>
      <c r="BN494" t="s">
        <v>74</v>
      </c>
      <c r="BO494" t="s">
        <v>3243</v>
      </c>
      <c r="BP494" t="s">
        <v>74</v>
      </c>
      <c r="BQ494" t="s">
        <v>74</v>
      </c>
      <c r="BR494" t="s">
        <v>107</v>
      </c>
      <c r="BS494" t="s">
        <v>9750</v>
      </c>
      <c r="BT494" t="str">
        <f>HYPERLINK("https%3A%2F%2Fwww.webofscience.com%2Fwos%2Fwoscc%2Ffull-record%2FWOS:001035360300001","View Full Record in Web of Science")</f>
        <v>View Full Record in Web of Science</v>
      </c>
    </row>
    <row r="495" spans="1:72" x14ac:dyDescent="0.15">
      <c r="A495" t="s">
        <v>72</v>
      </c>
      <c r="B495" t="s">
        <v>9751</v>
      </c>
      <c r="C495" t="s">
        <v>74</v>
      </c>
      <c r="D495" t="s">
        <v>74</v>
      </c>
      <c r="E495" t="s">
        <v>74</v>
      </c>
      <c r="F495" t="s">
        <v>9752</v>
      </c>
      <c r="G495" t="s">
        <v>74</v>
      </c>
      <c r="H495" t="s">
        <v>74</v>
      </c>
      <c r="I495" t="s">
        <v>9753</v>
      </c>
      <c r="J495" t="s">
        <v>1008</v>
      </c>
      <c r="K495" t="s">
        <v>74</v>
      </c>
      <c r="L495" t="s">
        <v>74</v>
      </c>
      <c r="M495" t="s">
        <v>78</v>
      </c>
      <c r="N495" t="s">
        <v>79</v>
      </c>
      <c r="O495" t="s">
        <v>74</v>
      </c>
      <c r="P495" t="s">
        <v>74</v>
      </c>
      <c r="Q495" t="s">
        <v>74</v>
      </c>
      <c r="R495" t="s">
        <v>74</v>
      </c>
      <c r="S495" t="s">
        <v>74</v>
      </c>
      <c r="T495" t="s">
        <v>9754</v>
      </c>
      <c r="U495" t="s">
        <v>9755</v>
      </c>
      <c r="V495" t="s">
        <v>9756</v>
      </c>
      <c r="W495" t="s">
        <v>9757</v>
      </c>
      <c r="X495" t="s">
        <v>9758</v>
      </c>
      <c r="Y495" t="s">
        <v>9759</v>
      </c>
      <c r="Z495" t="s">
        <v>9760</v>
      </c>
      <c r="AA495" t="s">
        <v>9761</v>
      </c>
      <c r="AB495" t="s">
        <v>9762</v>
      </c>
      <c r="AC495" t="s">
        <v>9763</v>
      </c>
      <c r="AD495" t="s">
        <v>9764</v>
      </c>
      <c r="AE495" t="s">
        <v>9765</v>
      </c>
      <c r="AF495" t="s">
        <v>74</v>
      </c>
      <c r="AG495">
        <v>67</v>
      </c>
      <c r="AH495">
        <v>1</v>
      </c>
      <c r="AI495">
        <v>1</v>
      </c>
      <c r="AJ495">
        <v>9</v>
      </c>
      <c r="AK495">
        <v>14</v>
      </c>
      <c r="AL495" t="s">
        <v>588</v>
      </c>
      <c r="AM495" t="s">
        <v>589</v>
      </c>
      <c r="AN495" t="s">
        <v>590</v>
      </c>
      <c r="AO495" t="s">
        <v>1020</v>
      </c>
      <c r="AP495" t="s">
        <v>1021</v>
      </c>
      <c r="AQ495" t="s">
        <v>74</v>
      </c>
      <c r="AR495" t="s">
        <v>1022</v>
      </c>
      <c r="AS495" t="s">
        <v>1023</v>
      </c>
      <c r="AT495" t="s">
        <v>3612</v>
      </c>
      <c r="AU495">
        <v>2023</v>
      </c>
      <c r="AV495">
        <v>128</v>
      </c>
      <c r="AW495">
        <v>7</v>
      </c>
      <c r="AX495" t="s">
        <v>74</v>
      </c>
      <c r="AY495" t="s">
        <v>74</v>
      </c>
      <c r="AZ495" t="s">
        <v>74</v>
      </c>
      <c r="BA495" t="s">
        <v>74</v>
      </c>
      <c r="BB495" t="s">
        <v>74</v>
      </c>
      <c r="BC495" t="s">
        <v>74</v>
      </c>
      <c r="BD495" t="s">
        <v>9766</v>
      </c>
      <c r="BE495" t="s">
        <v>9767</v>
      </c>
      <c r="BF495" t="str">
        <f>HYPERLINK("http://dx.doi.org/10.1029/2022JC018725","http://dx.doi.org/10.1029/2022JC018725")</f>
        <v>http://dx.doi.org/10.1029/2022JC018725</v>
      </c>
      <c r="BG495" t="s">
        <v>74</v>
      </c>
      <c r="BH495" t="s">
        <v>74</v>
      </c>
      <c r="BI495">
        <v>20</v>
      </c>
      <c r="BJ495" t="s">
        <v>306</v>
      </c>
      <c r="BK495" t="s">
        <v>104</v>
      </c>
      <c r="BL495" t="s">
        <v>306</v>
      </c>
      <c r="BM495" t="s">
        <v>9768</v>
      </c>
      <c r="BN495" t="s">
        <v>74</v>
      </c>
      <c r="BO495" t="s">
        <v>2670</v>
      </c>
      <c r="BP495" t="s">
        <v>74</v>
      </c>
      <c r="BQ495" t="s">
        <v>74</v>
      </c>
      <c r="BR495" t="s">
        <v>107</v>
      </c>
      <c r="BS495" t="s">
        <v>9769</v>
      </c>
      <c r="BT495" t="str">
        <f>HYPERLINK("https%3A%2F%2Fwww.webofscience.com%2Fwos%2Fwoscc%2Ffull-record%2FWOS:001024193800001","View Full Record in Web of Science")</f>
        <v>View Full Record in Web of Science</v>
      </c>
    </row>
    <row r="496" spans="1:72" x14ac:dyDescent="0.15">
      <c r="A496" t="s">
        <v>72</v>
      </c>
      <c r="B496" t="s">
        <v>9770</v>
      </c>
      <c r="C496" t="s">
        <v>74</v>
      </c>
      <c r="D496" t="s">
        <v>74</v>
      </c>
      <c r="E496" t="s">
        <v>74</v>
      </c>
      <c r="F496" t="s">
        <v>9771</v>
      </c>
      <c r="G496" t="s">
        <v>74</v>
      </c>
      <c r="H496" t="s">
        <v>74</v>
      </c>
      <c r="I496" t="s">
        <v>9772</v>
      </c>
      <c r="J496" t="s">
        <v>5439</v>
      </c>
      <c r="K496" t="s">
        <v>74</v>
      </c>
      <c r="L496" t="s">
        <v>74</v>
      </c>
      <c r="M496" t="s">
        <v>78</v>
      </c>
      <c r="N496" t="s">
        <v>79</v>
      </c>
      <c r="O496" t="s">
        <v>74</v>
      </c>
      <c r="P496" t="s">
        <v>74</v>
      </c>
      <c r="Q496" t="s">
        <v>74</v>
      </c>
      <c r="R496" t="s">
        <v>74</v>
      </c>
      <c r="S496" t="s">
        <v>74</v>
      </c>
      <c r="T496" t="s">
        <v>9773</v>
      </c>
      <c r="U496" t="s">
        <v>9774</v>
      </c>
      <c r="V496" t="s">
        <v>9775</v>
      </c>
      <c r="W496" t="s">
        <v>9776</v>
      </c>
      <c r="X496" t="s">
        <v>9777</v>
      </c>
      <c r="Y496" t="s">
        <v>9778</v>
      </c>
      <c r="Z496" t="s">
        <v>9779</v>
      </c>
      <c r="AA496" t="s">
        <v>9780</v>
      </c>
      <c r="AB496" t="s">
        <v>9781</v>
      </c>
      <c r="AC496" t="s">
        <v>9782</v>
      </c>
      <c r="AD496" t="s">
        <v>74</v>
      </c>
      <c r="AE496" t="s">
        <v>9783</v>
      </c>
      <c r="AF496" t="s">
        <v>74</v>
      </c>
      <c r="AG496">
        <v>76</v>
      </c>
      <c r="AH496">
        <v>0</v>
      </c>
      <c r="AI496">
        <v>0</v>
      </c>
      <c r="AJ496">
        <v>0</v>
      </c>
      <c r="AK496">
        <v>1</v>
      </c>
      <c r="AL496" t="s">
        <v>369</v>
      </c>
      <c r="AM496" t="s">
        <v>370</v>
      </c>
      <c r="AN496" t="s">
        <v>371</v>
      </c>
      <c r="AO496" t="s">
        <v>74</v>
      </c>
      <c r="AP496" t="s">
        <v>5446</v>
      </c>
      <c r="AQ496" t="s">
        <v>74</v>
      </c>
      <c r="AR496" t="s">
        <v>5439</v>
      </c>
      <c r="AS496" t="s">
        <v>5447</v>
      </c>
      <c r="AT496" t="s">
        <v>3612</v>
      </c>
      <c r="AU496">
        <v>2023</v>
      </c>
      <c r="AV496">
        <v>15</v>
      </c>
      <c r="AW496">
        <v>7</v>
      </c>
      <c r="AX496" t="s">
        <v>74</v>
      </c>
      <c r="AY496" t="s">
        <v>74</v>
      </c>
      <c r="AZ496" t="s">
        <v>74</v>
      </c>
      <c r="BA496" t="s">
        <v>74</v>
      </c>
      <c r="BB496" t="s">
        <v>74</v>
      </c>
      <c r="BC496" t="s">
        <v>74</v>
      </c>
      <c r="BD496">
        <v>875</v>
      </c>
      <c r="BE496" t="s">
        <v>9784</v>
      </c>
      <c r="BF496" t="str">
        <f>HYPERLINK("http://dx.doi.org/10.3390/d15070875","http://dx.doi.org/10.3390/d15070875")</f>
        <v>http://dx.doi.org/10.3390/d15070875</v>
      </c>
      <c r="BG496" t="s">
        <v>74</v>
      </c>
      <c r="BH496" t="s">
        <v>74</v>
      </c>
      <c r="BI496">
        <v>20</v>
      </c>
      <c r="BJ496" t="s">
        <v>3772</v>
      </c>
      <c r="BK496" t="s">
        <v>104</v>
      </c>
      <c r="BL496" t="s">
        <v>1905</v>
      </c>
      <c r="BM496" t="s">
        <v>9785</v>
      </c>
      <c r="BN496" t="s">
        <v>74</v>
      </c>
      <c r="BO496" t="s">
        <v>206</v>
      </c>
      <c r="BP496" t="s">
        <v>74</v>
      </c>
      <c r="BQ496" t="s">
        <v>74</v>
      </c>
      <c r="BR496" t="s">
        <v>107</v>
      </c>
      <c r="BS496" t="s">
        <v>9786</v>
      </c>
      <c r="BT496" t="str">
        <f>HYPERLINK("https%3A%2F%2Fwww.webofscience.com%2Fwos%2Fwoscc%2Ffull-record%2FWOS:001035108700001","View Full Record in Web of Science")</f>
        <v>View Full Record in Web of Science</v>
      </c>
    </row>
    <row r="497" spans="1:72" x14ac:dyDescent="0.15">
      <c r="A497" t="s">
        <v>72</v>
      </c>
      <c r="B497" t="s">
        <v>9787</v>
      </c>
      <c r="C497" t="s">
        <v>74</v>
      </c>
      <c r="D497" t="s">
        <v>74</v>
      </c>
      <c r="E497" t="s">
        <v>74</v>
      </c>
      <c r="F497" t="s">
        <v>9788</v>
      </c>
      <c r="G497" t="s">
        <v>74</v>
      </c>
      <c r="H497" t="s">
        <v>74</v>
      </c>
      <c r="I497" t="s">
        <v>9789</v>
      </c>
      <c r="J497" t="s">
        <v>1304</v>
      </c>
      <c r="K497" t="s">
        <v>74</v>
      </c>
      <c r="L497" t="s">
        <v>74</v>
      </c>
      <c r="M497" t="s">
        <v>78</v>
      </c>
      <c r="N497" t="s">
        <v>79</v>
      </c>
      <c r="O497" t="s">
        <v>74</v>
      </c>
      <c r="P497" t="s">
        <v>74</v>
      </c>
      <c r="Q497" t="s">
        <v>74</v>
      </c>
      <c r="R497" t="s">
        <v>74</v>
      </c>
      <c r="S497" t="s">
        <v>74</v>
      </c>
      <c r="T497" t="s">
        <v>74</v>
      </c>
      <c r="U497" t="s">
        <v>9790</v>
      </c>
      <c r="V497" t="s">
        <v>9791</v>
      </c>
      <c r="W497" t="s">
        <v>9792</v>
      </c>
      <c r="X497" t="s">
        <v>9793</v>
      </c>
      <c r="Y497" t="s">
        <v>9794</v>
      </c>
      <c r="Z497" t="s">
        <v>9795</v>
      </c>
      <c r="AA497" t="s">
        <v>9796</v>
      </c>
      <c r="AB497" t="s">
        <v>9797</v>
      </c>
      <c r="AC497" t="s">
        <v>9798</v>
      </c>
      <c r="AD497" t="s">
        <v>9799</v>
      </c>
      <c r="AE497" t="s">
        <v>9800</v>
      </c>
      <c r="AF497" t="s">
        <v>74</v>
      </c>
      <c r="AG497">
        <v>148</v>
      </c>
      <c r="AH497">
        <v>6</v>
      </c>
      <c r="AI497">
        <v>6</v>
      </c>
      <c r="AJ497">
        <v>6</v>
      </c>
      <c r="AK497">
        <v>9</v>
      </c>
      <c r="AL497" t="s">
        <v>588</v>
      </c>
      <c r="AM497" t="s">
        <v>589</v>
      </c>
      <c r="AN497" t="s">
        <v>590</v>
      </c>
      <c r="AO497" t="s">
        <v>1317</v>
      </c>
      <c r="AP497" t="s">
        <v>1318</v>
      </c>
      <c r="AQ497" t="s">
        <v>74</v>
      </c>
      <c r="AR497" t="s">
        <v>1319</v>
      </c>
      <c r="AS497" t="s">
        <v>1320</v>
      </c>
      <c r="AT497" t="s">
        <v>3612</v>
      </c>
      <c r="AU497">
        <v>2023</v>
      </c>
      <c r="AV497">
        <v>38</v>
      </c>
      <c r="AW497">
        <v>7</v>
      </c>
      <c r="AX497" t="s">
        <v>74</v>
      </c>
      <c r="AY497" t="s">
        <v>74</v>
      </c>
      <c r="AZ497" t="s">
        <v>74</v>
      </c>
      <c r="BA497" t="s">
        <v>74</v>
      </c>
      <c r="BB497" t="s">
        <v>74</v>
      </c>
      <c r="BC497" t="s">
        <v>74</v>
      </c>
      <c r="BD497" t="s">
        <v>9801</v>
      </c>
      <c r="BE497" t="s">
        <v>9802</v>
      </c>
      <c r="BF497" t="str">
        <f>HYPERLINK("http://dx.doi.org/10.1029/2023PA004666","http://dx.doi.org/10.1029/2023PA004666")</f>
        <v>http://dx.doi.org/10.1029/2023PA004666</v>
      </c>
      <c r="BG497" t="s">
        <v>74</v>
      </c>
      <c r="BH497" t="s">
        <v>74</v>
      </c>
      <c r="BI497">
        <v>23</v>
      </c>
      <c r="BJ497" t="s">
        <v>1323</v>
      </c>
      <c r="BK497" t="s">
        <v>104</v>
      </c>
      <c r="BL497" t="s">
        <v>1324</v>
      </c>
      <c r="BM497" t="s">
        <v>9803</v>
      </c>
      <c r="BN497" t="s">
        <v>74</v>
      </c>
      <c r="BO497" t="s">
        <v>9804</v>
      </c>
      <c r="BP497" t="s">
        <v>74</v>
      </c>
      <c r="BQ497" t="s">
        <v>74</v>
      </c>
      <c r="BR497" t="s">
        <v>107</v>
      </c>
      <c r="BS497" t="s">
        <v>9805</v>
      </c>
      <c r="BT497" t="str">
        <f>HYPERLINK("https%3A%2F%2Fwww.webofscience.com%2Fwos%2Fwoscc%2Ffull-record%2FWOS:001021050700001","View Full Record in Web of Science")</f>
        <v>View Full Record in Web of Science</v>
      </c>
    </row>
    <row r="498" spans="1:72" x14ac:dyDescent="0.15">
      <c r="A498" t="s">
        <v>72</v>
      </c>
      <c r="B498" t="s">
        <v>9806</v>
      </c>
      <c r="C498" t="s">
        <v>74</v>
      </c>
      <c r="D498" t="s">
        <v>74</v>
      </c>
      <c r="E498" t="s">
        <v>74</v>
      </c>
      <c r="F498" t="s">
        <v>9807</v>
      </c>
      <c r="G498" t="s">
        <v>74</v>
      </c>
      <c r="H498" t="s">
        <v>74</v>
      </c>
      <c r="I498" t="s">
        <v>9808</v>
      </c>
      <c r="J498" t="s">
        <v>9809</v>
      </c>
      <c r="K498" t="s">
        <v>74</v>
      </c>
      <c r="L498" t="s">
        <v>74</v>
      </c>
      <c r="M498" t="s">
        <v>78</v>
      </c>
      <c r="N498" t="s">
        <v>79</v>
      </c>
      <c r="O498" t="s">
        <v>74</v>
      </c>
      <c r="P498" t="s">
        <v>74</v>
      </c>
      <c r="Q498" t="s">
        <v>74</v>
      </c>
      <c r="R498" t="s">
        <v>74</v>
      </c>
      <c r="S498" t="s">
        <v>74</v>
      </c>
      <c r="T498" t="s">
        <v>9810</v>
      </c>
      <c r="U498" t="s">
        <v>9811</v>
      </c>
      <c r="V498" t="s">
        <v>9812</v>
      </c>
      <c r="W498" t="s">
        <v>9813</v>
      </c>
      <c r="X498" t="s">
        <v>9814</v>
      </c>
      <c r="Y498" t="s">
        <v>9815</v>
      </c>
      <c r="Z498" t="s">
        <v>9816</v>
      </c>
      <c r="AA498" t="s">
        <v>74</v>
      </c>
      <c r="AB498" t="s">
        <v>9817</v>
      </c>
      <c r="AC498" t="s">
        <v>74</v>
      </c>
      <c r="AD498" t="s">
        <v>74</v>
      </c>
      <c r="AE498" t="s">
        <v>74</v>
      </c>
      <c r="AF498" t="s">
        <v>74</v>
      </c>
      <c r="AG498">
        <v>22</v>
      </c>
      <c r="AH498">
        <v>0</v>
      </c>
      <c r="AI498">
        <v>0</v>
      </c>
      <c r="AJ498">
        <v>0</v>
      </c>
      <c r="AK498">
        <v>1</v>
      </c>
      <c r="AL498" t="s">
        <v>298</v>
      </c>
      <c r="AM498" t="s">
        <v>299</v>
      </c>
      <c r="AN498" t="s">
        <v>300</v>
      </c>
      <c r="AO498" t="s">
        <v>9818</v>
      </c>
      <c r="AP498" t="s">
        <v>9819</v>
      </c>
      <c r="AQ498" t="s">
        <v>74</v>
      </c>
      <c r="AR498" t="s">
        <v>9820</v>
      </c>
      <c r="AS498" t="s">
        <v>9821</v>
      </c>
      <c r="AT498" t="s">
        <v>4689</v>
      </c>
      <c r="AU498">
        <v>2023</v>
      </c>
      <c r="AV498">
        <v>51</v>
      </c>
      <c r="AW498">
        <v>8</v>
      </c>
      <c r="AX498" t="s">
        <v>74</v>
      </c>
      <c r="AY498" t="s">
        <v>74</v>
      </c>
      <c r="AZ498" t="s">
        <v>74</v>
      </c>
      <c r="BA498" t="s">
        <v>74</v>
      </c>
      <c r="BB498">
        <v>1619</v>
      </c>
      <c r="BC498">
        <v>1630</v>
      </c>
      <c r="BD498" t="s">
        <v>74</v>
      </c>
      <c r="BE498" t="s">
        <v>9822</v>
      </c>
      <c r="BF498" t="str">
        <f>HYPERLINK("http://dx.doi.org/10.1007/s12524-023-01727-8","http://dx.doi.org/10.1007/s12524-023-01727-8")</f>
        <v>http://dx.doi.org/10.1007/s12524-023-01727-8</v>
      </c>
      <c r="BG498" t="s">
        <v>74</v>
      </c>
      <c r="BH498" t="s">
        <v>6115</v>
      </c>
      <c r="BI498">
        <v>12</v>
      </c>
      <c r="BJ498" t="s">
        <v>9823</v>
      </c>
      <c r="BK498" t="s">
        <v>104</v>
      </c>
      <c r="BL498" t="s">
        <v>6838</v>
      </c>
      <c r="BM498" t="s">
        <v>9824</v>
      </c>
      <c r="BN498" t="s">
        <v>74</v>
      </c>
      <c r="BO498" t="s">
        <v>74</v>
      </c>
      <c r="BP498" t="s">
        <v>74</v>
      </c>
      <c r="BQ498" t="s">
        <v>74</v>
      </c>
      <c r="BR498" t="s">
        <v>107</v>
      </c>
      <c r="BS498" t="s">
        <v>9825</v>
      </c>
      <c r="BT498" t="str">
        <f>HYPERLINK("https%3A%2F%2Fwww.webofscience.com%2Fwos%2Fwoscc%2Ffull-record%2FWOS:001020327500001","View Full Record in Web of Science")</f>
        <v>View Full Record in Web of Science</v>
      </c>
    </row>
    <row r="499" spans="1:72" x14ac:dyDescent="0.15">
      <c r="A499" t="s">
        <v>72</v>
      </c>
      <c r="B499" t="s">
        <v>9826</v>
      </c>
      <c r="C499" t="s">
        <v>74</v>
      </c>
      <c r="D499" t="s">
        <v>74</v>
      </c>
      <c r="E499" t="s">
        <v>74</v>
      </c>
      <c r="F499" t="s">
        <v>9827</v>
      </c>
      <c r="G499" t="s">
        <v>74</v>
      </c>
      <c r="H499" t="s">
        <v>74</v>
      </c>
      <c r="I499" t="s">
        <v>9828</v>
      </c>
      <c r="J499" t="s">
        <v>9829</v>
      </c>
      <c r="K499" t="s">
        <v>74</v>
      </c>
      <c r="L499" t="s">
        <v>74</v>
      </c>
      <c r="M499" t="s">
        <v>78</v>
      </c>
      <c r="N499" t="s">
        <v>79</v>
      </c>
      <c r="O499" t="s">
        <v>74</v>
      </c>
      <c r="P499" t="s">
        <v>74</v>
      </c>
      <c r="Q499" t="s">
        <v>74</v>
      </c>
      <c r="R499" t="s">
        <v>74</v>
      </c>
      <c r="S499" t="s">
        <v>74</v>
      </c>
      <c r="T499" t="s">
        <v>9830</v>
      </c>
      <c r="U499" t="s">
        <v>9831</v>
      </c>
      <c r="V499" t="s">
        <v>9832</v>
      </c>
      <c r="W499" t="s">
        <v>9833</v>
      </c>
      <c r="X499" t="s">
        <v>9834</v>
      </c>
      <c r="Y499" t="s">
        <v>9835</v>
      </c>
      <c r="Z499" t="s">
        <v>9836</v>
      </c>
      <c r="AA499" t="s">
        <v>9837</v>
      </c>
      <c r="AB499" t="s">
        <v>9838</v>
      </c>
      <c r="AC499" t="s">
        <v>9839</v>
      </c>
      <c r="AD499" t="s">
        <v>9840</v>
      </c>
      <c r="AE499" t="s">
        <v>9841</v>
      </c>
      <c r="AF499" t="s">
        <v>74</v>
      </c>
      <c r="AG499">
        <v>49</v>
      </c>
      <c r="AH499">
        <v>1</v>
      </c>
      <c r="AI499">
        <v>1</v>
      </c>
      <c r="AJ499">
        <v>12</v>
      </c>
      <c r="AK499">
        <v>19</v>
      </c>
      <c r="AL499" t="s">
        <v>298</v>
      </c>
      <c r="AM499" t="s">
        <v>3791</v>
      </c>
      <c r="AN499" t="s">
        <v>3792</v>
      </c>
      <c r="AO499" t="s">
        <v>9842</v>
      </c>
      <c r="AP499" t="s">
        <v>9843</v>
      </c>
      <c r="AQ499" t="s">
        <v>74</v>
      </c>
      <c r="AR499" t="s">
        <v>9844</v>
      </c>
      <c r="AS499" t="s">
        <v>9845</v>
      </c>
      <c r="AT499" t="s">
        <v>3612</v>
      </c>
      <c r="AU499">
        <v>2023</v>
      </c>
      <c r="AV499">
        <v>195</v>
      </c>
      <c r="AW499">
        <v>7</v>
      </c>
      <c r="AX499" t="s">
        <v>74</v>
      </c>
      <c r="AY499" t="s">
        <v>74</v>
      </c>
      <c r="AZ499" t="s">
        <v>74</v>
      </c>
      <c r="BA499" t="s">
        <v>74</v>
      </c>
      <c r="BB499" t="s">
        <v>74</v>
      </c>
      <c r="BC499" t="s">
        <v>74</v>
      </c>
      <c r="BD499">
        <v>861</v>
      </c>
      <c r="BE499" t="s">
        <v>9846</v>
      </c>
      <c r="BF499" t="str">
        <f>HYPERLINK("http://dx.doi.org/10.1007/s10661-023-11435-y","http://dx.doi.org/10.1007/s10661-023-11435-y")</f>
        <v>http://dx.doi.org/10.1007/s10661-023-11435-y</v>
      </c>
      <c r="BG499" t="s">
        <v>74</v>
      </c>
      <c r="BH499" t="s">
        <v>74</v>
      </c>
      <c r="BI499">
        <v>10</v>
      </c>
      <c r="BJ499" t="s">
        <v>2050</v>
      </c>
      <c r="BK499" t="s">
        <v>104</v>
      </c>
      <c r="BL499" t="s">
        <v>1535</v>
      </c>
      <c r="BM499" t="s">
        <v>9847</v>
      </c>
      <c r="BN499">
        <v>37335378</v>
      </c>
      <c r="BO499" t="s">
        <v>74</v>
      </c>
      <c r="BP499" t="s">
        <v>74</v>
      </c>
      <c r="BQ499" t="s">
        <v>74</v>
      </c>
      <c r="BR499" t="s">
        <v>107</v>
      </c>
      <c r="BS499" t="s">
        <v>9848</v>
      </c>
      <c r="BT499" t="str">
        <f>HYPERLINK("https%3A%2F%2Fwww.webofscience.com%2Fwos%2Fwoscc%2Ffull-record%2FWOS:001015060800003","View Full Record in Web of Science")</f>
        <v>View Full Record in Web of Science</v>
      </c>
    </row>
    <row r="500" spans="1:72" x14ac:dyDescent="0.15">
      <c r="A500" t="s">
        <v>72</v>
      </c>
      <c r="B500" t="s">
        <v>9849</v>
      </c>
      <c r="C500" t="s">
        <v>74</v>
      </c>
      <c r="D500" t="s">
        <v>74</v>
      </c>
      <c r="E500" t="s">
        <v>74</v>
      </c>
      <c r="F500" t="s">
        <v>9850</v>
      </c>
      <c r="G500" t="s">
        <v>74</v>
      </c>
      <c r="H500" t="s">
        <v>74</v>
      </c>
      <c r="I500" t="s">
        <v>9851</v>
      </c>
      <c r="J500" t="s">
        <v>9852</v>
      </c>
      <c r="K500" t="s">
        <v>74</v>
      </c>
      <c r="L500" t="s">
        <v>74</v>
      </c>
      <c r="M500" t="s">
        <v>78</v>
      </c>
      <c r="N500" t="s">
        <v>79</v>
      </c>
      <c r="O500" t="s">
        <v>74</v>
      </c>
      <c r="P500" t="s">
        <v>74</v>
      </c>
      <c r="Q500" t="s">
        <v>74</v>
      </c>
      <c r="R500" t="s">
        <v>74</v>
      </c>
      <c r="S500" t="s">
        <v>74</v>
      </c>
      <c r="T500" t="s">
        <v>74</v>
      </c>
      <c r="U500" t="s">
        <v>9853</v>
      </c>
      <c r="V500" t="s">
        <v>9854</v>
      </c>
      <c r="W500" t="s">
        <v>9855</v>
      </c>
      <c r="X500" t="s">
        <v>9856</v>
      </c>
      <c r="Y500" t="s">
        <v>9857</v>
      </c>
      <c r="Z500" t="s">
        <v>9858</v>
      </c>
      <c r="AA500" t="s">
        <v>9859</v>
      </c>
      <c r="AB500" t="s">
        <v>9860</v>
      </c>
      <c r="AC500" t="s">
        <v>9861</v>
      </c>
      <c r="AD500" t="s">
        <v>9862</v>
      </c>
      <c r="AE500" t="s">
        <v>9863</v>
      </c>
      <c r="AF500" t="s">
        <v>74</v>
      </c>
      <c r="AG500">
        <v>37</v>
      </c>
      <c r="AH500">
        <v>1</v>
      </c>
      <c r="AI500">
        <v>2</v>
      </c>
      <c r="AJ500">
        <v>7</v>
      </c>
      <c r="AK500">
        <v>13</v>
      </c>
      <c r="AL500" t="s">
        <v>9864</v>
      </c>
      <c r="AM500" t="s">
        <v>9865</v>
      </c>
      <c r="AN500" t="s">
        <v>9866</v>
      </c>
      <c r="AO500" t="s">
        <v>9867</v>
      </c>
      <c r="AP500" t="s">
        <v>9868</v>
      </c>
      <c r="AQ500" t="s">
        <v>74</v>
      </c>
      <c r="AR500" t="s">
        <v>9869</v>
      </c>
      <c r="AS500" t="s">
        <v>9870</v>
      </c>
      <c r="AT500" t="s">
        <v>3612</v>
      </c>
      <c r="AU500">
        <v>2023</v>
      </c>
      <c r="AV500">
        <v>94</v>
      </c>
      <c r="AW500">
        <v>4</v>
      </c>
      <c r="AX500" t="s">
        <v>74</v>
      </c>
      <c r="AY500" t="s">
        <v>74</v>
      </c>
      <c r="AZ500" t="s">
        <v>74</v>
      </c>
      <c r="BA500" t="s">
        <v>74</v>
      </c>
      <c r="BB500">
        <v>2083</v>
      </c>
      <c r="BC500">
        <v>2092</v>
      </c>
      <c r="BD500" t="s">
        <v>74</v>
      </c>
      <c r="BE500" t="s">
        <v>9871</v>
      </c>
      <c r="BF500" t="str">
        <f>HYPERLINK("http://dx.doi.org/10.1785/0220220372","http://dx.doi.org/10.1785/0220220372")</f>
        <v>http://dx.doi.org/10.1785/0220220372</v>
      </c>
      <c r="BG500" t="s">
        <v>74</v>
      </c>
      <c r="BH500" t="s">
        <v>74</v>
      </c>
      <c r="BI500">
        <v>10</v>
      </c>
      <c r="BJ500" t="s">
        <v>597</v>
      </c>
      <c r="BK500" t="s">
        <v>104</v>
      </c>
      <c r="BL500" t="s">
        <v>597</v>
      </c>
      <c r="BM500" t="s">
        <v>9872</v>
      </c>
      <c r="BN500" t="s">
        <v>74</v>
      </c>
      <c r="BO500" t="s">
        <v>74</v>
      </c>
      <c r="BP500" t="s">
        <v>74</v>
      </c>
      <c r="BQ500" t="s">
        <v>74</v>
      </c>
      <c r="BR500" t="s">
        <v>107</v>
      </c>
      <c r="BS500" t="s">
        <v>9873</v>
      </c>
      <c r="BT500" t="str">
        <f>HYPERLINK("https%3A%2F%2Fwww.webofscience.com%2Fwos%2Fwoscc%2Ffull-record%2FWOS:001026417000005","View Full Record in Web of Science")</f>
        <v>View Full Record in Web of Science</v>
      </c>
    </row>
    <row r="501" spans="1:72" x14ac:dyDescent="0.15">
      <c r="A501" t="s">
        <v>72</v>
      </c>
      <c r="B501" t="s">
        <v>9874</v>
      </c>
      <c r="C501" t="s">
        <v>74</v>
      </c>
      <c r="D501" t="s">
        <v>74</v>
      </c>
      <c r="E501" t="s">
        <v>74</v>
      </c>
      <c r="F501" t="s">
        <v>9875</v>
      </c>
      <c r="G501" t="s">
        <v>74</v>
      </c>
      <c r="H501" t="s">
        <v>74</v>
      </c>
      <c r="I501" t="s">
        <v>9876</v>
      </c>
      <c r="J501" t="s">
        <v>1008</v>
      </c>
      <c r="K501" t="s">
        <v>74</v>
      </c>
      <c r="L501" t="s">
        <v>74</v>
      </c>
      <c r="M501" t="s">
        <v>78</v>
      </c>
      <c r="N501" t="s">
        <v>869</v>
      </c>
      <c r="O501" t="s">
        <v>74</v>
      </c>
      <c r="P501" t="s">
        <v>74</v>
      </c>
      <c r="Q501" t="s">
        <v>74</v>
      </c>
      <c r="R501" t="s">
        <v>74</v>
      </c>
      <c r="S501" t="s">
        <v>74</v>
      </c>
      <c r="T501" t="s">
        <v>9877</v>
      </c>
      <c r="U501" t="s">
        <v>9878</v>
      </c>
      <c r="V501" t="s">
        <v>9879</v>
      </c>
      <c r="W501" t="s">
        <v>9880</v>
      </c>
      <c r="X501" t="s">
        <v>9881</v>
      </c>
      <c r="Y501" t="s">
        <v>9882</v>
      </c>
      <c r="Z501" t="s">
        <v>9883</v>
      </c>
      <c r="AA501" t="s">
        <v>74</v>
      </c>
      <c r="AB501" t="s">
        <v>74</v>
      </c>
      <c r="AC501" t="s">
        <v>74</v>
      </c>
      <c r="AD501" t="s">
        <v>74</v>
      </c>
      <c r="AE501" t="s">
        <v>74</v>
      </c>
      <c r="AF501" t="s">
        <v>74</v>
      </c>
      <c r="AG501">
        <v>36</v>
      </c>
      <c r="AH501">
        <v>0</v>
      </c>
      <c r="AI501">
        <v>0</v>
      </c>
      <c r="AJ501">
        <v>3</v>
      </c>
      <c r="AK501">
        <v>4</v>
      </c>
      <c r="AL501" t="s">
        <v>588</v>
      </c>
      <c r="AM501" t="s">
        <v>589</v>
      </c>
      <c r="AN501" t="s">
        <v>590</v>
      </c>
      <c r="AO501" t="s">
        <v>1020</v>
      </c>
      <c r="AP501" t="s">
        <v>1021</v>
      </c>
      <c r="AQ501" t="s">
        <v>74</v>
      </c>
      <c r="AR501" t="s">
        <v>1022</v>
      </c>
      <c r="AS501" t="s">
        <v>1023</v>
      </c>
      <c r="AT501" t="s">
        <v>3612</v>
      </c>
      <c r="AU501">
        <v>2023</v>
      </c>
      <c r="AV501">
        <v>128</v>
      </c>
      <c r="AW501">
        <v>7</v>
      </c>
      <c r="AX501" t="s">
        <v>74</v>
      </c>
      <c r="AY501" t="s">
        <v>74</v>
      </c>
      <c r="AZ501" t="s">
        <v>74</v>
      </c>
      <c r="BA501" t="s">
        <v>74</v>
      </c>
      <c r="BB501" t="s">
        <v>74</v>
      </c>
      <c r="BC501" t="s">
        <v>74</v>
      </c>
      <c r="BD501" t="s">
        <v>9884</v>
      </c>
      <c r="BE501" t="s">
        <v>9885</v>
      </c>
      <c r="BF501" t="str">
        <f>HYPERLINK("http://dx.doi.org/10.1029/2023JC019908","http://dx.doi.org/10.1029/2023JC019908")</f>
        <v>http://dx.doi.org/10.1029/2023JC019908</v>
      </c>
      <c r="BG501" t="s">
        <v>74</v>
      </c>
      <c r="BH501" t="s">
        <v>74</v>
      </c>
      <c r="BI501">
        <v>7</v>
      </c>
      <c r="BJ501" t="s">
        <v>306</v>
      </c>
      <c r="BK501" t="s">
        <v>104</v>
      </c>
      <c r="BL501" t="s">
        <v>306</v>
      </c>
      <c r="BM501" t="s">
        <v>9886</v>
      </c>
      <c r="BN501" t="s">
        <v>74</v>
      </c>
      <c r="BO501" t="s">
        <v>133</v>
      </c>
      <c r="BP501" t="s">
        <v>74</v>
      </c>
      <c r="BQ501" t="s">
        <v>74</v>
      </c>
      <c r="BR501" t="s">
        <v>107</v>
      </c>
      <c r="BS501" t="s">
        <v>9887</v>
      </c>
      <c r="BT501" t="str">
        <f>HYPERLINK("https%3A%2F%2Fwww.webofscience.com%2Fwos%2Fwoscc%2Ffull-record%2FWOS:001024167200001","View Full Record in Web of Science")</f>
        <v>View Full Record in Web of Science</v>
      </c>
    </row>
    <row r="502" spans="1:72" x14ac:dyDescent="0.15">
      <c r="A502" t="s">
        <v>72</v>
      </c>
      <c r="B502" t="s">
        <v>9888</v>
      </c>
      <c r="C502" t="s">
        <v>74</v>
      </c>
      <c r="D502" t="s">
        <v>74</v>
      </c>
      <c r="E502" t="s">
        <v>74</v>
      </c>
      <c r="F502" t="s">
        <v>9889</v>
      </c>
      <c r="G502" t="s">
        <v>74</v>
      </c>
      <c r="H502" t="s">
        <v>74</v>
      </c>
      <c r="I502" t="s">
        <v>9890</v>
      </c>
      <c r="J502" t="s">
        <v>1490</v>
      </c>
      <c r="K502" t="s">
        <v>74</v>
      </c>
      <c r="L502" t="s">
        <v>74</v>
      </c>
      <c r="M502" t="s">
        <v>78</v>
      </c>
      <c r="N502" t="s">
        <v>79</v>
      </c>
      <c r="O502" t="s">
        <v>74</v>
      </c>
      <c r="P502" t="s">
        <v>74</v>
      </c>
      <c r="Q502" t="s">
        <v>74</v>
      </c>
      <c r="R502" t="s">
        <v>74</v>
      </c>
      <c r="S502" t="s">
        <v>74</v>
      </c>
      <c r="T502" t="s">
        <v>9891</v>
      </c>
      <c r="U502" t="s">
        <v>9892</v>
      </c>
      <c r="V502" t="s">
        <v>9893</v>
      </c>
      <c r="W502" t="s">
        <v>9894</v>
      </c>
      <c r="X502" t="s">
        <v>9895</v>
      </c>
      <c r="Y502" t="s">
        <v>9896</v>
      </c>
      <c r="Z502" t="s">
        <v>9897</v>
      </c>
      <c r="AA502" t="s">
        <v>74</v>
      </c>
      <c r="AB502" t="s">
        <v>9898</v>
      </c>
      <c r="AC502" t="s">
        <v>9899</v>
      </c>
      <c r="AD502" t="s">
        <v>9900</v>
      </c>
      <c r="AE502" t="s">
        <v>9901</v>
      </c>
      <c r="AF502" t="s">
        <v>74</v>
      </c>
      <c r="AG502">
        <v>74</v>
      </c>
      <c r="AH502">
        <v>0</v>
      </c>
      <c r="AI502">
        <v>0</v>
      </c>
      <c r="AJ502">
        <v>1</v>
      </c>
      <c r="AK502">
        <v>4</v>
      </c>
      <c r="AL502" t="s">
        <v>588</v>
      </c>
      <c r="AM502" t="s">
        <v>589</v>
      </c>
      <c r="AN502" t="s">
        <v>590</v>
      </c>
      <c r="AO502" t="s">
        <v>1503</v>
      </c>
      <c r="AP502" t="s">
        <v>1504</v>
      </c>
      <c r="AQ502" t="s">
        <v>74</v>
      </c>
      <c r="AR502" t="s">
        <v>1505</v>
      </c>
      <c r="AS502" t="s">
        <v>1506</v>
      </c>
      <c r="AT502" t="s">
        <v>3612</v>
      </c>
      <c r="AU502">
        <v>2023</v>
      </c>
      <c r="AV502">
        <v>128</v>
      </c>
      <c r="AW502">
        <v>7</v>
      </c>
      <c r="AX502" t="s">
        <v>74</v>
      </c>
      <c r="AY502" t="s">
        <v>74</v>
      </c>
      <c r="AZ502" t="s">
        <v>74</v>
      </c>
      <c r="BA502" t="s">
        <v>74</v>
      </c>
      <c r="BB502" t="s">
        <v>74</v>
      </c>
      <c r="BC502" t="s">
        <v>74</v>
      </c>
      <c r="BD502" t="s">
        <v>9902</v>
      </c>
      <c r="BE502" t="s">
        <v>9903</v>
      </c>
      <c r="BF502" t="str">
        <f>HYPERLINK("http://dx.doi.org/10.1029/2023JF007062","http://dx.doi.org/10.1029/2023JF007062")</f>
        <v>http://dx.doi.org/10.1029/2023JF007062</v>
      </c>
      <c r="BG502" t="s">
        <v>74</v>
      </c>
      <c r="BH502" t="s">
        <v>74</v>
      </c>
      <c r="BI502">
        <v>17</v>
      </c>
      <c r="BJ502" t="s">
        <v>155</v>
      </c>
      <c r="BK502" t="s">
        <v>104</v>
      </c>
      <c r="BL502" t="s">
        <v>156</v>
      </c>
      <c r="BM502" t="s">
        <v>9904</v>
      </c>
      <c r="BN502" t="s">
        <v>74</v>
      </c>
      <c r="BO502" t="s">
        <v>1217</v>
      </c>
      <c r="BP502" t="s">
        <v>74</v>
      </c>
      <c r="BQ502" t="s">
        <v>74</v>
      </c>
      <c r="BR502" t="s">
        <v>107</v>
      </c>
      <c r="BS502" t="s">
        <v>9905</v>
      </c>
      <c r="BT502" t="str">
        <f>HYPERLINK("https%3A%2F%2Fwww.webofscience.com%2Fwos%2Fwoscc%2Ffull-record%2FWOS:001025519300001","View Full Record in Web of Science")</f>
        <v>View Full Record in Web of Science</v>
      </c>
    </row>
    <row r="503" spans="1:72" x14ac:dyDescent="0.15">
      <c r="A503" t="s">
        <v>72</v>
      </c>
      <c r="B503" t="s">
        <v>9906</v>
      </c>
      <c r="C503" t="s">
        <v>74</v>
      </c>
      <c r="D503" t="s">
        <v>74</v>
      </c>
      <c r="E503" t="s">
        <v>74</v>
      </c>
      <c r="F503" t="s">
        <v>9907</v>
      </c>
      <c r="G503" t="s">
        <v>74</v>
      </c>
      <c r="H503" t="s">
        <v>74</v>
      </c>
      <c r="I503" t="s">
        <v>9908</v>
      </c>
      <c r="J503" t="s">
        <v>7511</v>
      </c>
      <c r="K503" t="s">
        <v>74</v>
      </c>
      <c r="L503" t="s">
        <v>74</v>
      </c>
      <c r="M503" t="s">
        <v>78</v>
      </c>
      <c r="N503" t="s">
        <v>79</v>
      </c>
      <c r="O503" t="s">
        <v>74</v>
      </c>
      <c r="P503" t="s">
        <v>74</v>
      </c>
      <c r="Q503" t="s">
        <v>74</v>
      </c>
      <c r="R503" t="s">
        <v>74</v>
      </c>
      <c r="S503" t="s">
        <v>74</v>
      </c>
      <c r="T503" t="s">
        <v>9909</v>
      </c>
      <c r="U503" t="s">
        <v>9910</v>
      </c>
      <c r="V503" t="s">
        <v>9911</v>
      </c>
      <c r="W503" t="s">
        <v>9912</v>
      </c>
      <c r="X503" t="s">
        <v>9913</v>
      </c>
      <c r="Y503" t="s">
        <v>9914</v>
      </c>
      <c r="Z503" t="s">
        <v>9915</v>
      </c>
      <c r="AA503" t="s">
        <v>9916</v>
      </c>
      <c r="AB503" t="s">
        <v>9917</v>
      </c>
      <c r="AC503" t="s">
        <v>9918</v>
      </c>
      <c r="AD503" t="s">
        <v>9919</v>
      </c>
      <c r="AE503" t="s">
        <v>9920</v>
      </c>
      <c r="AF503" t="s">
        <v>74</v>
      </c>
      <c r="AG503">
        <v>48</v>
      </c>
      <c r="AH503">
        <v>1</v>
      </c>
      <c r="AI503">
        <v>1</v>
      </c>
      <c r="AJ503">
        <v>0</v>
      </c>
      <c r="AK503">
        <v>2</v>
      </c>
      <c r="AL503" t="s">
        <v>298</v>
      </c>
      <c r="AM503" t="s">
        <v>3791</v>
      </c>
      <c r="AN503" t="s">
        <v>3792</v>
      </c>
      <c r="AO503" t="s">
        <v>7517</v>
      </c>
      <c r="AP503" t="s">
        <v>7518</v>
      </c>
      <c r="AQ503" t="s">
        <v>74</v>
      </c>
      <c r="AR503" t="s">
        <v>7519</v>
      </c>
      <c r="AS503" t="s">
        <v>7520</v>
      </c>
      <c r="AT503" t="s">
        <v>97</v>
      </c>
      <c r="AU503">
        <v>2023</v>
      </c>
      <c r="AV503">
        <v>28</v>
      </c>
      <c r="AW503">
        <v>5</v>
      </c>
      <c r="AX503" t="s">
        <v>74</v>
      </c>
      <c r="AY503" t="s">
        <v>74</v>
      </c>
      <c r="AZ503" t="s">
        <v>99</v>
      </c>
      <c r="BA503" t="s">
        <v>74</v>
      </c>
      <c r="BB503">
        <v>541</v>
      </c>
      <c r="BC503">
        <v>549</v>
      </c>
      <c r="BD503" t="s">
        <v>74</v>
      </c>
      <c r="BE503" t="s">
        <v>9921</v>
      </c>
      <c r="BF503" t="str">
        <f>HYPERLINK("http://dx.doi.org/10.1007/s12192-023-01359-4","http://dx.doi.org/10.1007/s12192-023-01359-4")</f>
        <v>http://dx.doi.org/10.1007/s12192-023-01359-4</v>
      </c>
      <c r="BG503" t="s">
        <v>74</v>
      </c>
      <c r="BH503" t="s">
        <v>6115</v>
      </c>
      <c r="BI503">
        <v>9</v>
      </c>
      <c r="BJ503" t="s">
        <v>7522</v>
      </c>
      <c r="BK503" t="s">
        <v>104</v>
      </c>
      <c r="BL503" t="s">
        <v>7522</v>
      </c>
      <c r="BM503" t="s">
        <v>7523</v>
      </c>
      <c r="BN503">
        <v>37392307</v>
      </c>
      <c r="BO503" t="s">
        <v>9804</v>
      </c>
      <c r="BP503" t="s">
        <v>74</v>
      </c>
      <c r="BQ503" t="s">
        <v>74</v>
      </c>
      <c r="BR503" t="s">
        <v>107</v>
      </c>
      <c r="BS503" t="s">
        <v>9922</v>
      </c>
      <c r="BT503" t="str">
        <f>HYPERLINK("https%3A%2F%2Fwww.webofscience.com%2Fwos%2Fwoscc%2Ffull-record%2FWOS:001020107000001","View Full Record in Web of Science")</f>
        <v>View Full Record in Web of Science</v>
      </c>
    </row>
    <row r="504" spans="1:72" x14ac:dyDescent="0.15">
      <c r="A504" t="s">
        <v>72</v>
      </c>
      <c r="B504" t="s">
        <v>9923</v>
      </c>
      <c r="C504" t="s">
        <v>74</v>
      </c>
      <c r="D504" t="s">
        <v>74</v>
      </c>
      <c r="E504" t="s">
        <v>74</v>
      </c>
      <c r="F504" t="s">
        <v>9924</v>
      </c>
      <c r="G504" t="s">
        <v>74</v>
      </c>
      <c r="H504" t="s">
        <v>74</v>
      </c>
      <c r="I504" t="s">
        <v>9925</v>
      </c>
      <c r="J504" t="s">
        <v>9926</v>
      </c>
      <c r="K504" t="s">
        <v>74</v>
      </c>
      <c r="L504" t="s">
        <v>74</v>
      </c>
      <c r="M504" t="s">
        <v>78</v>
      </c>
      <c r="N504" t="s">
        <v>79</v>
      </c>
      <c r="O504" t="s">
        <v>74</v>
      </c>
      <c r="P504" t="s">
        <v>74</v>
      </c>
      <c r="Q504" t="s">
        <v>74</v>
      </c>
      <c r="R504" t="s">
        <v>74</v>
      </c>
      <c r="S504" t="s">
        <v>74</v>
      </c>
      <c r="T504" t="s">
        <v>9927</v>
      </c>
      <c r="U504" t="s">
        <v>74</v>
      </c>
      <c r="V504" t="s">
        <v>9928</v>
      </c>
      <c r="W504" t="s">
        <v>9929</v>
      </c>
      <c r="X504" t="s">
        <v>9930</v>
      </c>
      <c r="Y504" t="s">
        <v>9931</v>
      </c>
      <c r="Z504" t="s">
        <v>9932</v>
      </c>
      <c r="AA504" t="s">
        <v>9933</v>
      </c>
      <c r="AB504" t="s">
        <v>74</v>
      </c>
      <c r="AC504" t="s">
        <v>9934</v>
      </c>
      <c r="AD504" t="s">
        <v>9935</v>
      </c>
      <c r="AE504" t="s">
        <v>9936</v>
      </c>
      <c r="AF504" t="s">
        <v>74</v>
      </c>
      <c r="AG504">
        <v>34</v>
      </c>
      <c r="AH504">
        <v>0</v>
      </c>
      <c r="AI504">
        <v>0</v>
      </c>
      <c r="AJ504">
        <v>9</v>
      </c>
      <c r="AK504">
        <v>14</v>
      </c>
      <c r="AL504" t="s">
        <v>1477</v>
      </c>
      <c r="AM504" t="s">
        <v>1478</v>
      </c>
      <c r="AN504" t="s">
        <v>1479</v>
      </c>
      <c r="AO504" t="s">
        <v>9937</v>
      </c>
      <c r="AP504" t="s">
        <v>9938</v>
      </c>
      <c r="AQ504" t="s">
        <v>74</v>
      </c>
      <c r="AR504" t="s">
        <v>9939</v>
      </c>
      <c r="AS504" t="s">
        <v>9940</v>
      </c>
      <c r="AT504" t="s">
        <v>3612</v>
      </c>
      <c r="AU504">
        <v>2023</v>
      </c>
      <c r="AV504">
        <v>27</v>
      </c>
      <c r="AW504">
        <v>3</v>
      </c>
      <c r="AX504" t="s">
        <v>74</v>
      </c>
      <c r="AY504" t="s">
        <v>74</v>
      </c>
      <c r="AZ504" t="s">
        <v>74</v>
      </c>
      <c r="BA504" t="s">
        <v>74</v>
      </c>
      <c r="BB504" t="s">
        <v>74</v>
      </c>
      <c r="BC504" t="s">
        <v>74</v>
      </c>
      <c r="BD504">
        <v>156</v>
      </c>
      <c r="BE504" t="s">
        <v>9941</v>
      </c>
      <c r="BF504" t="str">
        <f>HYPERLINK("http://dx.doi.org/10.1007/s10291-023-01505-6","http://dx.doi.org/10.1007/s10291-023-01505-6")</f>
        <v>http://dx.doi.org/10.1007/s10291-023-01505-6</v>
      </c>
      <c r="BG504" t="s">
        <v>74</v>
      </c>
      <c r="BH504" t="s">
        <v>74</v>
      </c>
      <c r="BI504">
        <v>14</v>
      </c>
      <c r="BJ504" t="s">
        <v>5246</v>
      </c>
      <c r="BK504" t="s">
        <v>104</v>
      </c>
      <c r="BL504" t="s">
        <v>5246</v>
      </c>
      <c r="BM504" t="s">
        <v>9942</v>
      </c>
      <c r="BN504" t="s">
        <v>74</v>
      </c>
      <c r="BO504" t="s">
        <v>74</v>
      </c>
      <c r="BP504" t="s">
        <v>74</v>
      </c>
      <c r="BQ504" t="s">
        <v>74</v>
      </c>
      <c r="BR504" t="s">
        <v>107</v>
      </c>
      <c r="BS504" t="s">
        <v>9943</v>
      </c>
      <c r="BT504" t="str">
        <f>HYPERLINK("https%3A%2F%2Fwww.webofscience.com%2Fwos%2Fwoscc%2Ffull-record%2FWOS:001021207600001","View Full Record in Web of Science")</f>
        <v>View Full Record in Web of Science</v>
      </c>
    </row>
    <row r="505" spans="1:72" x14ac:dyDescent="0.15">
      <c r="A505" t="s">
        <v>72</v>
      </c>
      <c r="B505" t="s">
        <v>9944</v>
      </c>
      <c r="C505" t="s">
        <v>74</v>
      </c>
      <c r="D505" t="s">
        <v>74</v>
      </c>
      <c r="E505" t="s">
        <v>74</v>
      </c>
      <c r="F505" t="s">
        <v>9945</v>
      </c>
      <c r="G505" t="s">
        <v>74</v>
      </c>
      <c r="H505" t="s">
        <v>74</v>
      </c>
      <c r="I505" t="s">
        <v>9946</v>
      </c>
      <c r="J505" t="s">
        <v>1490</v>
      </c>
      <c r="K505" t="s">
        <v>74</v>
      </c>
      <c r="L505" t="s">
        <v>74</v>
      </c>
      <c r="M505" t="s">
        <v>78</v>
      </c>
      <c r="N505" t="s">
        <v>79</v>
      </c>
      <c r="O505" t="s">
        <v>74</v>
      </c>
      <c r="P505" t="s">
        <v>74</v>
      </c>
      <c r="Q505" t="s">
        <v>74</v>
      </c>
      <c r="R505" t="s">
        <v>74</v>
      </c>
      <c r="S505" t="s">
        <v>74</v>
      </c>
      <c r="T505" t="s">
        <v>74</v>
      </c>
      <c r="U505" t="s">
        <v>9947</v>
      </c>
      <c r="V505" t="s">
        <v>9948</v>
      </c>
      <c r="W505" t="s">
        <v>9949</v>
      </c>
      <c r="X505" t="s">
        <v>9950</v>
      </c>
      <c r="Y505" t="s">
        <v>9951</v>
      </c>
      <c r="Z505" t="s">
        <v>9952</v>
      </c>
      <c r="AA505" t="s">
        <v>9953</v>
      </c>
      <c r="AB505" t="s">
        <v>9954</v>
      </c>
      <c r="AC505" t="s">
        <v>9955</v>
      </c>
      <c r="AD505" t="s">
        <v>9956</v>
      </c>
      <c r="AE505" t="s">
        <v>9957</v>
      </c>
      <c r="AF505" t="s">
        <v>74</v>
      </c>
      <c r="AG505">
        <v>45</v>
      </c>
      <c r="AH505">
        <v>1</v>
      </c>
      <c r="AI505">
        <v>1</v>
      </c>
      <c r="AJ505">
        <v>0</v>
      </c>
      <c r="AK505">
        <v>1</v>
      </c>
      <c r="AL505" t="s">
        <v>588</v>
      </c>
      <c r="AM505" t="s">
        <v>589</v>
      </c>
      <c r="AN505" t="s">
        <v>590</v>
      </c>
      <c r="AO505" t="s">
        <v>1503</v>
      </c>
      <c r="AP505" t="s">
        <v>1504</v>
      </c>
      <c r="AQ505" t="s">
        <v>74</v>
      </c>
      <c r="AR505" t="s">
        <v>1505</v>
      </c>
      <c r="AS505" t="s">
        <v>1506</v>
      </c>
      <c r="AT505" t="s">
        <v>3612</v>
      </c>
      <c r="AU505">
        <v>2023</v>
      </c>
      <c r="AV505">
        <v>128</v>
      </c>
      <c r="AW505">
        <v>7</v>
      </c>
      <c r="AX505" t="s">
        <v>74</v>
      </c>
      <c r="AY505" t="s">
        <v>74</v>
      </c>
      <c r="AZ505" t="s">
        <v>74</v>
      </c>
      <c r="BA505" t="s">
        <v>74</v>
      </c>
      <c r="BB505" t="s">
        <v>74</v>
      </c>
      <c r="BC505" t="s">
        <v>74</v>
      </c>
      <c r="BD505" t="s">
        <v>9958</v>
      </c>
      <c r="BE505" t="s">
        <v>9959</v>
      </c>
      <c r="BF505" t="str">
        <f>HYPERLINK("http://dx.doi.org/10.1029/2023JF007172","http://dx.doi.org/10.1029/2023JF007172")</f>
        <v>http://dx.doi.org/10.1029/2023JF007172</v>
      </c>
      <c r="BG505" t="s">
        <v>74</v>
      </c>
      <c r="BH505" t="s">
        <v>74</v>
      </c>
      <c r="BI505">
        <v>15</v>
      </c>
      <c r="BJ505" t="s">
        <v>155</v>
      </c>
      <c r="BK505" t="s">
        <v>104</v>
      </c>
      <c r="BL505" t="s">
        <v>156</v>
      </c>
      <c r="BM505" t="s">
        <v>9960</v>
      </c>
      <c r="BN505" t="s">
        <v>74</v>
      </c>
      <c r="BO505" t="s">
        <v>549</v>
      </c>
      <c r="BP505" t="s">
        <v>74</v>
      </c>
      <c r="BQ505" t="s">
        <v>74</v>
      </c>
      <c r="BR505" t="s">
        <v>107</v>
      </c>
      <c r="BS505" t="s">
        <v>9961</v>
      </c>
      <c r="BT505" t="str">
        <f>HYPERLINK("https%3A%2F%2Fwww.webofscience.com%2Fwos%2Fwoscc%2Ffull-record%2FWOS:001022298200001","View Full Record in Web of Science")</f>
        <v>View Full Record in Web of Science</v>
      </c>
    </row>
    <row r="506" spans="1:72" x14ac:dyDescent="0.15">
      <c r="A506" t="s">
        <v>72</v>
      </c>
      <c r="B506" t="s">
        <v>9962</v>
      </c>
      <c r="C506" t="s">
        <v>74</v>
      </c>
      <c r="D506" t="s">
        <v>74</v>
      </c>
      <c r="E506" t="s">
        <v>74</v>
      </c>
      <c r="F506" t="s">
        <v>9963</v>
      </c>
      <c r="G506" t="s">
        <v>74</v>
      </c>
      <c r="H506" t="s">
        <v>74</v>
      </c>
      <c r="I506" t="s">
        <v>9964</v>
      </c>
      <c r="J506" t="s">
        <v>9965</v>
      </c>
      <c r="K506" t="s">
        <v>74</v>
      </c>
      <c r="L506" t="s">
        <v>74</v>
      </c>
      <c r="M506" t="s">
        <v>78</v>
      </c>
      <c r="N506" t="s">
        <v>79</v>
      </c>
      <c r="O506" t="s">
        <v>74</v>
      </c>
      <c r="P506" t="s">
        <v>74</v>
      </c>
      <c r="Q506" t="s">
        <v>74</v>
      </c>
      <c r="R506" t="s">
        <v>74</v>
      </c>
      <c r="S506" t="s">
        <v>74</v>
      </c>
      <c r="T506" t="s">
        <v>9966</v>
      </c>
      <c r="U506" t="s">
        <v>9967</v>
      </c>
      <c r="V506" t="s">
        <v>9968</v>
      </c>
      <c r="W506" t="s">
        <v>9969</v>
      </c>
      <c r="X506" t="s">
        <v>74</v>
      </c>
      <c r="Y506" t="s">
        <v>9970</v>
      </c>
      <c r="Z506" t="s">
        <v>9971</v>
      </c>
      <c r="AA506" t="s">
        <v>74</v>
      </c>
      <c r="AB506" t="s">
        <v>9972</v>
      </c>
      <c r="AC506" t="s">
        <v>9973</v>
      </c>
      <c r="AD506" t="s">
        <v>9974</v>
      </c>
      <c r="AE506" t="s">
        <v>9975</v>
      </c>
      <c r="AF506" t="s">
        <v>74</v>
      </c>
      <c r="AG506">
        <v>72</v>
      </c>
      <c r="AH506">
        <v>1</v>
      </c>
      <c r="AI506">
        <v>1</v>
      </c>
      <c r="AJ506">
        <v>8</v>
      </c>
      <c r="AK506">
        <v>12</v>
      </c>
      <c r="AL506" t="s">
        <v>9976</v>
      </c>
      <c r="AM506" t="s">
        <v>9977</v>
      </c>
      <c r="AN506" t="s">
        <v>9978</v>
      </c>
      <c r="AO506" t="s">
        <v>9979</v>
      </c>
      <c r="AP506" t="s">
        <v>9980</v>
      </c>
      <c r="AQ506" t="s">
        <v>74</v>
      </c>
      <c r="AR506" t="s">
        <v>9965</v>
      </c>
      <c r="AS506" t="s">
        <v>9965</v>
      </c>
      <c r="AT506" t="s">
        <v>3612</v>
      </c>
      <c r="AU506">
        <v>2023</v>
      </c>
      <c r="AV506">
        <v>29</v>
      </c>
      <c r="AW506">
        <v>7</v>
      </c>
      <c r="AX506" t="s">
        <v>74</v>
      </c>
      <c r="AY506" t="s">
        <v>74</v>
      </c>
      <c r="AZ506" t="s">
        <v>74</v>
      </c>
      <c r="BA506" t="s">
        <v>74</v>
      </c>
      <c r="BB506">
        <v>1051</v>
      </c>
      <c r="BC506">
        <v>1068</v>
      </c>
      <c r="BD506" t="s">
        <v>74</v>
      </c>
      <c r="BE506" t="s">
        <v>9981</v>
      </c>
      <c r="BF506" t="str">
        <f>HYPERLINK("http://dx.doi.org/10.1261/rna.079599.123","http://dx.doi.org/10.1261/rna.079599.123")</f>
        <v>http://dx.doi.org/10.1261/rna.079599.123</v>
      </c>
      <c r="BG506" t="s">
        <v>74</v>
      </c>
      <c r="BH506" t="s">
        <v>74</v>
      </c>
      <c r="BI506">
        <v>18</v>
      </c>
      <c r="BJ506" t="s">
        <v>179</v>
      </c>
      <c r="BK506" t="s">
        <v>104</v>
      </c>
      <c r="BL506" t="s">
        <v>179</v>
      </c>
      <c r="BM506" t="s">
        <v>9982</v>
      </c>
      <c r="BN506">
        <v>37041031</v>
      </c>
      <c r="BO506" t="s">
        <v>74</v>
      </c>
      <c r="BP506" t="s">
        <v>74</v>
      </c>
      <c r="BQ506" t="s">
        <v>74</v>
      </c>
      <c r="BR506" t="s">
        <v>107</v>
      </c>
      <c r="BS506" t="s">
        <v>9983</v>
      </c>
      <c r="BT506" t="str">
        <f>HYPERLINK("https%3A%2F%2Fwww.webofscience.com%2Fwos%2Fwoscc%2Ffull-record%2FWOS:001009216100008","View Full Record in Web of Science")</f>
        <v>View Full Record in Web of Science</v>
      </c>
    </row>
    <row r="507" spans="1:72" x14ac:dyDescent="0.15">
      <c r="A507" t="s">
        <v>72</v>
      </c>
      <c r="B507" t="s">
        <v>9984</v>
      </c>
      <c r="C507" t="s">
        <v>74</v>
      </c>
      <c r="D507" t="s">
        <v>74</v>
      </c>
      <c r="E507" t="s">
        <v>74</v>
      </c>
      <c r="F507" t="s">
        <v>9985</v>
      </c>
      <c r="G507" t="s">
        <v>74</v>
      </c>
      <c r="H507" t="s">
        <v>74</v>
      </c>
      <c r="I507" t="s">
        <v>9986</v>
      </c>
      <c r="J507" t="s">
        <v>211</v>
      </c>
      <c r="K507" t="s">
        <v>74</v>
      </c>
      <c r="L507" t="s">
        <v>74</v>
      </c>
      <c r="M507" t="s">
        <v>78</v>
      </c>
      <c r="N507" t="s">
        <v>79</v>
      </c>
      <c r="O507" t="s">
        <v>74</v>
      </c>
      <c r="P507" t="s">
        <v>74</v>
      </c>
      <c r="Q507" t="s">
        <v>74</v>
      </c>
      <c r="R507" t="s">
        <v>74</v>
      </c>
      <c r="S507" t="s">
        <v>74</v>
      </c>
      <c r="T507" t="s">
        <v>9987</v>
      </c>
      <c r="U507" t="s">
        <v>9988</v>
      </c>
      <c r="V507" t="s">
        <v>9989</v>
      </c>
      <c r="W507" t="s">
        <v>9990</v>
      </c>
      <c r="X507" t="s">
        <v>9991</v>
      </c>
      <c r="Y507" t="s">
        <v>9992</v>
      </c>
      <c r="Z507" t="s">
        <v>9993</v>
      </c>
      <c r="AA507" t="s">
        <v>9994</v>
      </c>
      <c r="AB507" t="s">
        <v>9995</v>
      </c>
      <c r="AC507" t="s">
        <v>9996</v>
      </c>
      <c r="AD507" t="s">
        <v>9997</v>
      </c>
      <c r="AE507" t="s">
        <v>9998</v>
      </c>
      <c r="AF507" t="s">
        <v>74</v>
      </c>
      <c r="AG507">
        <v>57</v>
      </c>
      <c r="AH507">
        <v>1</v>
      </c>
      <c r="AI507">
        <v>1</v>
      </c>
      <c r="AJ507">
        <v>10</v>
      </c>
      <c r="AK507">
        <v>17</v>
      </c>
      <c r="AL507" t="s">
        <v>90</v>
      </c>
      <c r="AM507" t="s">
        <v>91</v>
      </c>
      <c r="AN507" t="s">
        <v>92</v>
      </c>
      <c r="AO507" t="s">
        <v>222</v>
      </c>
      <c r="AP507" t="s">
        <v>223</v>
      </c>
      <c r="AQ507" t="s">
        <v>74</v>
      </c>
      <c r="AR507" t="s">
        <v>224</v>
      </c>
      <c r="AS507" t="s">
        <v>225</v>
      </c>
      <c r="AT507" t="s">
        <v>3612</v>
      </c>
      <c r="AU507">
        <v>2023</v>
      </c>
      <c r="AV507">
        <v>36</v>
      </c>
      <c r="AW507">
        <v>14</v>
      </c>
      <c r="AX507" t="s">
        <v>74</v>
      </c>
      <c r="AY507" t="s">
        <v>74</v>
      </c>
      <c r="AZ507" t="s">
        <v>74</v>
      </c>
      <c r="BA507" t="s">
        <v>74</v>
      </c>
      <c r="BB507">
        <v>4755</v>
      </c>
      <c r="BC507">
        <v>4775</v>
      </c>
      <c r="BD507" t="s">
        <v>74</v>
      </c>
      <c r="BE507" t="s">
        <v>9999</v>
      </c>
      <c r="BF507" t="str">
        <f>HYPERLINK("http://dx.doi.org/10.1175/JCLI-D-22-0577.1","http://dx.doi.org/10.1175/JCLI-D-22-0577.1")</f>
        <v>http://dx.doi.org/10.1175/JCLI-D-22-0577.1</v>
      </c>
      <c r="BG507" t="s">
        <v>74</v>
      </c>
      <c r="BH507" t="s">
        <v>74</v>
      </c>
      <c r="BI507">
        <v>21</v>
      </c>
      <c r="BJ507" t="s">
        <v>103</v>
      </c>
      <c r="BK507" t="s">
        <v>104</v>
      </c>
      <c r="BL507" t="s">
        <v>103</v>
      </c>
      <c r="BM507" t="s">
        <v>10000</v>
      </c>
      <c r="BN507" t="s">
        <v>74</v>
      </c>
      <c r="BO507" t="s">
        <v>74</v>
      </c>
      <c r="BP507" t="s">
        <v>74</v>
      </c>
      <c r="BQ507" t="s">
        <v>74</v>
      </c>
      <c r="BR507" t="s">
        <v>107</v>
      </c>
      <c r="BS507" t="s">
        <v>10001</v>
      </c>
      <c r="BT507" t="str">
        <f>HYPERLINK("https%3A%2F%2Fwww.webofscience.com%2Fwos%2Fwoscc%2Ffull-record%2FWOS:001016521100001","View Full Record in Web of Science")</f>
        <v>View Full Record in Web of Science</v>
      </c>
    </row>
    <row r="508" spans="1:72" x14ac:dyDescent="0.15">
      <c r="A508" t="s">
        <v>72</v>
      </c>
      <c r="B508" t="s">
        <v>10002</v>
      </c>
      <c r="C508" t="s">
        <v>74</v>
      </c>
      <c r="D508" t="s">
        <v>74</v>
      </c>
      <c r="E508" t="s">
        <v>74</v>
      </c>
      <c r="F508" t="s">
        <v>10003</v>
      </c>
      <c r="G508" t="s">
        <v>74</v>
      </c>
      <c r="H508" t="s">
        <v>74</v>
      </c>
      <c r="I508" t="s">
        <v>10004</v>
      </c>
      <c r="J508" t="s">
        <v>9926</v>
      </c>
      <c r="K508" t="s">
        <v>74</v>
      </c>
      <c r="L508" t="s">
        <v>74</v>
      </c>
      <c r="M508" t="s">
        <v>78</v>
      </c>
      <c r="N508" t="s">
        <v>79</v>
      </c>
      <c r="O508" t="s">
        <v>74</v>
      </c>
      <c r="P508" t="s">
        <v>74</v>
      </c>
      <c r="Q508" t="s">
        <v>74</v>
      </c>
      <c r="R508" t="s">
        <v>74</v>
      </c>
      <c r="S508" t="s">
        <v>74</v>
      </c>
      <c r="T508" t="s">
        <v>10005</v>
      </c>
      <c r="U508" t="s">
        <v>10006</v>
      </c>
      <c r="V508" t="s">
        <v>10007</v>
      </c>
      <c r="W508" t="s">
        <v>10008</v>
      </c>
      <c r="X508" t="s">
        <v>10009</v>
      </c>
      <c r="Y508" t="s">
        <v>10010</v>
      </c>
      <c r="Z508" t="s">
        <v>10011</v>
      </c>
      <c r="AA508" t="s">
        <v>9933</v>
      </c>
      <c r="AB508" t="s">
        <v>74</v>
      </c>
      <c r="AC508" t="s">
        <v>10012</v>
      </c>
      <c r="AD508" t="s">
        <v>10013</v>
      </c>
      <c r="AE508" t="s">
        <v>10014</v>
      </c>
      <c r="AF508" t="s">
        <v>74</v>
      </c>
      <c r="AG508">
        <v>35</v>
      </c>
      <c r="AH508">
        <v>0</v>
      </c>
      <c r="AI508">
        <v>0</v>
      </c>
      <c r="AJ508">
        <v>6</v>
      </c>
      <c r="AK508">
        <v>11</v>
      </c>
      <c r="AL508" t="s">
        <v>1477</v>
      </c>
      <c r="AM508" t="s">
        <v>1478</v>
      </c>
      <c r="AN508" t="s">
        <v>1479</v>
      </c>
      <c r="AO508" t="s">
        <v>9937</v>
      </c>
      <c r="AP508" t="s">
        <v>9938</v>
      </c>
      <c r="AQ508" t="s">
        <v>74</v>
      </c>
      <c r="AR508" t="s">
        <v>9939</v>
      </c>
      <c r="AS508" t="s">
        <v>9940</v>
      </c>
      <c r="AT508" t="s">
        <v>3612</v>
      </c>
      <c r="AU508">
        <v>2023</v>
      </c>
      <c r="AV508">
        <v>27</v>
      </c>
      <c r="AW508">
        <v>3</v>
      </c>
      <c r="AX508" t="s">
        <v>74</v>
      </c>
      <c r="AY508" t="s">
        <v>74</v>
      </c>
      <c r="AZ508" t="s">
        <v>74</v>
      </c>
      <c r="BA508" t="s">
        <v>74</v>
      </c>
      <c r="BB508" t="s">
        <v>74</v>
      </c>
      <c r="BC508" t="s">
        <v>74</v>
      </c>
      <c r="BD508">
        <v>133</v>
      </c>
      <c r="BE508" t="s">
        <v>10015</v>
      </c>
      <c r="BF508" t="str">
        <f>HYPERLINK("http://dx.doi.org/10.1007/s10291-023-01471-z","http://dx.doi.org/10.1007/s10291-023-01471-z")</f>
        <v>http://dx.doi.org/10.1007/s10291-023-01471-z</v>
      </c>
      <c r="BG508" t="s">
        <v>74</v>
      </c>
      <c r="BH508" t="s">
        <v>74</v>
      </c>
      <c r="BI508">
        <v>17</v>
      </c>
      <c r="BJ508" t="s">
        <v>5246</v>
      </c>
      <c r="BK508" t="s">
        <v>104</v>
      </c>
      <c r="BL508" t="s">
        <v>5246</v>
      </c>
      <c r="BM508" t="s">
        <v>10016</v>
      </c>
      <c r="BN508" t="s">
        <v>74</v>
      </c>
      <c r="BO508" t="s">
        <v>74</v>
      </c>
      <c r="BP508" t="s">
        <v>74</v>
      </c>
      <c r="BQ508" t="s">
        <v>74</v>
      </c>
      <c r="BR508" t="s">
        <v>107</v>
      </c>
      <c r="BS508" t="s">
        <v>10017</v>
      </c>
      <c r="BT508" t="str">
        <f>HYPERLINK("https%3A%2F%2Fwww.webofscience.com%2Fwos%2Fwoscc%2Ffull-record%2FWOS:000999637900001","View Full Record in Web of Science")</f>
        <v>View Full Record in Web of Science</v>
      </c>
    </row>
    <row r="509" spans="1:72" x14ac:dyDescent="0.15">
      <c r="A509" t="s">
        <v>72</v>
      </c>
      <c r="B509" t="s">
        <v>10018</v>
      </c>
      <c r="C509" t="s">
        <v>74</v>
      </c>
      <c r="D509" t="s">
        <v>74</v>
      </c>
      <c r="E509" t="s">
        <v>74</v>
      </c>
      <c r="F509" t="s">
        <v>10019</v>
      </c>
      <c r="G509" t="s">
        <v>74</v>
      </c>
      <c r="H509" t="s">
        <v>74</v>
      </c>
      <c r="I509" t="s">
        <v>10020</v>
      </c>
      <c r="J509" t="s">
        <v>10021</v>
      </c>
      <c r="K509" t="s">
        <v>74</v>
      </c>
      <c r="L509" t="s">
        <v>74</v>
      </c>
      <c r="M509" t="s">
        <v>78</v>
      </c>
      <c r="N509" t="s">
        <v>79</v>
      </c>
      <c r="O509" t="s">
        <v>74</v>
      </c>
      <c r="P509" t="s">
        <v>74</v>
      </c>
      <c r="Q509" t="s">
        <v>74</v>
      </c>
      <c r="R509" t="s">
        <v>74</v>
      </c>
      <c r="S509" t="s">
        <v>74</v>
      </c>
      <c r="T509" t="s">
        <v>74</v>
      </c>
      <c r="U509" t="s">
        <v>10022</v>
      </c>
      <c r="V509" t="s">
        <v>10023</v>
      </c>
      <c r="W509" t="s">
        <v>10024</v>
      </c>
      <c r="X509" t="s">
        <v>10025</v>
      </c>
      <c r="Y509" t="s">
        <v>10026</v>
      </c>
      <c r="Z509" t="s">
        <v>74</v>
      </c>
      <c r="AA509" t="s">
        <v>74</v>
      </c>
      <c r="AB509" t="s">
        <v>10027</v>
      </c>
      <c r="AC509" t="s">
        <v>10028</v>
      </c>
      <c r="AD509" t="s">
        <v>10029</v>
      </c>
      <c r="AE509" t="s">
        <v>10030</v>
      </c>
      <c r="AF509" t="s">
        <v>74</v>
      </c>
      <c r="AG509">
        <v>35</v>
      </c>
      <c r="AH509">
        <v>4</v>
      </c>
      <c r="AI509">
        <v>4</v>
      </c>
      <c r="AJ509">
        <v>5</v>
      </c>
      <c r="AK509">
        <v>8</v>
      </c>
      <c r="AL509" t="s">
        <v>10031</v>
      </c>
      <c r="AM509" t="s">
        <v>10032</v>
      </c>
      <c r="AN509" t="s">
        <v>10033</v>
      </c>
      <c r="AO509" t="s">
        <v>10034</v>
      </c>
      <c r="AP509" t="s">
        <v>74</v>
      </c>
      <c r="AQ509" t="s">
        <v>74</v>
      </c>
      <c r="AR509" t="s">
        <v>10035</v>
      </c>
      <c r="AS509" t="s">
        <v>10036</v>
      </c>
      <c r="AT509" t="s">
        <v>10037</v>
      </c>
      <c r="AU509">
        <v>2023</v>
      </c>
      <c r="AV509">
        <v>36</v>
      </c>
      <c r="AW509" t="s">
        <v>10038</v>
      </c>
      <c r="AX509" t="s">
        <v>74</v>
      </c>
      <c r="AY509" t="s">
        <v>74</v>
      </c>
      <c r="AZ509" t="s">
        <v>74</v>
      </c>
      <c r="BA509" t="s">
        <v>74</v>
      </c>
      <c r="BB509">
        <v>537</v>
      </c>
      <c r="BC509">
        <v>558</v>
      </c>
      <c r="BD509" t="s">
        <v>74</v>
      </c>
      <c r="BE509" t="s">
        <v>10039</v>
      </c>
      <c r="BF509" t="str">
        <f>HYPERLINK("http://dx.doi.org/10.57262/die036-0708-537","http://dx.doi.org/10.57262/die036-0708-537")</f>
        <v>http://dx.doi.org/10.57262/die036-0708-537</v>
      </c>
      <c r="BG509" t="s">
        <v>74</v>
      </c>
      <c r="BH509" t="s">
        <v>74</v>
      </c>
      <c r="BI509">
        <v>22</v>
      </c>
      <c r="BJ509" t="s">
        <v>10040</v>
      </c>
      <c r="BK509" t="s">
        <v>104</v>
      </c>
      <c r="BL509" t="s">
        <v>3820</v>
      </c>
      <c r="BM509" t="s">
        <v>10041</v>
      </c>
      <c r="BN509" t="s">
        <v>74</v>
      </c>
      <c r="BO509" t="s">
        <v>883</v>
      </c>
      <c r="BP509" t="s">
        <v>74</v>
      </c>
      <c r="BQ509" t="s">
        <v>74</v>
      </c>
      <c r="BR509" t="s">
        <v>107</v>
      </c>
      <c r="BS509" t="s">
        <v>10042</v>
      </c>
      <c r="BT509" t="str">
        <f>HYPERLINK("https%3A%2F%2Fwww.webofscience.com%2Fwos%2Fwoscc%2Ffull-record%2FWOS:000971611700001","View Full Record in Web of Science")</f>
        <v>View Full Record in Web of Science</v>
      </c>
    </row>
    <row r="510" spans="1:72" x14ac:dyDescent="0.15">
      <c r="A510" t="s">
        <v>72</v>
      </c>
      <c r="B510" t="s">
        <v>10043</v>
      </c>
      <c r="C510" t="s">
        <v>74</v>
      </c>
      <c r="D510" t="s">
        <v>74</v>
      </c>
      <c r="E510" t="s">
        <v>74</v>
      </c>
      <c r="F510" t="s">
        <v>10044</v>
      </c>
      <c r="G510" t="s">
        <v>74</v>
      </c>
      <c r="H510" t="s">
        <v>74</v>
      </c>
      <c r="I510" t="s">
        <v>10045</v>
      </c>
      <c r="J510" t="s">
        <v>1713</v>
      </c>
      <c r="K510" t="s">
        <v>74</v>
      </c>
      <c r="L510" t="s">
        <v>74</v>
      </c>
      <c r="M510" t="s">
        <v>78</v>
      </c>
      <c r="N510" t="s">
        <v>79</v>
      </c>
      <c r="O510" t="s">
        <v>74</v>
      </c>
      <c r="P510" t="s">
        <v>74</v>
      </c>
      <c r="Q510" t="s">
        <v>74</v>
      </c>
      <c r="R510" t="s">
        <v>74</v>
      </c>
      <c r="S510" t="s">
        <v>74</v>
      </c>
      <c r="T510" t="s">
        <v>10046</v>
      </c>
      <c r="U510" t="s">
        <v>10047</v>
      </c>
      <c r="V510" t="s">
        <v>10048</v>
      </c>
      <c r="W510" t="s">
        <v>10049</v>
      </c>
      <c r="X510" t="s">
        <v>10050</v>
      </c>
      <c r="Y510" t="s">
        <v>10051</v>
      </c>
      <c r="Z510" t="s">
        <v>10052</v>
      </c>
      <c r="AA510" t="s">
        <v>10053</v>
      </c>
      <c r="AB510" t="s">
        <v>10054</v>
      </c>
      <c r="AC510" t="s">
        <v>10055</v>
      </c>
      <c r="AD510" t="s">
        <v>10056</v>
      </c>
      <c r="AE510" t="s">
        <v>10057</v>
      </c>
      <c r="AF510" t="s">
        <v>74</v>
      </c>
      <c r="AG510">
        <v>129</v>
      </c>
      <c r="AH510">
        <v>8</v>
      </c>
      <c r="AI510">
        <v>9</v>
      </c>
      <c r="AJ510">
        <v>12</v>
      </c>
      <c r="AK510">
        <v>88</v>
      </c>
      <c r="AL510" t="s">
        <v>10058</v>
      </c>
      <c r="AM510" t="s">
        <v>511</v>
      </c>
      <c r="AN510" t="s">
        <v>10059</v>
      </c>
      <c r="AO510" t="s">
        <v>74</v>
      </c>
      <c r="AP510" t="s">
        <v>1725</v>
      </c>
      <c r="AQ510" t="s">
        <v>74</v>
      </c>
      <c r="AR510" t="s">
        <v>1726</v>
      </c>
      <c r="AS510" t="s">
        <v>1727</v>
      </c>
      <c r="AT510" t="s">
        <v>3612</v>
      </c>
      <c r="AU510">
        <v>2023</v>
      </c>
      <c r="AV510">
        <v>12</v>
      </c>
      <c r="AW510">
        <v>4</v>
      </c>
      <c r="AX510" t="s">
        <v>74</v>
      </c>
      <c r="AY510" t="s">
        <v>74</v>
      </c>
      <c r="AZ510" t="s">
        <v>74</v>
      </c>
      <c r="BA510" t="s">
        <v>74</v>
      </c>
      <c r="BB510">
        <v>959</v>
      </c>
      <c r="BC510">
        <v>974</v>
      </c>
      <c r="BD510" t="s">
        <v>74</v>
      </c>
      <c r="BE510" t="s">
        <v>10060</v>
      </c>
      <c r="BF510" t="str">
        <f>HYPERLINK("http://dx.doi.org/10.1016/j.fshw.2022.10.018","http://dx.doi.org/10.1016/j.fshw.2022.10.018")</f>
        <v>http://dx.doi.org/10.1016/j.fshw.2022.10.018</v>
      </c>
      <c r="BG510" t="s">
        <v>74</v>
      </c>
      <c r="BH510" t="s">
        <v>74</v>
      </c>
      <c r="BI510">
        <v>16</v>
      </c>
      <c r="BJ510" t="s">
        <v>1729</v>
      </c>
      <c r="BK510" t="s">
        <v>104</v>
      </c>
      <c r="BL510" t="s">
        <v>1729</v>
      </c>
      <c r="BM510" t="s">
        <v>10061</v>
      </c>
      <c r="BN510" t="s">
        <v>74</v>
      </c>
      <c r="BO510" t="s">
        <v>206</v>
      </c>
      <c r="BP510" t="s">
        <v>74</v>
      </c>
      <c r="BQ510" t="s">
        <v>74</v>
      </c>
      <c r="BR510" t="s">
        <v>107</v>
      </c>
      <c r="BS510" t="s">
        <v>10062</v>
      </c>
      <c r="BT510" t="str">
        <f>HYPERLINK("https%3A%2F%2Fwww.webofscience.com%2Fwos%2Fwoscc%2Ffull-record%2FWOS:000890635200001","View Full Record in Web of Science")</f>
        <v>View Full Record in Web of Science</v>
      </c>
    </row>
    <row r="511" spans="1:72" x14ac:dyDescent="0.15">
      <c r="A511" t="s">
        <v>72</v>
      </c>
      <c r="B511" t="s">
        <v>10063</v>
      </c>
      <c r="C511" t="s">
        <v>74</v>
      </c>
      <c r="D511" t="s">
        <v>74</v>
      </c>
      <c r="E511" t="s">
        <v>74</v>
      </c>
      <c r="F511" t="s">
        <v>10064</v>
      </c>
      <c r="G511" t="s">
        <v>74</v>
      </c>
      <c r="H511" t="s">
        <v>74</v>
      </c>
      <c r="I511" t="s">
        <v>10065</v>
      </c>
      <c r="J511" t="s">
        <v>10066</v>
      </c>
      <c r="K511" t="s">
        <v>74</v>
      </c>
      <c r="L511" t="s">
        <v>74</v>
      </c>
      <c r="M511" t="s">
        <v>78</v>
      </c>
      <c r="N511" t="s">
        <v>79</v>
      </c>
      <c r="O511" t="s">
        <v>74</v>
      </c>
      <c r="P511" t="s">
        <v>74</v>
      </c>
      <c r="Q511" t="s">
        <v>74</v>
      </c>
      <c r="R511" t="s">
        <v>74</v>
      </c>
      <c r="S511" t="s">
        <v>74</v>
      </c>
      <c r="T511" t="s">
        <v>10067</v>
      </c>
      <c r="U511" t="s">
        <v>10068</v>
      </c>
      <c r="V511" t="s">
        <v>10069</v>
      </c>
      <c r="W511" t="s">
        <v>10070</v>
      </c>
      <c r="X511" t="s">
        <v>10071</v>
      </c>
      <c r="Y511" t="s">
        <v>10072</v>
      </c>
      <c r="Z511" t="s">
        <v>10073</v>
      </c>
      <c r="AA511" t="s">
        <v>74</v>
      </c>
      <c r="AB511" t="s">
        <v>74</v>
      </c>
      <c r="AC511" t="s">
        <v>10074</v>
      </c>
      <c r="AD511" t="s">
        <v>10074</v>
      </c>
      <c r="AE511" t="s">
        <v>10075</v>
      </c>
      <c r="AF511" t="s">
        <v>74</v>
      </c>
      <c r="AG511">
        <v>103</v>
      </c>
      <c r="AH511">
        <v>0</v>
      </c>
      <c r="AI511">
        <v>0</v>
      </c>
      <c r="AJ511">
        <v>1</v>
      </c>
      <c r="AK511">
        <v>3</v>
      </c>
      <c r="AL511" t="s">
        <v>10076</v>
      </c>
      <c r="AM511" t="s">
        <v>5982</v>
      </c>
      <c r="AN511" t="s">
        <v>10077</v>
      </c>
      <c r="AO511" t="s">
        <v>10078</v>
      </c>
      <c r="AP511" t="s">
        <v>74</v>
      </c>
      <c r="AQ511" t="s">
        <v>74</v>
      </c>
      <c r="AR511" t="s">
        <v>10079</v>
      </c>
      <c r="AS511" t="s">
        <v>10080</v>
      </c>
      <c r="AT511" t="s">
        <v>3612</v>
      </c>
      <c r="AU511">
        <v>2023</v>
      </c>
      <c r="AV511">
        <v>27</v>
      </c>
      <c r="AW511">
        <v>3</v>
      </c>
      <c r="AX511" t="s">
        <v>74</v>
      </c>
      <c r="AY511" t="s">
        <v>74</v>
      </c>
      <c r="AZ511" t="s">
        <v>74</v>
      </c>
      <c r="BA511" t="s">
        <v>74</v>
      </c>
      <c r="BB511">
        <v>277</v>
      </c>
      <c r="BC511">
        <v>309</v>
      </c>
      <c r="BD511" t="s">
        <v>74</v>
      </c>
      <c r="BE511" t="s">
        <v>10081</v>
      </c>
      <c r="BF511" t="str">
        <f>HYPERLINK("http://dx.doi.org/10.2517/PR210021","http://dx.doi.org/10.2517/PR210021")</f>
        <v>http://dx.doi.org/10.2517/PR210021</v>
      </c>
      <c r="BG511" t="s">
        <v>74</v>
      </c>
      <c r="BH511" t="s">
        <v>74</v>
      </c>
      <c r="BI511">
        <v>33</v>
      </c>
      <c r="BJ511" t="s">
        <v>10082</v>
      </c>
      <c r="BK511" t="s">
        <v>104</v>
      </c>
      <c r="BL511" t="s">
        <v>10082</v>
      </c>
      <c r="BM511" t="s">
        <v>10083</v>
      </c>
      <c r="BN511" t="s">
        <v>74</v>
      </c>
      <c r="BO511" t="s">
        <v>74</v>
      </c>
      <c r="BP511" t="s">
        <v>74</v>
      </c>
      <c r="BQ511" t="s">
        <v>74</v>
      </c>
      <c r="BR511" t="s">
        <v>107</v>
      </c>
      <c r="BS511" t="s">
        <v>10084</v>
      </c>
      <c r="BT511" t="str">
        <f>HYPERLINK("https%3A%2F%2Fwww.webofscience.com%2Fwos%2Fwoscc%2Ffull-record%2FWOS:000910140200003","View Full Record in Web of Science")</f>
        <v>View Full Record in Web of Science</v>
      </c>
    </row>
    <row r="512" spans="1:72" x14ac:dyDescent="0.15">
      <c r="A512" t="s">
        <v>72</v>
      </c>
      <c r="B512" t="s">
        <v>10085</v>
      </c>
      <c r="C512" t="s">
        <v>74</v>
      </c>
      <c r="D512" t="s">
        <v>74</v>
      </c>
      <c r="E512" t="s">
        <v>74</v>
      </c>
      <c r="F512" t="s">
        <v>10086</v>
      </c>
      <c r="G512" t="s">
        <v>74</v>
      </c>
      <c r="H512" t="s">
        <v>74</v>
      </c>
      <c r="I512" t="s">
        <v>10087</v>
      </c>
      <c r="J512" t="s">
        <v>3756</v>
      </c>
      <c r="K512" t="s">
        <v>74</v>
      </c>
      <c r="L512" t="s">
        <v>74</v>
      </c>
      <c r="M512" t="s">
        <v>78</v>
      </c>
      <c r="N512" t="s">
        <v>1911</v>
      </c>
      <c r="O512" t="s">
        <v>74</v>
      </c>
      <c r="P512" t="s">
        <v>74</v>
      </c>
      <c r="Q512" t="s">
        <v>74</v>
      </c>
      <c r="R512" t="s">
        <v>74</v>
      </c>
      <c r="S512" t="s">
        <v>74</v>
      </c>
      <c r="T512" t="s">
        <v>10088</v>
      </c>
      <c r="U512" t="s">
        <v>10089</v>
      </c>
      <c r="V512" t="s">
        <v>10090</v>
      </c>
      <c r="W512" t="s">
        <v>10091</v>
      </c>
      <c r="X512" t="s">
        <v>10092</v>
      </c>
      <c r="Y512" t="s">
        <v>10093</v>
      </c>
      <c r="Z512" t="s">
        <v>10094</v>
      </c>
      <c r="AA512" t="s">
        <v>10095</v>
      </c>
      <c r="AB512" t="s">
        <v>10096</v>
      </c>
      <c r="AC512" t="s">
        <v>10097</v>
      </c>
      <c r="AD512" t="s">
        <v>10098</v>
      </c>
      <c r="AE512" t="s">
        <v>10099</v>
      </c>
      <c r="AF512" t="s">
        <v>74</v>
      </c>
      <c r="AG512">
        <v>66</v>
      </c>
      <c r="AH512">
        <v>0</v>
      </c>
      <c r="AI512">
        <v>0</v>
      </c>
      <c r="AJ512">
        <v>3</v>
      </c>
      <c r="AK512">
        <v>4</v>
      </c>
      <c r="AL512" t="s">
        <v>298</v>
      </c>
      <c r="AM512" t="s">
        <v>299</v>
      </c>
      <c r="AN512" t="s">
        <v>300</v>
      </c>
      <c r="AO512" t="s">
        <v>3767</v>
      </c>
      <c r="AP512" t="s">
        <v>3768</v>
      </c>
      <c r="AQ512" t="s">
        <v>74</v>
      </c>
      <c r="AR512" t="s">
        <v>3769</v>
      </c>
      <c r="AS512" t="s">
        <v>3770</v>
      </c>
      <c r="AT512" t="s">
        <v>10100</v>
      </c>
      <c r="AU512">
        <v>2023</v>
      </c>
      <c r="AV512" t="s">
        <v>74</v>
      </c>
      <c r="AW512" t="s">
        <v>74</v>
      </c>
      <c r="AX512" t="s">
        <v>74</v>
      </c>
      <c r="AY512" t="s">
        <v>74</v>
      </c>
      <c r="AZ512" t="s">
        <v>74</v>
      </c>
      <c r="BA512" t="s">
        <v>74</v>
      </c>
      <c r="BB512" t="s">
        <v>74</v>
      </c>
      <c r="BC512" t="s">
        <v>74</v>
      </c>
      <c r="BD512" t="s">
        <v>74</v>
      </c>
      <c r="BE512" t="s">
        <v>10101</v>
      </c>
      <c r="BF512" t="str">
        <f>HYPERLINK("http://dx.doi.org/10.1007/s00300-023-03162-4","http://dx.doi.org/10.1007/s00300-023-03162-4")</f>
        <v>http://dx.doi.org/10.1007/s00300-023-03162-4</v>
      </c>
      <c r="BG512" t="s">
        <v>74</v>
      </c>
      <c r="BH512" t="s">
        <v>10102</v>
      </c>
      <c r="BI512">
        <v>11</v>
      </c>
      <c r="BJ512" t="s">
        <v>3772</v>
      </c>
      <c r="BK512" t="s">
        <v>104</v>
      </c>
      <c r="BL512" t="s">
        <v>1905</v>
      </c>
      <c r="BM512" t="s">
        <v>10103</v>
      </c>
      <c r="BN512" t="s">
        <v>74</v>
      </c>
      <c r="BO512" t="s">
        <v>74</v>
      </c>
      <c r="BP512" t="s">
        <v>74</v>
      </c>
      <c r="BQ512" t="s">
        <v>74</v>
      </c>
      <c r="BR512" t="s">
        <v>107</v>
      </c>
      <c r="BS512" t="s">
        <v>10104</v>
      </c>
      <c r="BT512" t="str">
        <f>HYPERLINK("https%3A%2F%2Fwww.webofscience.com%2Fwos%2Fwoscc%2Ffull-record%2FWOS:001049769700001","View Full Record in Web of Science")</f>
        <v>View Full Record in Web of Science</v>
      </c>
    </row>
    <row r="513" spans="1:72" x14ac:dyDescent="0.15">
      <c r="A513" t="s">
        <v>72</v>
      </c>
      <c r="B513" t="s">
        <v>10105</v>
      </c>
      <c r="C513" t="s">
        <v>74</v>
      </c>
      <c r="D513" t="s">
        <v>74</v>
      </c>
      <c r="E513" t="s">
        <v>74</v>
      </c>
      <c r="F513" t="s">
        <v>10106</v>
      </c>
      <c r="G513" t="s">
        <v>74</v>
      </c>
      <c r="H513" t="s">
        <v>74</v>
      </c>
      <c r="I513" t="s">
        <v>10107</v>
      </c>
      <c r="J513" t="s">
        <v>10108</v>
      </c>
      <c r="K513" t="s">
        <v>74</v>
      </c>
      <c r="L513" t="s">
        <v>74</v>
      </c>
      <c r="M513" t="s">
        <v>78</v>
      </c>
      <c r="N513" t="s">
        <v>79</v>
      </c>
      <c r="O513" t="s">
        <v>74</v>
      </c>
      <c r="P513" t="s">
        <v>74</v>
      </c>
      <c r="Q513" t="s">
        <v>74</v>
      </c>
      <c r="R513" t="s">
        <v>74</v>
      </c>
      <c r="S513" t="s">
        <v>74</v>
      </c>
      <c r="T513" t="s">
        <v>10109</v>
      </c>
      <c r="U513" t="s">
        <v>10110</v>
      </c>
      <c r="V513" t="s">
        <v>10111</v>
      </c>
      <c r="W513" t="s">
        <v>10112</v>
      </c>
      <c r="X513" t="s">
        <v>10113</v>
      </c>
      <c r="Y513" t="s">
        <v>10114</v>
      </c>
      <c r="Z513" t="s">
        <v>10115</v>
      </c>
      <c r="AA513" t="s">
        <v>10116</v>
      </c>
      <c r="AB513" t="s">
        <v>10117</v>
      </c>
      <c r="AC513" t="s">
        <v>10118</v>
      </c>
      <c r="AD513" t="s">
        <v>10119</v>
      </c>
      <c r="AE513" t="s">
        <v>10120</v>
      </c>
      <c r="AF513" t="s">
        <v>74</v>
      </c>
      <c r="AG513">
        <v>149</v>
      </c>
      <c r="AH513">
        <v>5</v>
      </c>
      <c r="AI513">
        <v>5</v>
      </c>
      <c r="AJ513">
        <v>5</v>
      </c>
      <c r="AK513">
        <v>6</v>
      </c>
      <c r="AL513" t="s">
        <v>10121</v>
      </c>
      <c r="AM513" t="s">
        <v>10122</v>
      </c>
      <c r="AN513" t="s">
        <v>10123</v>
      </c>
      <c r="AO513" t="s">
        <v>10124</v>
      </c>
      <c r="AP513" t="s">
        <v>74</v>
      </c>
      <c r="AQ513" t="s">
        <v>74</v>
      </c>
      <c r="AR513" t="s">
        <v>10125</v>
      </c>
      <c r="AS513" t="s">
        <v>10126</v>
      </c>
      <c r="AT513" t="s">
        <v>10127</v>
      </c>
      <c r="AU513">
        <v>2023</v>
      </c>
      <c r="AV513">
        <v>11</v>
      </c>
      <c r="AW513">
        <v>1</v>
      </c>
      <c r="AX513" t="s">
        <v>74</v>
      </c>
      <c r="AY513" t="s">
        <v>74</v>
      </c>
      <c r="AZ513" t="s">
        <v>74</v>
      </c>
      <c r="BA513" t="s">
        <v>74</v>
      </c>
      <c r="BB513" t="s">
        <v>74</v>
      </c>
      <c r="BC513" t="s">
        <v>74</v>
      </c>
      <c r="BD513">
        <v>20</v>
      </c>
      <c r="BE513" t="s">
        <v>10128</v>
      </c>
      <c r="BF513" t="str">
        <f>HYPERLINK("http://dx.doi.org/10.1525/elementa.2023.00020","http://dx.doi.org/10.1525/elementa.2023.00020")</f>
        <v>http://dx.doi.org/10.1525/elementa.2023.00020</v>
      </c>
      <c r="BG513" t="s">
        <v>74</v>
      </c>
      <c r="BH513" t="s">
        <v>74</v>
      </c>
      <c r="BI513">
        <v>34</v>
      </c>
      <c r="BJ513" t="s">
        <v>3303</v>
      </c>
      <c r="BK513" t="s">
        <v>104</v>
      </c>
      <c r="BL513" t="s">
        <v>2372</v>
      </c>
      <c r="BM513" t="s">
        <v>10129</v>
      </c>
      <c r="BN513" t="s">
        <v>74</v>
      </c>
      <c r="BO513" t="s">
        <v>206</v>
      </c>
      <c r="BP513" t="s">
        <v>74</v>
      </c>
      <c r="BQ513" t="s">
        <v>74</v>
      </c>
      <c r="BR513" t="s">
        <v>107</v>
      </c>
      <c r="BS513" t="s">
        <v>10130</v>
      </c>
      <c r="BT513" t="str">
        <f>HYPERLINK("https%3A%2F%2Fwww.webofscience.com%2Fwos%2Fwoscc%2Ffull-record%2FWOS:001048638300001","View Full Record in Web of Science")</f>
        <v>View Full Record in Web of Science</v>
      </c>
    </row>
    <row r="514" spans="1:72" x14ac:dyDescent="0.15">
      <c r="A514" t="s">
        <v>72</v>
      </c>
      <c r="B514" t="s">
        <v>10131</v>
      </c>
      <c r="C514" t="s">
        <v>74</v>
      </c>
      <c r="D514" t="s">
        <v>74</v>
      </c>
      <c r="E514" t="s">
        <v>74</v>
      </c>
      <c r="F514" t="s">
        <v>10132</v>
      </c>
      <c r="G514" t="s">
        <v>74</v>
      </c>
      <c r="H514" t="s">
        <v>74</v>
      </c>
      <c r="I514" t="s">
        <v>10133</v>
      </c>
      <c r="J514" t="s">
        <v>4226</v>
      </c>
      <c r="K514" t="s">
        <v>74</v>
      </c>
      <c r="L514" t="s">
        <v>74</v>
      </c>
      <c r="M514" t="s">
        <v>78</v>
      </c>
      <c r="N514" t="s">
        <v>79</v>
      </c>
      <c r="O514" t="s">
        <v>74</v>
      </c>
      <c r="P514" t="s">
        <v>74</v>
      </c>
      <c r="Q514" t="s">
        <v>74</v>
      </c>
      <c r="R514" t="s">
        <v>74</v>
      </c>
      <c r="S514" t="s">
        <v>74</v>
      </c>
      <c r="T514" t="s">
        <v>10134</v>
      </c>
      <c r="U514" t="s">
        <v>10135</v>
      </c>
      <c r="V514" t="s">
        <v>10136</v>
      </c>
      <c r="W514" t="s">
        <v>10137</v>
      </c>
      <c r="X514" t="s">
        <v>10138</v>
      </c>
      <c r="Y514" t="s">
        <v>10139</v>
      </c>
      <c r="Z514" t="s">
        <v>10140</v>
      </c>
      <c r="AA514" t="s">
        <v>10141</v>
      </c>
      <c r="AB514" t="s">
        <v>10142</v>
      </c>
      <c r="AC514" t="s">
        <v>74</v>
      </c>
      <c r="AD514" t="s">
        <v>74</v>
      </c>
      <c r="AE514" t="s">
        <v>74</v>
      </c>
      <c r="AF514" t="s">
        <v>74</v>
      </c>
      <c r="AG514">
        <v>31</v>
      </c>
      <c r="AH514">
        <v>0</v>
      </c>
      <c r="AI514">
        <v>0</v>
      </c>
      <c r="AJ514">
        <v>3</v>
      </c>
      <c r="AK514">
        <v>5</v>
      </c>
      <c r="AL514" t="s">
        <v>4238</v>
      </c>
      <c r="AM514" t="s">
        <v>4239</v>
      </c>
      <c r="AN514" t="s">
        <v>4240</v>
      </c>
      <c r="AO514" t="s">
        <v>4241</v>
      </c>
      <c r="AP514" t="s">
        <v>4242</v>
      </c>
      <c r="AQ514" t="s">
        <v>74</v>
      </c>
      <c r="AR514" t="s">
        <v>4226</v>
      </c>
      <c r="AS514" t="s">
        <v>4243</v>
      </c>
      <c r="AT514" t="s">
        <v>10127</v>
      </c>
      <c r="AU514">
        <v>2023</v>
      </c>
      <c r="AV514">
        <v>5311</v>
      </c>
      <c r="AW514">
        <v>3</v>
      </c>
      <c r="AX514" t="s">
        <v>74</v>
      </c>
      <c r="AY514" t="s">
        <v>74</v>
      </c>
      <c r="AZ514" t="s">
        <v>74</v>
      </c>
      <c r="BA514" t="s">
        <v>74</v>
      </c>
      <c r="BB514">
        <v>405</v>
      </c>
      <c r="BC514">
        <v>416</v>
      </c>
      <c r="BD514" t="s">
        <v>74</v>
      </c>
      <c r="BE514" t="s">
        <v>10143</v>
      </c>
      <c r="BF514" t="str">
        <f>HYPERLINK("http://dx.doi.org/10.11646/zootaxa.5311.3.5","http://dx.doi.org/10.11646/zootaxa.5311.3.5")</f>
        <v>http://dx.doi.org/10.11646/zootaxa.5311.3.5</v>
      </c>
      <c r="BG514" t="s">
        <v>74</v>
      </c>
      <c r="BH514" t="s">
        <v>74</v>
      </c>
      <c r="BI514">
        <v>12</v>
      </c>
      <c r="BJ514" t="s">
        <v>620</v>
      </c>
      <c r="BK514" t="s">
        <v>104</v>
      </c>
      <c r="BL514" t="s">
        <v>620</v>
      </c>
      <c r="BM514" t="s">
        <v>10144</v>
      </c>
      <c r="BN514">
        <v>37518636</v>
      </c>
      <c r="BO514" t="s">
        <v>74</v>
      </c>
      <c r="BP514" t="s">
        <v>74</v>
      </c>
      <c r="BQ514" t="s">
        <v>74</v>
      </c>
      <c r="BR514" t="s">
        <v>107</v>
      </c>
      <c r="BS514" t="s">
        <v>10145</v>
      </c>
      <c r="BT514" t="str">
        <f>HYPERLINK("https%3A%2F%2Fwww.webofscience.com%2Fwos%2Fwoscc%2Ffull-record%2FWOS:001033465400002","View Full Record in Web of Science")</f>
        <v>View Full Record in Web of Science</v>
      </c>
    </row>
    <row r="515" spans="1:72" x14ac:dyDescent="0.15">
      <c r="A515" t="s">
        <v>72</v>
      </c>
      <c r="B515" t="s">
        <v>10146</v>
      </c>
      <c r="C515" t="s">
        <v>74</v>
      </c>
      <c r="D515" t="s">
        <v>74</v>
      </c>
      <c r="E515" t="s">
        <v>74</v>
      </c>
      <c r="F515" t="s">
        <v>10147</v>
      </c>
      <c r="G515" t="s">
        <v>74</v>
      </c>
      <c r="H515" t="s">
        <v>74</v>
      </c>
      <c r="I515" t="s">
        <v>10148</v>
      </c>
      <c r="J515" t="s">
        <v>4165</v>
      </c>
      <c r="K515" t="s">
        <v>74</v>
      </c>
      <c r="L515" t="s">
        <v>74</v>
      </c>
      <c r="M515" t="s">
        <v>78</v>
      </c>
      <c r="N515" t="s">
        <v>79</v>
      </c>
      <c r="O515" t="s">
        <v>74</v>
      </c>
      <c r="P515" t="s">
        <v>74</v>
      </c>
      <c r="Q515" t="s">
        <v>74</v>
      </c>
      <c r="R515" t="s">
        <v>74</v>
      </c>
      <c r="S515" t="s">
        <v>74</v>
      </c>
      <c r="T515" t="s">
        <v>74</v>
      </c>
      <c r="U515" t="s">
        <v>10149</v>
      </c>
      <c r="V515" t="s">
        <v>10150</v>
      </c>
      <c r="W515" t="s">
        <v>10151</v>
      </c>
      <c r="X515" t="s">
        <v>10152</v>
      </c>
      <c r="Y515" t="s">
        <v>10153</v>
      </c>
      <c r="Z515" t="s">
        <v>10154</v>
      </c>
      <c r="AA515" t="s">
        <v>10155</v>
      </c>
      <c r="AB515" t="s">
        <v>10156</v>
      </c>
      <c r="AC515" t="s">
        <v>10157</v>
      </c>
      <c r="AD515" t="s">
        <v>10158</v>
      </c>
      <c r="AE515" t="s">
        <v>10159</v>
      </c>
      <c r="AF515" t="s">
        <v>74</v>
      </c>
      <c r="AG515">
        <v>108</v>
      </c>
      <c r="AH515">
        <v>1</v>
      </c>
      <c r="AI515">
        <v>1</v>
      </c>
      <c r="AJ515">
        <v>0</v>
      </c>
      <c r="AK515">
        <v>2</v>
      </c>
      <c r="AL515" t="s">
        <v>1775</v>
      </c>
      <c r="AM515" t="s">
        <v>1776</v>
      </c>
      <c r="AN515" t="s">
        <v>1777</v>
      </c>
      <c r="AO515" t="s">
        <v>4177</v>
      </c>
      <c r="AP515" t="s">
        <v>4178</v>
      </c>
      <c r="AQ515" t="s">
        <v>74</v>
      </c>
      <c r="AR515" t="s">
        <v>4179</v>
      </c>
      <c r="AS515" t="s">
        <v>4180</v>
      </c>
      <c r="AT515" t="s">
        <v>10127</v>
      </c>
      <c r="AU515">
        <v>2023</v>
      </c>
      <c r="AV515">
        <v>16</v>
      </c>
      <c r="AW515">
        <v>12</v>
      </c>
      <c r="AX515" t="s">
        <v>74</v>
      </c>
      <c r="AY515" t="s">
        <v>74</v>
      </c>
      <c r="AZ515" t="s">
        <v>74</v>
      </c>
      <c r="BA515" t="s">
        <v>74</v>
      </c>
      <c r="BB515">
        <v>3629</v>
      </c>
      <c r="BC515">
        <v>3650</v>
      </c>
      <c r="BD515" t="s">
        <v>74</v>
      </c>
      <c r="BE515" t="s">
        <v>10160</v>
      </c>
      <c r="BF515" t="str">
        <f>HYPERLINK("http://dx.doi.org/10.5194/gmd-16-3629-2023","http://dx.doi.org/10.5194/gmd-16-3629-2023")</f>
        <v>http://dx.doi.org/10.5194/gmd-16-3629-2023</v>
      </c>
      <c r="BG515" t="s">
        <v>74</v>
      </c>
      <c r="BH515" t="s">
        <v>74</v>
      </c>
      <c r="BI515">
        <v>22</v>
      </c>
      <c r="BJ515" t="s">
        <v>155</v>
      </c>
      <c r="BK515" t="s">
        <v>104</v>
      </c>
      <c r="BL515" t="s">
        <v>156</v>
      </c>
      <c r="BM515" t="s">
        <v>10161</v>
      </c>
      <c r="BN515" t="s">
        <v>74</v>
      </c>
      <c r="BO515" t="s">
        <v>771</v>
      </c>
      <c r="BP515" t="s">
        <v>74</v>
      </c>
      <c r="BQ515" t="s">
        <v>74</v>
      </c>
      <c r="BR515" t="s">
        <v>107</v>
      </c>
      <c r="BS515" t="s">
        <v>10162</v>
      </c>
      <c r="BT515" t="str">
        <f>HYPERLINK("https%3A%2F%2Fwww.webofscience.com%2Fwos%2Fwoscc%2Ffull-record%2FWOS:001021653900001","View Full Record in Web of Science")</f>
        <v>View Full Record in Web of Science</v>
      </c>
    </row>
    <row r="516" spans="1:72" x14ac:dyDescent="0.15">
      <c r="A516" t="s">
        <v>72</v>
      </c>
      <c r="B516" t="s">
        <v>10163</v>
      </c>
      <c r="C516" t="s">
        <v>74</v>
      </c>
      <c r="D516" t="s">
        <v>74</v>
      </c>
      <c r="E516" t="s">
        <v>74</v>
      </c>
      <c r="F516" t="s">
        <v>10164</v>
      </c>
      <c r="G516" t="s">
        <v>74</v>
      </c>
      <c r="H516" t="s">
        <v>74</v>
      </c>
      <c r="I516" t="s">
        <v>10165</v>
      </c>
      <c r="J516" t="s">
        <v>2516</v>
      </c>
      <c r="K516" t="s">
        <v>74</v>
      </c>
      <c r="L516" t="s">
        <v>74</v>
      </c>
      <c r="M516" t="s">
        <v>78</v>
      </c>
      <c r="N516" t="s">
        <v>1911</v>
      </c>
      <c r="O516" t="s">
        <v>74</v>
      </c>
      <c r="P516" t="s">
        <v>74</v>
      </c>
      <c r="Q516" t="s">
        <v>74</v>
      </c>
      <c r="R516" t="s">
        <v>74</v>
      </c>
      <c r="S516" t="s">
        <v>74</v>
      </c>
      <c r="T516" t="s">
        <v>74</v>
      </c>
      <c r="U516" t="s">
        <v>10166</v>
      </c>
      <c r="V516" t="s">
        <v>10167</v>
      </c>
      <c r="W516" t="s">
        <v>10168</v>
      </c>
      <c r="X516" t="s">
        <v>10169</v>
      </c>
      <c r="Y516" t="s">
        <v>10170</v>
      </c>
      <c r="Z516" t="s">
        <v>10171</v>
      </c>
      <c r="AA516" t="s">
        <v>74</v>
      </c>
      <c r="AB516" t="s">
        <v>10172</v>
      </c>
      <c r="AC516" t="s">
        <v>10173</v>
      </c>
      <c r="AD516" t="s">
        <v>10173</v>
      </c>
      <c r="AE516" t="s">
        <v>10174</v>
      </c>
      <c r="AF516" t="s">
        <v>74</v>
      </c>
      <c r="AG516">
        <v>68</v>
      </c>
      <c r="AH516">
        <v>1</v>
      </c>
      <c r="AI516">
        <v>1</v>
      </c>
      <c r="AJ516">
        <v>1</v>
      </c>
      <c r="AK516">
        <v>2</v>
      </c>
      <c r="AL516" t="s">
        <v>460</v>
      </c>
      <c r="AM516" t="s">
        <v>461</v>
      </c>
      <c r="AN516" t="s">
        <v>462</v>
      </c>
      <c r="AO516" t="s">
        <v>2528</v>
      </c>
      <c r="AP516" t="s">
        <v>2529</v>
      </c>
      <c r="AQ516" t="s">
        <v>74</v>
      </c>
      <c r="AR516" t="s">
        <v>2530</v>
      </c>
      <c r="AS516" t="s">
        <v>2531</v>
      </c>
      <c r="AT516" t="s">
        <v>10100</v>
      </c>
      <c r="AU516">
        <v>2023</v>
      </c>
      <c r="AV516" t="s">
        <v>74</v>
      </c>
      <c r="AW516" t="s">
        <v>74</v>
      </c>
      <c r="AX516" t="s">
        <v>74</v>
      </c>
      <c r="AY516" t="s">
        <v>74</v>
      </c>
      <c r="AZ516" t="s">
        <v>74</v>
      </c>
      <c r="BA516" t="s">
        <v>74</v>
      </c>
      <c r="BB516" t="s">
        <v>74</v>
      </c>
      <c r="BC516" t="s">
        <v>74</v>
      </c>
      <c r="BD516" t="s">
        <v>74</v>
      </c>
      <c r="BE516" t="s">
        <v>10175</v>
      </c>
      <c r="BF516" t="str">
        <f>HYPERLINK("http://dx.doi.org/10.1002/lno.12392","http://dx.doi.org/10.1002/lno.12392")</f>
        <v>http://dx.doi.org/10.1002/lno.12392</v>
      </c>
      <c r="BG516" t="s">
        <v>74</v>
      </c>
      <c r="BH516" t="s">
        <v>10102</v>
      </c>
      <c r="BI516">
        <v>15</v>
      </c>
      <c r="BJ516" t="s">
        <v>2533</v>
      </c>
      <c r="BK516" t="s">
        <v>104</v>
      </c>
      <c r="BL516" t="s">
        <v>569</v>
      </c>
      <c r="BM516" t="s">
        <v>10176</v>
      </c>
      <c r="BN516" t="s">
        <v>74</v>
      </c>
      <c r="BO516" t="s">
        <v>549</v>
      </c>
      <c r="BP516" t="s">
        <v>74</v>
      </c>
      <c r="BQ516" t="s">
        <v>74</v>
      </c>
      <c r="BR516" t="s">
        <v>107</v>
      </c>
      <c r="BS516" t="s">
        <v>10177</v>
      </c>
      <c r="BT516" t="str">
        <f>HYPERLINK("https%3A%2F%2Fwww.webofscience.com%2Fwos%2Fwoscc%2Ffull-record%2FWOS:001019962000001","View Full Record in Web of Science")</f>
        <v>View Full Record in Web of Science</v>
      </c>
    </row>
    <row r="517" spans="1:72" x14ac:dyDescent="0.15">
      <c r="A517" t="s">
        <v>72</v>
      </c>
      <c r="B517" t="s">
        <v>10178</v>
      </c>
      <c r="C517" t="s">
        <v>74</v>
      </c>
      <c r="D517" t="s">
        <v>74</v>
      </c>
      <c r="E517" t="s">
        <v>74</v>
      </c>
      <c r="F517" t="s">
        <v>10179</v>
      </c>
      <c r="G517" t="s">
        <v>74</v>
      </c>
      <c r="H517" t="s">
        <v>74</v>
      </c>
      <c r="I517" t="s">
        <v>10180</v>
      </c>
      <c r="J517" t="s">
        <v>1763</v>
      </c>
      <c r="K517" t="s">
        <v>74</v>
      </c>
      <c r="L517" t="s">
        <v>74</v>
      </c>
      <c r="M517" t="s">
        <v>78</v>
      </c>
      <c r="N517" t="s">
        <v>79</v>
      </c>
      <c r="O517" t="s">
        <v>74</v>
      </c>
      <c r="P517" t="s">
        <v>74</v>
      </c>
      <c r="Q517" t="s">
        <v>74</v>
      </c>
      <c r="R517" t="s">
        <v>74</v>
      </c>
      <c r="S517" t="s">
        <v>74</v>
      </c>
      <c r="T517" t="s">
        <v>74</v>
      </c>
      <c r="U517" t="s">
        <v>10181</v>
      </c>
      <c r="V517" t="s">
        <v>10182</v>
      </c>
      <c r="W517" t="s">
        <v>10183</v>
      </c>
      <c r="X517" t="s">
        <v>10184</v>
      </c>
      <c r="Y517" t="s">
        <v>10185</v>
      </c>
      <c r="Z517" t="s">
        <v>10186</v>
      </c>
      <c r="AA517" t="s">
        <v>10187</v>
      </c>
      <c r="AB517" t="s">
        <v>10188</v>
      </c>
      <c r="AC517" t="s">
        <v>10189</v>
      </c>
      <c r="AD517" t="s">
        <v>10190</v>
      </c>
      <c r="AE517" t="s">
        <v>10191</v>
      </c>
      <c r="AF517" t="s">
        <v>74</v>
      </c>
      <c r="AG517">
        <v>64</v>
      </c>
      <c r="AH517">
        <v>3</v>
      </c>
      <c r="AI517">
        <v>3</v>
      </c>
      <c r="AJ517">
        <v>3</v>
      </c>
      <c r="AK517">
        <v>4</v>
      </c>
      <c r="AL517" t="s">
        <v>1775</v>
      </c>
      <c r="AM517" t="s">
        <v>1776</v>
      </c>
      <c r="AN517" t="s">
        <v>1777</v>
      </c>
      <c r="AO517" t="s">
        <v>1778</v>
      </c>
      <c r="AP517" t="s">
        <v>1779</v>
      </c>
      <c r="AQ517" t="s">
        <v>74</v>
      </c>
      <c r="AR517" t="s">
        <v>1763</v>
      </c>
      <c r="AS517" t="s">
        <v>1780</v>
      </c>
      <c r="AT517" t="s">
        <v>10192</v>
      </c>
      <c r="AU517">
        <v>2023</v>
      </c>
      <c r="AV517">
        <v>17</v>
      </c>
      <c r="AW517">
        <v>6</v>
      </c>
      <c r="AX517" t="s">
        <v>74</v>
      </c>
      <c r="AY517" t="s">
        <v>74</v>
      </c>
      <c r="AZ517" t="s">
        <v>74</v>
      </c>
      <c r="BA517" t="s">
        <v>74</v>
      </c>
      <c r="BB517">
        <v>2543</v>
      </c>
      <c r="BC517">
        <v>2562</v>
      </c>
      <c r="BD517" t="s">
        <v>74</v>
      </c>
      <c r="BE517" t="s">
        <v>10193</v>
      </c>
      <c r="BF517" t="str">
        <f>HYPERLINK("http://dx.doi.org/10.5194/tc-17-2543-2023","http://dx.doi.org/10.5194/tc-17-2543-2023")</f>
        <v>http://dx.doi.org/10.5194/tc-17-2543-2023</v>
      </c>
      <c r="BG517" t="s">
        <v>74</v>
      </c>
      <c r="BH517" t="s">
        <v>74</v>
      </c>
      <c r="BI517">
        <v>20</v>
      </c>
      <c r="BJ517" t="s">
        <v>1783</v>
      </c>
      <c r="BK517" t="s">
        <v>104</v>
      </c>
      <c r="BL517" t="s">
        <v>1784</v>
      </c>
      <c r="BM517" t="s">
        <v>10194</v>
      </c>
      <c r="BN517" t="s">
        <v>74</v>
      </c>
      <c r="BO517" t="s">
        <v>3243</v>
      </c>
      <c r="BP517" t="s">
        <v>74</v>
      </c>
      <c r="BQ517" t="s">
        <v>74</v>
      </c>
      <c r="BR517" t="s">
        <v>107</v>
      </c>
      <c r="BS517" t="s">
        <v>10195</v>
      </c>
      <c r="BT517" t="str">
        <f>HYPERLINK("https%3A%2F%2Fwww.webofscience.com%2Fwos%2Fwoscc%2Ffull-record%2FWOS:001021344800001","View Full Record in Web of Science")</f>
        <v>View Full Record in Web of Science</v>
      </c>
    </row>
    <row r="518" spans="1:72" x14ac:dyDescent="0.15">
      <c r="A518" t="s">
        <v>72</v>
      </c>
      <c r="B518" t="s">
        <v>10196</v>
      </c>
      <c r="C518" t="s">
        <v>74</v>
      </c>
      <c r="D518" t="s">
        <v>74</v>
      </c>
      <c r="E518" t="s">
        <v>74</v>
      </c>
      <c r="F518" t="s">
        <v>10197</v>
      </c>
      <c r="G518" t="s">
        <v>74</v>
      </c>
      <c r="H518" t="s">
        <v>74</v>
      </c>
      <c r="I518" t="s">
        <v>10198</v>
      </c>
      <c r="J518" t="s">
        <v>10199</v>
      </c>
      <c r="K518" t="s">
        <v>74</v>
      </c>
      <c r="L518" t="s">
        <v>74</v>
      </c>
      <c r="M518" t="s">
        <v>78</v>
      </c>
      <c r="N518" t="s">
        <v>79</v>
      </c>
      <c r="O518" t="s">
        <v>74</v>
      </c>
      <c r="P518" t="s">
        <v>74</v>
      </c>
      <c r="Q518" t="s">
        <v>74</v>
      </c>
      <c r="R518" t="s">
        <v>74</v>
      </c>
      <c r="S518" t="s">
        <v>74</v>
      </c>
      <c r="T518" t="s">
        <v>10200</v>
      </c>
      <c r="U518" t="s">
        <v>10201</v>
      </c>
      <c r="V518" t="s">
        <v>10202</v>
      </c>
      <c r="W518" t="s">
        <v>10203</v>
      </c>
      <c r="X518" t="s">
        <v>10204</v>
      </c>
      <c r="Y518" t="s">
        <v>10205</v>
      </c>
      <c r="Z518" t="s">
        <v>10206</v>
      </c>
      <c r="AA518" t="s">
        <v>10207</v>
      </c>
      <c r="AB518" t="s">
        <v>10208</v>
      </c>
      <c r="AC518" t="s">
        <v>10209</v>
      </c>
      <c r="AD518" t="s">
        <v>10210</v>
      </c>
      <c r="AE518" t="s">
        <v>10211</v>
      </c>
      <c r="AF518" t="s">
        <v>74</v>
      </c>
      <c r="AG518">
        <v>25</v>
      </c>
      <c r="AH518">
        <v>0</v>
      </c>
      <c r="AI518">
        <v>0</v>
      </c>
      <c r="AJ518">
        <v>9</v>
      </c>
      <c r="AK518">
        <v>13</v>
      </c>
      <c r="AL518" t="s">
        <v>3672</v>
      </c>
      <c r="AM518" t="s">
        <v>538</v>
      </c>
      <c r="AN518" t="s">
        <v>3673</v>
      </c>
      <c r="AO518" t="s">
        <v>10212</v>
      </c>
      <c r="AP518" t="s">
        <v>10213</v>
      </c>
      <c r="AQ518" t="s">
        <v>74</v>
      </c>
      <c r="AR518" t="s">
        <v>10214</v>
      </c>
      <c r="AS518" t="s">
        <v>10215</v>
      </c>
      <c r="AT518" t="s">
        <v>3551</v>
      </c>
      <c r="AU518">
        <v>2023</v>
      </c>
      <c r="AV518">
        <v>72</v>
      </c>
      <c r="AW518">
        <v>4</v>
      </c>
      <c r="AX518" t="s">
        <v>74</v>
      </c>
      <c r="AY518" t="s">
        <v>74</v>
      </c>
      <c r="AZ518" t="s">
        <v>74</v>
      </c>
      <c r="BA518" t="s">
        <v>74</v>
      </c>
      <c r="BB518">
        <v>1277</v>
      </c>
      <c r="BC518">
        <v>1289</v>
      </c>
      <c r="BD518" t="s">
        <v>74</v>
      </c>
      <c r="BE518" t="s">
        <v>10216</v>
      </c>
      <c r="BF518" t="str">
        <f>HYPERLINK("http://dx.doi.org/10.1016/j.asr.2023.04.021","http://dx.doi.org/10.1016/j.asr.2023.04.021")</f>
        <v>http://dx.doi.org/10.1016/j.asr.2023.04.021</v>
      </c>
      <c r="BG518" t="s">
        <v>74</v>
      </c>
      <c r="BH518" t="s">
        <v>10102</v>
      </c>
      <c r="BI518">
        <v>13</v>
      </c>
      <c r="BJ518" t="s">
        <v>10217</v>
      </c>
      <c r="BK518" t="s">
        <v>104</v>
      </c>
      <c r="BL518" t="s">
        <v>10218</v>
      </c>
      <c r="BM518" t="s">
        <v>10219</v>
      </c>
      <c r="BN518" t="s">
        <v>74</v>
      </c>
      <c r="BO518" t="s">
        <v>74</v>
      </c>
      <c r="BP518" t="s">
        <v>74</v>
      </c>
      <c r="BQ518" t="s">
        <v>74</v>
      </c>
      <c r="BR518" t="s">
        <v>107</v>
      </c>
      <c r="BS518" t="s">
        <v>10220</v>
      </c>
      <c r="BT518" t="str">
        <f>HYPERLINK("https%3A%2F%2Fwww.webofscience.com%2Fwos%2Fwoscc%2Ffull-record%2FWOS:001030503400001","View Full Record in Web of Science")</f>
        <v>View Full Record in Web of Science</v>
      </c>
    </row>
    <row r="519" spans="1:72" x14ac:dyDescent="0.15">
      <c r="A519" t="s">
        <v>72</v>
      </c>
      <c r="B519" t="s">
        <v>10221</v>
      </c>
      <c r="C519" t="s">
        <v>74</v>
      </c>
      <c r="D519" t="s">
        <v>74</v>
      </c>
      <c r="E519" t="s">
        <v>74</v>
      </c>
      <c r="F519" t="s">
        <v>10222</v>
      </c>
      <c r="G519" t="s">
        <v>74</v>
      </c>
      <c r="H519" t="s">
        <v>74</v>
      </c>
      <c r="I519" t="s">
        <v>10223</v>
      </c>
      <c r="J519" t="s">
        <v>2213</v>
      </c>
      <c r="K519" t="s">
        <v>74</v>
      </c>
      <c r="L519" t="s">
        <v>74</v>
      </c>
      <c r="M519" t="s">
        <v>78</v>
      </c>
      <c r="N519" t="s">
        <v>79</v>
      </c>
      <c r="O519" t="s">
        <v>74</v>
      </c>
      <c r="P519" t="s">
        <v>74</v>
      </c>
      <c r="Q519" t="s">
        <v>74</v>
      </c>
      <c r="R519" t="s">
        <v>74</v>
      </c>
      <c r="S519" t="s">
        <v>74</v>
      </c>
      <c r="T519" t="s">
        <v>74</v>
      </c>
      <c r="U519" t="s">
        <v>10224</v>
      </c>
      <c r="V519" t="s">
        <v>10225</v>
      </c>
      <c r="W519" t="s">
        <v>10226</v>
      </c>
      <c r="X519" t="s">
        <v>10227</v>
      </c>
      <c r="Y519" t="s">
        <v>10228</v>
      </c>
      <c r="Z519" t="s">
        <v>10229</v>
      </c>
      <c r="AA519" t="s">
        <v>10230</v>
      </c>
      <c r="AB519" t="s">
        <v>10231</v>
      </c>
      <c r="AC519" t="s">
        <v>10232</v>
      </c>
      <c r="AD519" t="s">
        <v>10233</v>
      </c>
      <c r="AE519" t="s">
        <v>10234</v>
      </c>
      <c r="AF519" t="s">
        <v>74</v>
      </c>
      <c r="AG519">
        <v>47</v>
      </c>
      <c r="AH519">
        <v>0</v>
      </c>
      <c r="AI519">
        <v>0</v>
      </c>
      <c r="AJ519">
        <v>3</v>
      </c>
      <c r="AK519">
        <v>3</v>
      </c>
      <c r="AL519" t="s">
        <v>588</v>
      </c>
      <c r="AM519" t="s">
        <v>589</v>
      </c>
      <c r="AN519" t="s">
        <v>590</v>
      </c>
      <c r="AO519" t="s">
        <v>2226</v>
      </c>
      <c r="AP519" t="s">
        <v>2227</v>
      </c>
      <c r="AQ519" t="s">
        <v>74</v>
      </c>
      <c r="AR519" t="s">
        <v>2228</v>
      </c>
      <c r="AS519" t="s">
        <v>2229</v>
      </c>
      <c r="AT519" t="s">
        <v>8791</v>
      </c>
      <c r="AU519">
        <v>2023</v>
      </c>
      <c r="AV519">
        <v>50</v>
      </c>
      <c r="AW519">
        <v>12</v>
      </c>
      <c r="AX519" t="s">
        <v>74</v>
      </c>
      <c r="AY519" t="s">
        <v>74</v>
      </c>
      <c r="AZ519" t="s">
        <v>74</v>
      </c>
      <c r="BA519" t="s">
        <v>74</v>
      </c>
      <c r="BB519" t="s">
        <v>74</v>
      </c>
      <c r="BC519" t="s">
        <v>74</v>
      </c>
      <c r="BD519" t="s">
        <v>10235</v>
      </c>
      <c r="BE519" t="s">
        <v>10236</v>
      </c>
      <c r="BF519" t="str">
        <f>HYPERLINK("http://dx.doi.org/10.1029/2023GL103350","http://dx.doi.org/10.1029/2023GL103350")</f>
        <v>http://dx.doi.org/10.1029/2023GL103350</v>
      </c>
      <c r="BG519" t="s">
        <v>74</v>
      </c>
      <c r="BH519" t="s">
        <v>74</v>
      </c>
      <c r="BI519">
        <v>9</v>
      </c>
      <c r="BJ519" t="s">
        <v>155</v>
      </c>
      <c r="BK519" t="s">
        <v>104</v>
      </c>
      <c r="BL519" t="s">
        <v>156</v>
      </c>
      <c r="BM519" t="s">
        <v>10237</v>
      </c>
      <c r="BN519" t="s">
        <v>74</v>
      </c>
      <c r="BO519" t="s">
        <v>549</v>
      </c>
      <c r="BP519" t="s">
        <v>74</v>
      </c>
      <c r="BQ519" t="s">
        <v>74</v>
      </c>
      <c r="BR519" t="s">
        <v>107</v>
      </c>
      <c r="BS519" t="s">
        <v>10238</v>
      </c>
      <c r="BT519" t="str">
        <f>HYPERLINK("https%3A%2F%2Fwww.webofscience.com%2Fwos%2Fwoscc%2Ffull-record%2FWOS:001058648500005","View Full Record in Web of Science")</f>
        <v>View Full Record in Web of Science</v>
      </c>
    </row>
    <row r="520" spans="1:72" x14ac:dyDescent="0.15">
      <c r="A520" t="s">
        <v>72</v>
      </c>
      <c r="B520" t="s">
        <v>10239</v>
      </c>
      <c r="C520" t="s">
        <v>74</v>
      </c>
      <c r="D520" t="s">
        <v>74</v>
      </c>
      <c r="E520" t="s">
        <v>74</v>
      </c>
      <c r="F520" t="s">
        <v>10240</v>
      </c>
      <c r="G520" t="s">
        <v>74</v>
      </c>
      <c r="H520" t="s">
        <v>74</v>
      </c>
      <c r="I520" t="s">
        <v>10241</v>
      </c>
      <c r="J520" t="s">
        <v>2031</v>
      </c>
      <c r="K520" t="s">
        <v>74</v>
      </c>
      <c r="L520" t="s">
        <v>74</v>
      </c>
      <c r="M520" t="s">
        <v>78</v>
      </c>
      <c r="N520" t="s">
        <v>79</v>
      </c>
      <c r="O520" t="s">
        <v>74</v>
      </c>
      <c r="P520" t="s">
        <v>74</v>
      </c>
      <c r="Q520" t="s">
        <v>74</v>
      </c>
      <c r="R520" t="s">
        <v>74</v>
      </c>
      <c r="S520" t="s">
        <v>74</v>
      </c>
      <c r="T520" t="s">
        <v>10242</v>
      </c>
      <c r="U520" t="s">
        <v>10243</v>
      </c>
      <c r="V520" t="s">
        <v>10244</v>
      </c>
      <c r="W520" t="s">
        <v>10245</v>
      </c>
      <c r="X520" t="s">
        <v>10246</v>
      </c>
      <c r="Y520" t="s">
        <v>10247</v>
      </c>
      <c r="Z520" t="s">
        <v>10248</v>
      </c>
      <c r="AA520" t="s">
        <v>74</v>
      </c>
      <c r="AB520" t="s">
        <v>10249</v>
      </c>
      <c r="AC520" t="s">
        <v>10250</v>
      </c>
      <c r="AD520" t="s">
        <v>10251</v>
      </c>
      <c r="AE520" t="s">
        <v>10252</v>
      </c>
      <c r="AF520" t="s">
        <v>74</v>
      </c>
      <c r="AG520">
        <v>60</v>
      </c>
      <c r="AH520">
        <v>0</v>
      </c>
      <c r="AI520">
        <v>0</v>
      </c>
      <c r="AJ520">
        <v>37</v>
      </c>
      <c r="AK520">
        <v>53</v>
      </c>
      <c r="AL520" t="s">
        <v>172</v>
      </c>
      <c r="AM520" t="s">
        <v>173</v>
      </c>
      <c r="AN520" t="s">
        <v>174</v>
      </c>
      <c r="AO520" t="s">
        <v>2044</v>
      </c>
      <c r="AP520" t="s">
        <v>2045</v>
      </c>
      <c r="AQ520" t="s">
        <v>74</v>
      </c>
      <c r="AR520" t="s">
        <v>2046</v>
      </c>
      <c r="AS520" t="s">
        <v>2047</v>
      </c>
      <c r="AT520" t="s">
        <v>10253</v>
      </c>
      <c r="AU520">
        <v>2023</v>
      </c>
      <c r="AV520">
        <v>894</v>
      </c>
      <c r="AW520" t="s">
        <v>74</v>
      </c>
      <c r="AX520" t="s">
        <v>74</v>
      </c>
      <c r="AY520" t="s">
        <v>74</v>
      </c>
      <c r="AZ520" t="s">
        <v>74</v>
      </c>
      <c r="BA520" t="s">
        <v>74</v>
      </c>
      <c r="BB520" t="s">
        <v>74</v>
      </c>
      <c r="BC520" t="s">
        <v>74</v>
      </c>
      <c r="BD520">
        <v>164263</v>
      </c>
      <c r="BE520" t="s">
        <v>10254</v>
      </c>
      <c r="BF520" t="str">
        <f>HYPERLINK("http://dx.doi.org/10.1016/j.scitotenv.2023.164263","http://dx.doi.org/10.1016/j.scitotenv.2023.164263")</f>
        <v>http://dx.doi.org/10.1016/j.scitotenv.2023.164263</v>
      </c>
      <c r="BG520" t="s">
        <v>74</v>
      </c>
      <c r="BH520" t="s">
        <v>10102</v>
      </c>
      <c r="BI520">
        <v>8</v>
      </c>
      <c r="BJ520" t="s">
        <v>2050</v>
      </c>
      <c r="BK520" t="s">
        <v>104</v>
      </c>
      <c r="BL520" t="s">
        <v>1535</v>
      </c>
      <c r="BM520" t="s">
        <v>10255</v>
      </c>
      <c r="BN520">
        <v>37315614</v>
      </c>
      <c r="BO520" t="s">
        <v>74</v>
      </c>
      <c r="BP520" t="s">
        <v>74</v>
      </c>
      <c r="BQ520" t="s">
        <v>74</v>
      </c>
      <c r="BR520" t="s">
        <v>107</v>
      </c>
      <c r="BS520" t="s">
        <v>10256</v>
      </c>
      <c r="BT520" t="str">
        <f>HYPERLINK("https%3A%2F%2Fwww.webofscience.com%2Fwos%2Fwoscc%2Ffull-record%2FWOS:001032864600001","View Full Record in Web of Science")</f>
        <v>View Full Record in Web of Science</v>
      </c>
    </row>
    <row r="521" spans="1:72" x14ac:dyDescent="0.15">
      <c r="A521" t="s">
        <v>72</v>
      </c>
      <c r="B521" t="s">
        <v>10257</v>
      </c>
      <c r="C521" t="s">
        <v>74</v>
      </c>
      <c r="D521" t="s">
        <v>74</v>
      </c>
      <c r="E521" t="s">
        <v>74</v>
      </c>
      <c r="F521" t="s">
        <v>10258</v>
      </c>
      <c r="G521" t="s">
        <v>74</v>
      </c>
      <c r="H521" t="s">
        <v>74</v>
      </c>
      <c r="I521" t="s">
        <v>10259</v>
      </c>
      <c r="J521" t="s">
        <v>10260</v>
      </c>
      <c r="K521" t="s">
        <v>74</v>
      </c>
      <c r="L521" t="s">
        <v>74</v>
      </c>
      <c r="M521" t="s">
        <v>78</v>
      </c>
      <c r="N521" t="s">
        <v>79</v>
      </c>
      <c r="O521" t="s">
        <v>74</v>
      </c>
      <c r="P521" t="s">
        <v>74</v>
      </c>
      <c r="Q521" t="s">
        <v>74</v>
      </c>
      <c r="R521" t="s">
        <v>74</v>
      </c>
      <c r="S521" t="s">
        <v>74</v>
      </c>
      <c r="T521" t="s">
        <v>10261</v>
      </c>
      <c r="U521" t="s">
        <v>10262</v>
      </c>
      <c r="V521" t="s">
        <v>10263</v>
      </c>
      <c r="W521" t="s">
        <v>10264</v>
      </c>
      <c r="X521" t="s">
        <v>10265</v>
      </c>
      <c r="Y521" t="s">
        <v>10266</v>
      </c>
      <c r="Z521" t="s">
        <v>10267</v>
      </c>
      <c r="AA521" t="s">
        <v>74</v>
      </c>
      <c r="AB521" t="s">
        <v>10268</v>
      </c>
      <c r="AC521" t="s">
        <v>10269</v>
      </c>
      <c r="AD521" t="s">
        <v>10270</v>
      </c>
      <c r="AE521" t="s">
        <v>10271</v>
      </c>
      <c r="AF521" t="s">
        <v>74</v>
      </c>
      <c r="AG521">
        <v>77</v>
      </c>
      <c r="AH521">
        <v>2</v>
      </c>
      <c r="AI521">
        <v>2</v>
      </c>
      <c r="AJ521">
        <v>2</v>
      </c>
      <c r="AK521">
        <v>8</v>
      </c>
      <c r="AL521" t="s">
        <v>10272</v>
      </c>
      <c r="AM521" t="s">
        <v>1528</v>
      </c>
      <c r="AN521" t="s">
        <v>10273</v>
      </c>
      <c r="AO521" t="s">
        <v>10274</v>
      </c>
      <c r="AP521" t="s">
        <v>10275</v>
      </c>
      <c r="AQ521" t="s">
        <v>74</v>
      </c>
      <c r="AR521" t="s">
        <v>10276</v>
      </c>
      <c r="AS521" t="s">
        <v>10277</v>
      </c>
      <c r="AT521" t="s">
        <v>930</v>
      </c>
      <c r="AU521">
        <v>2023</v>
      </c>
      <c r="AV521">
        <v>345</v>
      </c>
      <c r="AW521" t="s">
        <v>74</v>
      </c>
      <c r="AX521" t="s">
        <v>74</v>
      </c>
      <c r="AY521" t="s">
        <v>74</v>
      </c>
      <c r="AZ521" t="s">
        <v>74</v>
      </c>
      <c r="BA521" t="s">
        <v>74</v>
      </c>
      <c r="BB521" t="s">
        <v>74</v>
      </c>
      <c r="BC521" t="s">
        <v>74</v>
      </c>
      <c r="BD521">
        <v>118325</v>
      </c>
      <c r="BE521" t="s">
        <v>10278</v>
      </c>
      <c r="BF521" t="str">
        <f>HYPERLINK("http://dx.doi.org/10.1016/j.jenvman.2023.118325","http://dx.doi.org/10.1016/j.jenvman.2023.118325")</f>
        <v>http://dx.doi.org/10.1016/j.jenvman.2023.118325</v>
      </c>
      <c r="BG521" t="s">
        <v>74</v>
      </c>
      <c r="BH521" t="s">
        <v>10102</v>
      </c>
      <c r="BI521">
        <v>10</v>
      </c>
      <c r="BJ521" t="s">
        <v>2050</v>
      </c>
      <c r="BK521" t="s">
        <v>104</v>
      </c>
      <c r="BL521" t="s">
        <v>1535</v>
      </c>
      <c r="BM521" t="s">
        <v>10279</v>
      </c>
      <c r="BN521">
        <v>37390730</v>
      </c>
      <c r="BO521" t="s">
        <v>4746</v>
      </c>
      <c r="BP521" t="s">
        <v>74</v>
      </c>
      <c r="BQ521" t="s">
        <v>74</v>
      </c>
      <c r="BR521" t="s">
        <v>107</v>
      </c>
      <c r="BS521" t="s">
        <v>10280</v>
      </c>
      <c r="BT521" t="str">
        <f>HYPERLINK("https%3A%2F%2Fwww.webofscience.com%2Fwos%2Fwoscc%2Ffull-record%2FWOS:001027463200001","View Full Record in Web of Science")</f>
        <v>View Full Record in Web of Science</v>
      </c>
    </row>
    <row r="522" spans="1:72" x14ac:dyDescent="0.15">
      <c r="A522" t="s">
        <v>72</v>
      </c>
      <c r="B522" t="s">
        <v>10281</v>
      </c>
      <c r="C522" t="s">
        <v>74</v>
      </c>
      <c r="D522" t="s">
        <v>74</v>
      </c>
      <c r="E522" t="s">
        <v>74</v>
      </c>
      <c r="F522" t="s">
        <v>10282</v>
      </c>
      <c r="G522" t="s">
        <v>74</v>
      </c>
      <c r="H522" t="s">
        <v>74</v>
      </c>
      <c r="I522" t="s">
        <v>10283</v>
      </c>
      <c r="J522" t="s">
        <v>8663</v>
      </c>
      <c r="K522" t="s">
        <v>74</v>
      </c>
      <c r="L522" t="s">
        <v>74</v>
      </c>
      <c r="M522" t="s">
        <v>78</v>
      </c>
      <c r="N522" t="s">
        <v>79</v>
      </c>
      <c r="O522" t="s">
        <v>74</v>
      </c>
      <c r="P522" t="s">
        <v>74</v>
      </c>
      <c r="Q522" t="s">
        <v>74</v>
      </c>
      <c r="R522" t="s">
        <v>74</v>
      </c>
      <c r="S522" t="s">
        <v>74</v>
      </c>
      <c r="T522" t="s">
        <v>74</v>
      </c>
      <c r="U522" t="s">
        <v>10284</v>
      </c>
      <c r="V522" t="s">
        <v>10285</v>
      </c>
      <c r="W522" t="s">
        <v>10286</v>
      </c>
      <c r="X522" t="s">
        <v>10287</v>
      </c>
      <c r="Y522" t="s">
        <v>10288</v>
      </c>
      <c r="Z522" t="s">
        <v>10289</v>
      </c>
      <c r="AA522" t="s">
        <v>74</v>
      </c>
      <c r="AB522" t="s">
        <v>74</v>
      </c>
      <c r="AC522" t="s">
        <v>10290</v>
      </c>
      <c r="AD522" t="s">
        <v>10291</v>
      </c>
      <c r="AE522" t="s">
        <v>10292</v>
      </c>
      <c r="AF522" t="s">
        <v>74</v>
      </c>
      <c r="AG522">
        <v>44</v>
      </c>
      <c r="AH522">
        <v>0</v>
      </c>
      <c r="AI522">
        <v>0</v>
      </c>
      <c r="AJ522">
        <v>2</v>
      </c>
      <c r="AK522">
        <v>4</v>
      </c>
      <c r="AL522" t="s">
        <v>1775</v>
      </c>
      <c r="AM522" t="s">
        <v>1776</v>
      </c>
      <c r="AN522" t="s">
        <v>1777</v>
      </c>
      <c r="AO522" t="s">
        <v>8675</v>
      </c>
      <c r="AP522" t="s">
        <v>8676</v>
      </c>
      <c r="AQ522" t="s">
        <v>74</v>
      </c>
      <c r="AR522" t="s">
        <v>8677</v>
      </c>
      <c r="AS522" t="s">
        <v>8678</v>
      </c>
      <c r="AT522" t="s">
        <v>8791</v>
      </c>
      <c r="AU522">
        <v>2023</v>
      </c>
      <c r="AV522">
        <v>19</v>
      </c>
      <c r="AW522">
        <v>3</v>
      </c>
      <c r="AX522" t="s">
        <v>74</v>
      </c>
      <c r="AY522" t="s">
        <v>74</v>
      </c>
      <c r="AZ522" t="s">
        <v>74</v>
      </c>
      <c r="BA522" t="s">
        <v>74</v>
      </c>
      <c r="BB522">
        <v>953</v>
      </c>
      <c r="BC522">
        <v>971</v>
      </c>
      <c r="BD522" t="s">
        <v>74</v>
      </c>
      <c r="BE522" t="s">
        <v>10293</v>
      </c>
      <c r="BF522" t="str">
        <f>HYPERLINK("http://dx.doi.org/10.5194/os-19-953-2023","http://dx.doi.org/10.5194/os-19-953-2023")</f>
        <v>http://dx.doi.org/10.5194/os-19-953-2023</v>
      </c>
      <c r="BG522" t="s">
        <v>74</v>
      </c>
      <c r="BH522" t="s">
        <v>74</v>
      </c>
      <c r="BI522">
        <v>19</v>
      </c>
      <c r="BJ522" t="s">
        <v>4321</v>
      </c>
      <c r="BK522" t="s">
        <v>104</v>
      </c>
      <c r="BL522" t="s">
        <v>4321</v>
      </c>
      <c r="BM522" t="s">
        <v>10294</v>
      </c>
      <c r="BN522" t="s">
        <v>74</v>
      </c>
      <c r="BO522" t="s">
        <v>771</v>
      </c>
      <c r="BP522" t="s">
        <v>74</v>
      </c>
      <c r="BQ522" t="s">
        <v>74</v>
      </c>
      <c r="BR522" t="s">
        <v>107</v>
      </c>
      <c r="BS522" t="s">
        <v>10295</v>
      </c>
      <c r="BT522" t="str">
        <f>HYPERLINK("https%3A%2F%2Fwww.webofscience.com%2Fwos%2Fwoscc%2Ffull-record%2FWOS:001021534600001","View Full Record in Web of Science")</f>
        <v>View Full Record in Web of Science</v>
      </c>
    </row>
    <row r="523" spans="1:72" x14ac:dyDescent="0.15">
      <c r="A523" t="s">
        <v>72</v>
      </c>
      <c r="B523" t="s">
        <v>10296</v>
      </c>
      <c r="C523" t="s">
        <v>74</v>
      </c>
      <c r="D523" t="s">
        <v>74</v>
      </c>
      <c r="E523" t="s">
        <v>74</v>
      </c>
      <c r="F523" t="s">
        <v>10297</v>
      </c>
      <c r="G523" t="s">
        <v>74</v>
      </c>
      <c r="H523" t="s">
        <v>74</v>
      </c>
      <c r="I523" t="s">
        <v>10298</v>
      </c>
      <c r="J523" t="s">
        <v>2213</v>
      </c>
      <c r="K523" t="s">
        <v>74</v>
      </c>
      <c r="L523" t="s">
        <v>74</v>
      </c>
      <c r="M523" t="s">
        <v>78</v>
      </c>
      <c r="N523" t="s">
        <v>79</v>
      </c>
      <c r="O523" t="s">
        <v>74</v>
      </c>
      <c r="P523" t="s">
        <v>74</v>
      </c>
      <c r="Q523" t="s">
        <v>74</v>
      </c>
      <c r="R523" t="s">
        <v>74</v>
      </c>
      <c r="S523" t="s">
        <v>74</v>
      </c>
      <c r="T523" t="s">
        <v>74</v>
      </c>
      <c r="U523" t="s">
        <v>10299</v>
      </c>
      <c r="V523" t="s">
        <v>10300</v>
      </c>
      <c r="W523" t="s">
        <v>10301</v>
      </c>
      <c r="X523" t="s">
        <v>10302</v>
      </c>
      <c r="Y523" t="s">
        <v>10303</v>
      </c>
      <c r="Z523" t="s">
        <v>10304</v>
      </c>
      <c r="AA523" t="s">
        <v>10305</v>
      </c>
      <c r="AB523" t="s">
        <v>10306</v>
      </c>
      <c r="AC523" t="s">
        <v>10307</v>
      </c>
      <c r="AD523" t="s">
        <v>10308</v>
      </c>
      <c r="AE523" t="s">
        <v>10309</v>
      </c>
      <c r="AF523" t="s">
        <v>74</v>
      </c>
      <c r="AG523">
        <v>57</v>
      </c>
      <c r="AH523">
        <v>8</v>
      </c>
      <c r="AI523">
        <v>8</v>
      </c>
      <c r="AJ523">
        <v>3</v>
      </c>
      <c r="AK523">
        <v>3</v>
      </c>
      <c r="AL523" t="s">
        <v>588</v>
      </c>
      <c r="AM523" t="s">
        <v>589</v>
      </c>
      <c r="AN523" t="s">
        <v>590</v>
      </c>
      <c r="AO523" t="s">
        <v>2226</v>
      </c>
      <c r="AP523" t="s">
        <v>2227</v>
      </c>
      <c r="AQ523" t="s">
        <v>74</v>
      </c>
      <c r="AR523" t="s">
        <v>2228</v>
      </c>
      <c r="AS523" t="s">
        <v>2229</v>
      </c>
      <c r="AT523" t="s">
        <v>8791</v>
      </c>
      <c r="AU523">
        <v>2023</v>
      </c>
      <c r="AV523">
        <v>50</v>
      </c>
      <c r="AW523">
        <v>12</v>
      </c>
      <c r="AX523" t="s">
        <v>74</v>
      </c>
      <c r="AY523" t="s">
        <v>74</v>
      </c>
      <c r="AZ523" t="s">
        <v>74</v>
      </c>
      <c r="BA523" t="s">
        <v>74</v>
      </c>
      <c r="BB523" t="s">
        <v>74</v>
      </c>
      <c r="BC523" t="s">
        <v>74</v>
      </c>
      <c r="BD523" t="s">
        <v>10310</v>
      </c>
      <c r="BE523" t="s">
        <v>10311</v>
      </c>
      <c r="BF523" t="str">
        <f>HYPERLINK("http://dx.doi.org/10.1029/2023GL102744","http://dx.doi.org/10.1029/2023GL102744")</f>
        <v>http://dx.doi.org/10.1029/2023GL102744</v>
      </c>
      <c r="BG523" t="s">
        <v>74</v>
      </c>
      <c r="BH523" t="s">
        <v>74</v>
      </c>
      <c r="BI523">
        <v>11</v>
      </c>
      <c r="BJ523" t="s">
        <v>155</v>
      </c>
      <c r="BK523" t="s">
        <v>104</v>
      </c>
      <c r="BL523" t="s">
        <v>156</v>
      </c>
      <c r="BM523" t="s">
        <v>10312</v>
      </c>
      <c r="BN523" t="s">
        <v>74</v>
      </c>
      <c r="BO523" t="s">
        <v>1217</v>
      </c>
      <c r="BP523" t="s">
        <v>74</v>
      </c>
      <c r="BQ523" t="s">
        <v>74</v>
      </c>
      <c r="BR523" t="s">
        <v>107</v>
      </c>
      <c r="BS523" t="s">
        <v>10313</v>
      </c>
      <c r="BT523" t="str">
        <f>HYPERLINK("https%3A%2F%2Fwww.webofscience.com%2Fwos%2Fwoscc%2Ffull-record%2FWOS:001011995700001","View Full Record in Web of Science")</f>
        <v>View Full Record in Web of Science</v>
      </c>
    </row>
    <row r="524" spans="1:72" x14ac:dyDescent="0.15">
      <c r="A524" t="s">
        <v>72</v>
      </c>
      <c r="B524" t="s">
        <v>10314</v>
      </c>
      <c r="C524" t="s">
        <v>74</v>
      </c>
      <c r="D524" t="s">
        <v>74</v>
      </c>
      <c r="E524" t="s">
        <v>74</v>
      </c>
      <c r="F524" t="s">
        <v>10315</v>
      </c>
      <c r="G524" t="s">
        <v>74</v>
      </c>
      <c r="H524" t="s">
        <v>74</v>
      </c>
      <c r="I524" t="s">
        <v>10316</v>
      </c>
      <c r="J524" t="s">
        <v>3107</v>
      </c>
      <c r="K524" t="s">
        <v>74</v>
      </c>
      <c r="L524" t="s">
        <v>74</v>
      </c>
      <c r="M524" t="s">
        <v>78</v>
      </c>
      <c r="N524" t="s">
        <v>79</v>
      </c>
      <c r="O524" t="s">
        <v>74</v>
      </c>
      <c r="P524" t="s">
        <v>74</v>
      </c>
      <c r="Q524" t="s">
        <v>74</v>
      </c>
      <c r="R524" t="s">
        <v>74</v>
      </c>
      <c r="S524" t="s">
        <v>74</v>
      </c>
      <c r="T524" t="s">
        <v>74</v>
      </c>
      <c r="U524" t="s">
        <v>10317</v>
      </c>
      <c r="V524" t="s">
        <v>10318</v>
      </c>
      <c r="W524" t="s">
        <v>10319</v>
      </c>
      <c r="X524" t="s">
        <v>10320</v>
      </c>
      <c r="Y524" t="s">
        <v>10321</v>
      </c>
      <c r="Z524" t="s">
        <v>10322</v>
      </c>
      <c r="AA524" t="s">
        <v>10323</v>
      </c>
      <c r="AB524" t="s">
        <v>10324</v>
      </c>
      <c r="AC524" t="s">
        <v>10325</v>
      </c>
      <c r="AD524" t="s">
        <v>10326</v>
      </c>
      <c r="AE524" t="s">
        <v>10327</v>
      </c>
      <c r="AF524" t="s">
        <v>74</v>
      </c>
      <c r="AG524">
        <v>53</v>
      </c>
      <c r="AH524">
        <v>1</v>
      </c>
      <c r="AI524">
        <v>1</v>
      </c>
      <c r="AJ524">
        <v>1</v>
      </c>
      <c r="AK524">
        <v>2</v>
      </c>
      <c r="AL524" t="s">
        <v>460</v>
      </c>
      <c r="AM524" t="s">
        <v>461</v>
      </c>
      <c r="AN524" t="s">
        <v>462</v>
      </c>
      <c r="AO524" t="s">
        <v>3119</v>
      </c>
      <c r="AP524" t="s">
        <v>3120</v>
      </c>
      <c r="AQ524" t="s">
        <v>74</v>
      </c>
      <c r="AR524" t="s">
        <v>3121</v>
      </c>
      <c r="AS524" t="s">
        <v>3122</v>
      </c>
      <c r="AT524" t="s">
        <v>3612</v>
      </c>
      <c r="AU524">
        <v>2023</v>
      </c>
      <c r="AV524">
        <v>58</v>
      </c>
      <c r="AW524">
        <v>7</v>
      </c>
      <c r="AX524" t="s">
        <v>74</v>
      </c>
      <c r="AY524" t="s">
        <v>74</v>
      </c>
      <c r="AZ524" t="s">
        <v>74</v>
      </c>
      <c r="BA524" t="s">
        <v>74</v>
      </c>
      <c r="BB524">
        <v>1018</v>
      </c>
      <c r="BC524">
        <v>1038</v>
      </c>
      <c r="BD524" t="s">
        <v>74</v>
      </c>
      <c r="BE524" t="s">
        <v>10328</v>
      </c>
      <c r="BF524" t="str">
        <f>HYPERLINK("http://dx.doi.org/10.1111/maps.14034","http://dx.doi.org/10.1111/maps.14034")</f>
        <v>http://dx.doi.org/10.1111/maps.14034</v>
      </c>
      <c r="BG524" t="s">
        <v>74</v>
      </c>
      <c r="BH524" t="s">
        <v>10102</v>
      </c>
      <c r="BI524">
        <v>21</v>
      </c>
      <c r="BJ524" t="s">
        <v>597</v>
      </c>
      <c r="BK524" t="s">
        <v>104</v>
      </c>
      <c r="BL524" t="s">
        <v>597</v>
      </c>
      <c r="BM524" t="s">
        <v>10329</v>
      </c>
      <c r="BN524" t="s">
        <v>74</v>
      </c>
      <c r="BO524" t="s">
        <v>883</v>
      </c>
      <c r="BP524" t="s">
        <v>74</v>
      </c>
      <c r="BQ524" t="s">
        <v>74</v>
      </c>
      <c r="BR524" t="s">
        <v>107</v>
      </c>
      <c r="BS524" t="s">
        <v>10330</v>
      </c>
      <c r="BT524" t="str">
        <f>HYPERLINK("https%3A%2F%2Fwww.webofscience.com%2Fwos%2Fwoscc%2Ffull-record%2FWOS:001021351500001","View Full Record in Web of Science")</f>
        <v>View Full Record in Web of Science</v>
      </c>
    </row>
    <row r="525" spans="1:72" x14ac:dyDescent="0.15">
      <c r="A525" t="s">
        <v>72</v>
      </c>
      <c r="B525" t="s">
        <v>10331</v>
      </c>
      <c r="C525" t="s">
        <v>74</v>
      </c>
      <c r="D525" t="s">
        <v>74</v>
      </c>
      <c r="E525" t="s">
        <v>74</v>
      </c>
      <c r="F525" t="s">
        <v>10332</v>
      </c>
      <c r="G525" t="s">
        <v>74</v>
      </c>
      <c r="H525" t="s">
        <v>74</v>
      </c>
      <c r="I525" t="s">
        <v>10333</v>
      </c>
      <c r="J525" t="s">
        <v>10334</v>
      </c>
      <c r="K525" t="s">
        <v>74</v>
      </c>
      <c r="L525" t="s">
        <v>74</v>
      </c>
      <c r="M525" t="s">
        <v>78</v>
      </c>
      <c r="N525" t="s">
        <v>79</v>
      </c>
      <c r="O525" t="s">
        <v>74</v>
      </c>
      <c r="P525" t="s">
        <v>74</v>
      </c>
      <c r="Q525" t="s">
        <v>74</v>
      </c>
      <c r="R525" t="s">
        <v>74</v>
      </c>
      <c r="S525" t="s">
        <v>74</v>
      </c>
      <c r="T525" t="s">
        <v>10335</v>
      </c>
      <c r="U525" t="s">
        <v>10336</v>
      </c>
      <c r="V525" t="s">
        <v>10337</v>
      </c>
      <c r="W525" t="s">
        <v>10338</v>
      </c>
      <c r="X525" t="s">
        <v>10339</v>
      </c>
      <c r="Y525" t="s">
        <v>10340</v>
      </c>
      <c r="Z525" t="s">
        <v>10341</v>
      </c>
      <c r="AA525" t="s">
        <v>10342</v>
      </c>
      <c r="AB525" t="s">
        <v>10343</v>
      </c>
      <c r="AC525" t="s">
        <v>74</v>
      </c>
      <c r="AD525" t="s">
        <v>74</v>
      </c>
      <c r="AE525" t="s">
        <v>74</v>
      </c>
      <c r="AF525" t="s">
        <v>74</v>
      </c>
      <c r="AG525">
        <v>58</v>
      </c>
      <c r="AH525">
        <v>3</v>
      </c>
      <c r="AI525">
        <v>3</v>
      </c>
      <c r="AJ525">
        <v>12</v>
      </c>
      <c r="AK525">
        <v>18</v>
      </c>
      <c r="AL525" t="s">
        <v>460</v>
      </c>
      <c r="AM525" t="s">
        <v>461</v>
      </c>
      <c r="AN525" t="s">
        <v>462</v>
      </c>
      <c r="AO525" t="s">
        <v>10344</v>
      </c>
      <c r="AP525" t="s">
        <v>10345</v>
      </c>
      <c r="AQ525" t="s">
        <v>74</v>
      </c>
      <c r="AR525" t="s">
        <v>10346</v>
      </c>
      <c r="AS525" t="s">
        <v>10347</v>
      </c>
      <c r="AT525" t="s">
        <v>1810</v>
      </c>
      <c r="AU525">
        <v>2023</v>
      </c>
      <c r="AV525">
        <v>37</v>
      </c>
      <c r="AW525">
        <v>5</v>
      </c>
      <c r="AX525" t="s">
        <v>74</v>
      </c>
      <c r="AY525" t="s">
        <v>74</v>
      </c>
      <c r="AZ525" t="s">
        <v>74</v>
      </c>
      <c r="BA525" t="s">
        <v>74</v>
      </c>
      <c r="BB525" t="s">
        <v>74</v>
      </c>
      <c r="BC525" t="s">
        <v>74</v>
      </c>
      <c r="BD525" t="s">
        <v>74</v>
      </c>
      <c r="BE525" t="s">
        <v>10348</v>
      </c>
      <c r="BF525" t="str">
        <f>HYPERLINK("http://dx.doi.org/10.1111/cobi.14090","http://dx.doi.org/10.1111/cobi.14090")</f>
        <v>http://dx.doi.org/10.1111/cobi.14090</v>
      </c>
      <c r="BG525" t="s">
        <v>74</v>
      </c>
      <c r="BH525" t="s">
        <v>10102</v>
      </c>
      <c r="BI525">
        <v>15</v>
      </c>
      <c r="BJ525" t="s">
        <v>10349</v>
      </c>
      <c r="BK525" t="s">
        <v>104</v>
      </c>
      <c r="BL525" t="s">
        <v>1905</v>
      </c>
      <c r="BM525" t="s">
        <v>10350</v>
      </c>
      <c r="BN525">
        <v>37246556</v>
      </c>
      <c r="BO525" t="s">
        <v>549</v>
      </c>
      <c r="BP525" t="s">
        <v>74</v>
      </c>
      <c r="BQ525" t="s">
        <v>74</v>
      </c>
      <c r="BR525" t="s">
        <v>107</v>
      </c>
      <c r="BS525" t="s">
        <v>10351</v>
      </c>
      <c r="BT525" t="str">
        <f>HYPERLINK("https%3A%2F%2Fwww.webofscience.com%2Fwos%2Fwoscc%2Ffull-record%2FWOS:001021076300001","View Full Record in Web of Science")</f>
        <v>View Full Record in Web of Science</v>
      </c>
    </row>
    <row r="526" spans="1:72" x14ac:dyDescent="0.15">
      <c r="A526" t="s">
        <v>72</v>
      </c>
      <c r="B526" t="s">
        <v>10352</v>
      </c>
      <c r="C526" t="s">
        <v>74</v>
      </c>
      <c r="D526" t="s">
        <v>74</v>
      </c>
      <c r="E526" t="s">
        <v>74</v>
      </c>
      <c r="F526" t="s">
        <v>10353</v>
      </c>
      <c r="G526" t="s">
        <v>74</v>
      </c>
      <c r="H526" t="s">
        <v>74</v>
      </c>
      <c r="I526" t="s">
        <v>10354</v>
      </c>
      <c r="J526" t="s">
        <v>10355</v>
      </c>
      <c r="K526" t="s">
        <v>74</v>
      </c>
      <c r="L526" t="s">
        <v>74</v>
      </c>
      <c r="M526" t="s">
        <v>78</v>
      </c>
      <c r="N526" t="s">
        <v>79</v>
      </c>
      <c r="O526" t="s">
        <v>74</v>
      </c>
      <c r="P526" t="s">
        <v>74</v>
      </c>
      <c r="Q526" t="s">
        <v>74</v>
      </c>
      <c r="R526" t="s">
        <v>74</v>
      </c>
      <c r="S526" t="s">
        <v>74</v>
      </c>
      <c r="T526" t="s">
        <v>10356</v>
      </c>
      <c r="U526" t="s">
        <v>10357</v>
      </c>
      <c r="V526" t="s">
        <v>10358</v>
      </c>
      <c r="W526" t="s">
        <v>10359</v>
      </c>
      <c r="X526" t="s">
        <v>10360</v>
      </c>
      <c r="Y526" t="s">
        <v>10361</v>
      </c>
      <c r="Z526" t="s">
        <v>10362</v>
      </c>
      <c r="AA526" t="s">
        <v>74</v>
      </c>
      <c r="AB526" t="s">
        <v>10363</v>
      </c>
      <c r="AC526" t="s">
        <v>10364</v>
      </c>
      <c r="AD526" t="s">
        <v>10365</v>
      </c>
      <c r="AE526" t="s">
        <v>10366</v>
      </c>
      <c r="AF526" t="s">
        <v>74</v>
      </c>
      <c r="AG526">
        <v>31</v>
      </c>
      <c r="AH526">
        <v>0</v>
      </c>
      <c r="AI526">
        <v>0</v>
      </c>
      <c r="AJ526">
        <v>0</v>
      </c>
      <c r="AK526">
        <v>4</v>
      </c>
      <c r="AL526" t="s">
        <v>460</v>
      </c>
      <c r="AM526" t="s">
        <v>461</v>
      </c>
      <c r="AN526" t="s">
        <v>462</v>
      </c>
      <c r="AO526" t="s">
        <v>10367</v>
      </c>
      <c r="AP526" t="s">
        <v>10368</v>
      </c>
      <c r="AQ526" t="s">
        <v>74</v>
      </c>
      <c r="AR526" t="s">
        <v>10369</v>
      </c>
      <c r="AS526" t="s">
        <v>10370</v>
      </c>
      <c r="AT526" t="s">
        <v>97</v>
      </c>
      <c r="AU526">
        <v>2023</v>
      </c>
      <c r="AV526">
        <v>17</v>
      </c>
      <c r="AW526">
        <v>9</v>
      </c>
      <c r="AX526" t="s">
        <v>74</v>
      </c>
      <c r="AY526" t="s">
        <v>74</v>
      </c>
      <c r="AZ526" t="s">
        <v>74</v>
      </c>
      <c r="BA526" t="s">
        <v>74</v>
      </c>
      <c r="BB526">
        <v>1391</v>
      </c>
      <c r="BC526">
        <v>1404</v>
      </c>
      <c r="BD526" t="s">
        <v>74</v>
      </c>
      <c r="BE526" t="s">
        <v>10371</v>
      </c>
      <c r="BF526" t="str">
        <f>HYPERLINK("http://dx.doi.org/10.1049/rsn2.12428","http://dx.doi.org/10.1049/rsn2.12428")</f>
        <v>http://dx.doi.org/10.1049/rsn2.12428</v>
      </c>
      <c r="BG526" t="s">
        <v>74</v>
      </c>
      <c r="BH526" t="s">
        <v>10102</v>
      </c>
      <c r="BI526">
        <v>14</v>
      </c>
      <c r="BJ526" t="s">
        <v>10372</v>
      </c>
      <c r="BK526" t="s">
        <v>104</v>
      </c>
      <c r="BL526" t="s">
        <v>10373</v>
      </c>
      <c r="BM526" t="s">
        <v>10374</v>
      </c>
      <c r="BN526" t="s">
        <v>74</v>
      </c>
      <c r="BO526" t="s">
        <v>447</v>
      </c>
      <c r="BP526" t="s">
        <v>74</v>
      </c>
      <c r="BQ526" t="s">
        <v>74</v>
      </c>
      <c r="BR526" t="s">
        <v>107</v>
      </c>
      <c r="BS526" t="s">
        <v>10375</v>
      </c>
      <c r="BT526" t="str">
        <f>HYPERLINK("https%3A%2F%2Fwww.webofscience.com%2Fwos%2Fwoscc%2Ffull-record%2FWOS:001017966200001","View Full Record in Web of Science")</f>
        <v>View Full Record in Web of Science</v>
      </c>
    </row>
    <row r="527" spans="1:72" x14ac:dyDescent="0.15">
      <c r="A527" t="s">
        <v>72</v>
      </c>
      <c r="B527" t="s">
        <v>10376</v>
      </c>
      <c r="C527" t="s">
        <v>74</v>
      </c>
      <c r="D527" t="s">
        <v>74</v>
      </c>
      <c r="E527" t="s">
        <v>74</v>
      </c>
      <c r="F527" t="s">
        <v>10377</v>
      </c>
      <c r="G527" t="s">
        <v>74</v>
      </c>
      <c r="H527" t="s">
        <v>74</v>
      </c>
      <c r="I527" t="s">
        <v>10378</v>
      </c>
      <c r="J527" t="s">
        <v>10379</v>
      </c>
      <c r="K527" t="s">
        <v>74</v>
      </c>
      <c r="L527" t="s">
        <v>74</v>
      </c>
      <c r="M527" t="s">
        <v>78</v>
      </c>
      <c r="N527" t="s">
        <v>79</v>
      </c>
      <c r="O527" t="s">
        <v>74</v>
      </c>
      <c r="P527" t="s">
        <v>74</v>
      </c>
      <c r="Q527" t="s">
        <v>74</v>
      </c>
      <c r="R527" t="s">
        <v>74</v>
      </c>
      <c r="S527" t="s">
        <v>74</v>
      </c>
      <c r="T527" t="s">
        <v>74</v>
      </c>
      <c r="U527" t="s">
        <v>10380</v>
      </c>
      <c r="V527" t="s">
        <v>10381</v>
      </c>
      <c r="W527" t="s">
        <v>10382</v>
      </c>
      <c r="X527" t="s">
        <v>1650</v>
      </c>
      <c r="Y527" t="s">
        <v>10383</v>
      </c>
      <c r="Z527" t="s">
        <v>10384</v>
      </c>
      <c r="AA527" t="s">
        <v>10385</v>
      </c>
      <c r="AB527" t="s">
        <v>10386</v>
      </c>
      <c r="AC527" t="s">
        <v>10387</v>
      </c>
      <c r="AD527" t="s">
        <v>10388</v>
      </c>
      <c r="AE527" t="s">
        <v>10389</v>
      </c>
      <c r="AF527" t="s">
        <v>74</v>
      </c>
      <c r="AG527">
        <v>112</v>
      </c>
      <c r="AH527">
        <v>2</v>
      </c>
      <c r="AI527">
        <v>2</v>
      </c>
      <c r="AJ527">
        <v>1</v>
      </c>
      <c r="AK527">
        <v>3</v>
      </c>
      <c r="AL527" t="s">
        <v>10390</v>
      </c>
      <c r="AM527" t="s">
        <v>10391</v>
      </c>
      <c r="AN527" t="s">
        <v>10392</v>
      </c>
      <c r="AO527" t="s">
        <v>10393</v>
      </c>
      <c r="AP527" t="s">
        <v>10394</v>
      </c>
      <c r="AQ527" t="s">
        <v>74</v>
      </c>
      <c r="AR527" t="s">
        <v>10395</v>
      </c>
      <c r="AS527" t="s">
        <v>10396</v>
      </c>
      <c r="AT527" t="s">
        <v>10397</v>
      </c>
      <c r="AU527">
        <v>2022</v>
      </c>
      <c r="AV527">
        <v>42</v>
      </c>
      <c r="AW527">
        <v>6</v>
      </c>
      <c r="AX527" t="s">
        <v>74</v>
      </c>
      <c r="AY527" t="s">
        <v>74</v>
      </c>
      <c r="AZ527" t="s">
        <v>74</v>
      </c>
      <c r="BA527" t="s">
        <v>74</v>
      </c>
      <c r="BB527" t="s">
        <v>74</v>
      </c>
      <c r="BC527" t="s">
        <v>74</v>
      </c>
      <c r="BD527" t="s">
        <v>74</v>
      </c>
      <c r="BE527" t="s">
        <v>10398</v>
      </c>
      <c r="BF527" t="str">
        <f>HYPERLINK("http://dx.doi.org/10.1080/02724634.2023.2216260","http://dx.doi.org/10.1080/02724634.2023.2216260")</f>
        <v>http://dx.doi.org/10.1080/02724634.2023.2216260</v>
      </c>
      <c r="BG527" t="s">
        <v>74</v>
      </c>
      <c r="BH527" t="s">
        <v>10102</v>
      </c>
      <c r="BI527">
        <v>21</v>
      </c>
      <c r="BJ527" t="s">
        <v>10082</v>
      </c>
      <c r="BK527" t="s">
        <v>104</v>
      </c>
      <c r="BL527" t="s">
        <v>10082</v>
      </c>
      <c r="BM527" t="s">
        <v>10399</v>
      </c>
      <c r="BN527" t="s">
        <v>74</v>
      </c>
      <c r="BO527" t="s">
        <v>74</v>
      </c>
      <c r="BP527" t="s">
        <v>74</v>
      </c>
      <c r="BQ527" t="s">
        <v>74</v>
      </c>
      <c r="BR527" t="s">
        <v>107</v>
      </c>
      <c r="BS527" t="s">
        <v>10400</v>
      </c>
      <c r="BT527" t="str">
        <f>HYPERLINK("https%3A%2F%2Fwww.webofscience.com%2Fwos%2Fwoscc%2Ffull-record%2FWOS:001018084800001","View Full Record in Web of Science")</f>
        <v>View Full Record in Web of Science</v>
      </c>
    </row>
    <row r="528" spans="1:72" x14ac:dyDescent="0.15">
      <c r="A528" t="s">
        <v>72</v>
      </c>
      <c r="B528" t="s">
        <v>10401</v>
      </c>
      <c r="C528" t="s">
        <v>74</v>
      </c>
      <c r="D528" t="s">
        <v>74</v>
      </c>
      <c r="E528" t="s">
        <v>74</v>
      </c>
      <c r="F528" t="s">
        <v>10402</v>
      </c>
      <c r="G528" t="s">
        <v>74</v>
      </c>
      <c r="H528" t="s">
        <v>74</v>
      </c>
      <c r="I528" t="s">
        <v>10403</v>
      </c>
      <c r="J528" t="s">
        <v>2213</v>
      </c>
      <c r="K528" t="s">
        <v>74</v>
      </c>
      <c r="L528" t="s">
        <v>74</v>
      </c>
      <c r="M528" t="s">
        <v>78</v>
      </c>
      <c r="N528" t="s">
        <v>79</v>
      </c>
      <c r="O528" t="s">
        <v>74</v>
      </c>
      <c r="P528" t="s">
        <v>74</v>
      </c>
      <c r="Q528" t="s">
        <v>74</v>
      </c>
      <c r="R528" t="s">
        <v>74</v>
      </c>
      <c r="S528" t="s">
        <v>74</v>
      </c>
      <c r="T528" t="s">
        <v>10404</v>
      </c>
      <c r="U528" t="s">
        <v>10405</v>
      </c>
      <c r="V528" t="s">
        <v>10406</v>
      </c>
      <c r="W528" t="s">
        <v>10407</v>
      </c>
      <c r="X528" t="s">
        <v>10408</v>
      </c>
      <c r="Y528" t="s">
        <v>10409</v>
      </c>
      <c r="Z528" t="s">
        <v>10410</v>
      </c>
      <c r="AA528" t="s">
        <v>10411</v>
      </c>
      <c r="AB528" t="s">
        <v>10412</v>
      </c>
      <c r="AC528" t="s">
        <v>10413</v>
      </c>
      <c r="AD528" t="s">
        <v>10414</v>
      </c>
      <c r="AE528" t="s">
        <v>10415</v>
      </c>
      <c r="AF528" t="s">
        <v>74</v>
      </c>
      <c r="AG528">
        <v>51</v>
      </c>
      <c r="AH528">
        <v>3</v>
      </c>
      <c r="AI528">
        <v>3</v>
      </c>
      <c r="AJ528">
        <v>0</v>
      </c>
      <c r="AK528">
        <v>0</v>
      </c>
      <c r="AL528" t="s">
        <v>588</v>
      </c>
      <c r="AM528" t="s">
        <v>589</v>
      </c>
      <c r="AN528" t="s">
        <v>590</v>
      </c>
      <c r="AO528" t="s">
        <v>2226</v>
      </c>
      <c r="AP528" t="s">
        <v>2227</v>
      </c>
      <c r="AQ528" t="s">
        <v>74</v>
      </c>
      <c r="AR528" t="s">
        <v>2228</v>
      </c>
      <c r="AS528" t="s">
        <v>2229</v>
      </c>
      <c r="AT528" t="s">
        <v>8791</v>
      </c>
      <c r="AU528">
        <v>2023</v>
      </c>
      <c r="AV528">
        <v>50</v>
      </c>
      <c r="AW528">
        <v>12</v>
      </c>
      <c r="AX528" t="s">
        <v>74</v>
      </c>
      <c r="AY528" t="s">
        <v>74</v>
      </c>
      <c r="AZ528" t="s">
        <v>74</v>
      </c>
      <c r="BA528" t="s">
        <v>74</v>
      </c>
      <c r="BB528" t="s">
        <v>74</v>
      </c>
      <c r="BC528" t="s">
        <v>74</v>
      </c>
      <c r="BD528" t="s">
        <v>10416</v>
      </c>
      <c r="BE528" t="s">
        <v>10417</v>
      </c>
      <c r="BF528" t="str">
        <f>HYPERLINK("http://dx.doi.org/10.1029/2023GL102816","http://dx.doi.org/10.1029/2023GL102816")</f>
        <v>http://dx.doi.org/10.1029/2023GL102816</v>
      </c>
      <c r="BG528" t="s">
        <v>74</v>
      </c>
      <c r="BH528" t="s">
        <v>74</v>
      </c>
      <c r="BI528">
        <v>9</v>
      </c>
      <c r="BJ528" t="s">
        <v>155</v>
      </c>
      <c r="BK528" t="s">
        <v>104</v>
      </c>
      <c r="BL528" t="s">
        <v>156</v>
      </c>
      <c r="BM528" t="s">
        <v>10418</v>
      </c>
      <c r="BN528" t="s">
        <v>74</v>
      </c>
      <c r="BO528" t="s">
        <v>10419</v>
      </c>
      <c r="BP528" t="s">
        <v>74</v>
      </c>
      <c r="BQ528" t="s">
        <v>74</v>
      </c>
      <c r="BR528" t="s">
        <v>107</v>
      </c>
      <c r="BS528" t="s">
        <v>10420</v>
      </c>
      <c r="BT528" t="str">
        <f>HYPERLINK("https%3A%2F%2Fwww.webofscience.com%2Fwos%2Fwoscc%2Ffull-record%2FWOS:001013120500001","View Full Record in Web of Science")</f>
        <v>View Full Record in Web of Science</v>
      </c>
    </row>
    <row r="529" spans="1:72" x14ac:dyDescent="0.15">
      <c r="A529" t="s">
        <v>72</v>
      </c>
      <c r="B529" t="s">
        <v>10421</v>
      </c>
      <c r="C529" t="s">
        <v>74</v>
      </c>
      <c r="D529" t="s">
        <v>74</v>
      </c>
      <c r="E529" t="s">
        <v>74</v>
      </c>
      <c r="F529" t="s">
        <v>10422</v>
      </c>
      <c r="G529" t="s">
        <v>74</v>
      </c>
      <c r="H529" t="s">
        <v>74</v>
      </c>
      <c r="I529" t="s">
        <v>10423</v>
      </c>
      <c r="J529" t="s">
        <v>2213</v>
      </c>
      <c r="K529" t="s">
        <v>74</v>
      </c>
      <c r="L529" t="s">
        <v>74</v>
      </c>
      <c r="M529" t="s">
        <v>78</v>
      </c>
      <c r="N529" t="s">
        <v>79</v>
      </c>
      <c r="O529" t="s">
        <v>74</v>
      </c>
      <c r="P529" t="s">
        <v>74</v>
      </c>
      <c r="Q529" t="s">
        <v>74</v>
      </c>
      <c r="R529" t="s">
        <v>74</v>
      </c>
      <c r="S529" t="s">
        <v>74</v>
      </c>
      <c r="T529" t="s">
        <v>10424</v>
      </c>
      <c r="U529" t="s">
        <v>10425</v>
      </c>
      <c r="V529" t="s">
        <v>10426</v>
      </c>
      <c r="W529" t="s">
        <v>10427</v>
      </c>
      <c r="X529" t="s">
        <v>10428</v>
      </c>
      <c r="Y529" t="s">
        <v>10429</v>
      </c>
      <c r="Z529" t="s">
        <v>10430</v>
      </c>
      <c r="AA529" t="s">
        <v>10431</v>
      </c>
      <c r="AB529" t="s">
        <v>10432</v>
      </c>
      <c r="AC529" t="s">
        <v>10433</v>
      </c>
      <c r="AD529" t="s">
        <v>10434</v>
      </c>
      <c r="AE529" t="s">
        <v>10435</v>
      </c>
      <c r="AF529" t="s">
        <v>74</v>
      </c>
      <c r="AG529">
        <v>63</v>
      </c>
      <c r="AH529">
        <v>4</v>
      </c>
      <c r="AI529">
        <v>4</v>
      </c>
      <c r="AJ529">
        <v>4</v>
      </c>
      <c r="AK529">
        <v>9</v>
      </c>
      <c r="AL529" t="s">
        <v>588</v>
      </c>
      <c r="AM529" t="s">
        <v>589</v>
      </c>
      <c r="AN529" t="s">
        <v>590</v>
      </c>
      <c r="AO529" t="s">
        <v>2226</v>
      </c>
      <c r="AP529" t="s">
        <v>2227</v>
      </c>
      <c r="AQ529" t="s">
        <v>74</v>
      </c>
      <c r="AR529" t="s">
        <v>2228</v>
      </c>
      <c r="AS529" t="s">
        <v>2229</v>
      </c>
      <c r="AT529" t="s">
        <v>8791</v>
      </c>
      <c r="AU529">
        <v>2023</v>
      </c>
      <c r="AV529">
        <v>50</v>
      </c>
      <c r="AW529">
        <v>12</v>
      </c>
      <c r="AX529" t="s">
        <v>74</v>
      </c>
      <c r="AY529" t="s">
        <v>74</v>
      </c>
      <c r="AZ529" t="s">
        <v>74</v>
      </c>
      <c r="BA529" t="s">
        <v>74</v>
      </c>
      <c r="BB529" t="s">
        <v>74</v>
      </c>
      <c r="BC529" t="s">
        <v>74</v>
      </c>
      <c r="BD529" t="s">
        <v>10436</v>
      </c>
      <c r="BE529" t="s">
        <v>10437</v>
      </c>
      <c r="BF529" t="str">
        <f>HYPERLINK("http://dx.doi.org/10.1029/2023GL103386","http://dx.doi.org/10.1029/2023GL103386")</f>
        <v>http://dx.doi.org/10.1029/2023GL103386</v>
      </c>
      <c r="BG529" t="s">
        <v>74</v>
      </c>
      <c r="BH529" t="s">
        <v>74</v>
      </c>
      <c r="BI529">
        <v>11</v>
      </c>
      <c r="BJ529" t="s">
        <v>155</v>
      </c>
      <c r="BK529" t="s">
        <v>104</v>
      </c>
      <c r="BL529" t="s">
        <v>156</v>
      </c>
      <c r="BM529" t="s">
        <v>10438</v>
      </c>
      <c r="BN529" t="s">
        <v>74</v>
      </c>
      <c r="BO529" t="s">
        <v>549</v>
      </c>
      <c r="BP529" t="s">
        <v>74</v>
      </c>
      <c r="BQ529" t="s">
        <v>74</v>
      </c>
      <c r="BR529" t="s">
        <v>107</v>
      </c>
      <c r="BS529" t="s">
        <v>10439</v>
      </c>
      <c r="BT529" t="str">
        <f>HYPERLINK("https%3A%2F%2Fwww.webofscience.com%2Fwos%2Fwoscc%2Ffull-record%2FWOS:001011803600001","View Full Record in Web of Science")</f>
        <v>View Full Record in Web of Science</v>
      </c>
    </row>
    <row r="530" spans="1:72" x14ac:dyDescent="0.15">
      <c r="A530" t="s">
        <v>72</v>
      </c>
      <c r="B530" t="s">
        <v>10440</v>
      </c>
      <c r="C530" t="s">
        <v>74</v>
      </c>
      <c r="D530" t="s">
        <v>74</v>
      </c>
      <c r="E530" t="s">
        <v>74</v>
      </c>
      <c r="F530" t="s">
        <v>10441</v>
      </c>
      <c r="G530" t="s">
        <v>74</v>
      </c>
      <c r="H530" t="s">
        <v>74</v>
      </c>
      <c r="I530" t="s">
        <v>10442</v>
      </c>
      <c r="J530" t="s">
        <v>2213</v>
      </c>
      <c r="K530" t="s">
        <v>74</v>
      </c>
      <c r="L530" t="s">
        <v>74</v>
      </c>
      <c r="M530" t="s">
        <v>78</v>
      </c>
      <c r="N530" t="s">
        <v>79</v>
      </c>
      <c r="O530" t="s">
        <v>74</v>
      </c>
      <c r="P530" t="s">
        <v>74</v>
      </c>
      <c r="Q530" t="s">
        <v>74</v>
      </c>
      <c r="R530" t="s">
        <v>74</v>
      </c>
      <c r="S530" t="s">
        <v>74</v>
      </c>
      <c r="T530" t="s">
        <v>10443</v>
      </c>
      <c r="U530" t="s">
        <v>10444</v>
      </c>
      <c r="V530" t="s">
        <v>10445</v>
      </c>
      <c r="W530" t="s">
        <v>10446</v>
      </c>
      <c r="X530" t="s">
        <v>10447</v>
      </c>
      <c r="Y530" t="s">
        <v>10448</v>
      </c>
      <c r="Z530" t="s">
        <v>10449</v>
      </c>
      <c r="AA530" t="s">
        <v>10450</v>
      </c>
      <c r="AB530" t="s">
        <v>10451</v>
      </c>
      <c r="AC530" t="s">
        <v>10452</v>
      </c>
      <c r="AD530" t="s">
        <v>10453</v>
      </c>
      <c r="AE530" t="s">
        <v>10454</v>
      </c>
      <c r="AF530" t="s">
        <v>74</v>
      </c>
      <c r="AG530">
        <v>63</v>
      </c>
      <c r="AH530">
        <v>0</v>
      </c>
      <c r="AI530">
        <v>0</v>
      </c>
      <c r="AJ530">
        <v>14</v>
      </c>
      <c r="AK530">
        <v>26</v>
      </c>
      <c r="AL530" t="s">
        <v>588</v>
      </c>
      <c r="AM530" t="s">
        <v>589</v>
      </c>
      <c r="AN530" t="s">
        <v>590</v>
      </c>
      <c r="AO530" t="s">
        <v>2226</v>
      </c>
      <c r="AP530" t="s">
        <v>2227</v>
      </c>
      <c r="AQ530" t="s">
        <v>74</v>
      </c>
      <c r="AR530" t="s">
        <v>2228</v>
      </c>
      <c r="AS530" t="s">
        <v>2229</v>
      </c>
      <c r="AT530" t="s">
        <v>8791</v>
      </c>
      <c r="AU530">
        <v>2023</v>
      </c>
      <c r="AV530">
        <v>50</v>
      </c>
      <c r="AW530">
        <v>12</v>
      </c>
      <c r="AX530" t="s">
        <v>74</v>
      </c>
      <c r="AY530" t="s">
        <v>74</v>
      </c>
      <c r="AZ530" t="s">
        <v>74</v>
      </c>
      <c r="BA530" t="s">
        <v>74</v>
      </c>
      <c r="BB530" t="s">
        <v>74</v>
      </c>
      <c r="BC530" t="s">
        <v>74</v>
      </c>
      <c r="BD530" t="s">
        <v>10455</v>
      </c>
      <c r="BE530" t="s">
        <v>10456</v>
      </c>
      <c r="BF530" t="str">
        <f>HYPERLINK("http://dx.doi.org/10.1029/2023GL103778","http://dx.doi.org/10.1029/2023GL103778")</f>
        <v>http://dx.doi.org/10.1029/2023GL103778</v>
      </c>
      <c r="BG530" t="s">
        <v>74</v>
      </c>
      <c r="BH530" t="s">
        <v>74</v>
      </c>
      <c r="BI530">
        <v>10</v>
      </c>
      <c r="BJ530" t="s">
        <v>155</v>
      </c>
      <c r="BK530" t="s">
        <v>104</v>
      </c>
      <c r="BL530" t="s">
        <v>156</v>
      </c>
      <c r="BM530" t="s">
        <v>10457</v>
      </c>
      <c r="BN530" t="s">
        <v>74</v>
      </c>
      <c r="BO530" t="s">
        <v>549</v>
      </c>
      <c r="BP530" t="s">
        <v>74</v>
      </c>
      <c r="BQ530" t="s">
        <v>74</v>
      </c>
      <c r="BR530" t="s">
        <v>107</v>
      </c>
      <c r="BS530" t="s">
        <v>10458</v>
      </c>
      <c r="BT530" t="str">
        <f>HYPERLINK("https%3A%2F%2Fwww.webofscience.com%2Fwos%2Fwoscc%2Ffull-record%2FWOS:001009512800001","View Full Record in Web of Science")</f>
        <v>View Full Record in Web of Science</v>
      </c>
    </row>
    <row r="531" spans="1:72" x14ac:dyDescent="0.15">
      <c r="A531" t="s">
        <v>72</v>
      </c>
      <c r="B531" t="s">
        <v>10459</v>
      </c>
      <c r="C531" t="s">
        <v>74</v>
      </c>
      <c r="D531" t="s">
        <v>74</v>
      </c>
      <c r="E531" t="s">
        <v>74</v>
      </c>
      <c r="F531" t="s">
        <v>10460</v>
      </c>
      <c r="G531" t="s">
        <v>74</v>
      </c>
      <c r="H531" t="s">
        <v>74</v>
      </c>
      <c r="I531" t="s">
        <v>10461</v>
      </c>
      <c r="J531" t="s">
        <v>2213</v>
      </c>
      <c r="K531" t="s">
        <v>74</v>
      </c>
      <c r="L531" t="s">
        <v>74</v>
      </c>
      <c r="M531" t="s">
        <v>78</v>
      </c>
      <c r="N531" t="s">
        <v>79</v>
      </c>
      <c r="O531" t="s">
        <v>74</v>
      </c>
      <c r="P531" t="s">
        <v>74</v>
      </c>
      <c r="Q531" t="s">
        <v>74</v>
      </c>
      <c r="R531" t="s">
        <v>74</v>
      </c>
      <c r="S531" t="s">
        <v>74</v>
      </c>
      <c r="T531" t="s">
        <v>10462</v>
      </c>
      <c r="U531" t="s">
        <v>10463</v>
      </c>
      <c r="V531" t="s">
        <v>10464</v>
      </c>
      <c r="W531" t="s">
        <v>10465</v>
      </c>
      <c r="X531" t="s">
        <v>10466</v>
      </c>
      <c r="Y531" t="s">
        <v>10467</v>
      </c>
      <c r="Z531" t="s">
        <v>10468</v>
      </c>
      <c r="AA531" t="s">
        <v>10469</v>
      </c>
      <c r="AB531" t="s">
        <v>10470</v>
      </c>
      <c r="AC531" t="s">
        <v>10471</v>
      </c>
      <c r="AD531" t="s">
        <v>10472</v>
      </c>
      <c r="AE531" t="s">
        <v>10473</v>
      </c>
      <c r="AF531" t="s">
        <v>74</v>
      </c>
      <c r="AG531">
        <v>71</v>
      </c>
      <c r="AH531">
        <v>2</v>
      </c>
      <c r="AI531">
        <v>2</v>
      </c>
      <c r="AJ531">
        <v>2</v>
      </c>
      <c r="AK531">
        <v>5</v>
      </c>
      <c r="AL531" t="s">
        <v>588</v>
      </c>
      <c r="AM531" t="s">
        <v>589</v>
      </c>
      <c r="AN531" t="s">
        <v>590</v>
      </c>
      <c r="AO531" t="s">
        <v>2226</v>
      </c>
      <c r="AP531" t="s">
        <v>2227</v>
      </c>
      <c r="AQ531" t="s">
        <v>74</v>
      </c>
      <c r="AR531" t="s">
        <v>2228</v>
      </c>
      <c r="AS531" t="s">
        <v>2229</v>
      </c>
      <c r="AT531" t="s">
        <v>8791</v>
      </c>
      <c r="AU531">
        <v>2023</v>
      </c>
      <c r="AV531">
        <v>50</v>
      </c>
      <c r="AW531">
        <v>12</v>
      </c>
      <c r="AX531" t="s">
        <v>74</v>
      </c>
      <c r="AY531" t="s">
        <v>74</v>
      </c>
      <c r="AZ531" t="s">
        <v>74</v>
      </c>
      <c r="BA531" t="s">
        <v>74</v>
      </c>
      <c r="BB531" t="s">
        <v>74</v>
      </c>
      <c r="BC531" t="s">
        <v>74</v>
      </c>
      <c r="BD531" t="s">
        <v>10474</v>
      </c>
      <c r="BE531" t="s">
        <v>10475</v>
      </c>
      <c r="BF531" t="str">
        <f>HYPERLINK("http://dx.doi.org/10.1029/2023GL103765","http://dx.doi.org/10.1029/2023GL103765")</f>
        <v>http://dx.doi.org/10.1029/2023GL103765</v>
      </c>
      <c r="BG531" t="s">
        <v>74</v>
      </c>
      <c r="BH531" t="s">
        <v>74</v>
      </c>
      <c r="BI531">
        <v>11</v>
      </c>
      <c r="BJ531" t="s">
        <v>155</v>
      </c>
      <c r="BK531" t="s">
        <v>104</v>
      </c>
      <c r="BL531" t="s">
        <v>156</v>
      </c>
      <c r="BM531" t="s">
        <v>10476</v>
      </c>
      <c r="BN531" t="s">
        <v>74</v>
      </c>
      <c r="BO531" t="s">
        <v>1217</v>
      </c>
      <c r="BP531" t="s">
        <v>74</v>
      </c>
      <c r="BQ531" t="s">
        <v>74</v>
      </c>
      <c r="BR531" t="s">
        <v>107</v>
      </c>
      <c r="BS531" t="s">
        <v>10477</v>
      </c>
      <c r="BT531" t="str">
        <f>HYPERLINK("https%3A%2F%2Fwww.webofscience.com%2Fwos%2Fwoscc%2Ffull-record%2FWOS:001008989800001","View Full Record in Web of Science")</f>
        <v>View Full Record in Web of Science</v>
      </c>
    </row>
    <row r="532" spans="1:72" x14ac:dyDescent="0.15">
      <c r="A532" t="s">
        <v>72</v>
      </c>
      <c r="B532" t="s">
        <v>10478</v>
      </c>
      <c r="C532" t="s">
        <v>74</v>
      </c>
      <c r="D532" t="s">
        <v>74</v>
      </c>
      <c r="E532" t="s">
        <v>74</v>
      </c>
      <c r="F532" t="s">
        <v>10479</v>
      </c>
      <c r="G532" t="s">
        <v>74</v>
      </c>
      <c r="H532" t="s">
        <v>74</v>
      </c>
      <c r="I532" t="s">
        <v>10480</v>
      </c>
      <c r="J532" t="s">
        <v>2413</v>
      </c>
      <c r="K532" t="s">
        <v>74</v>
      </c>
      <c r="L532" t="s">
        <v>74</v>
      </c>
      <c r="M532" t="s">
        <v>78</v>
      </c>
      <c r="N532" t="s">
        <v>79</v>
      </c>
      <c r="O532" t="s">
        <v>74</v>
      </c>
      <c r="P532" t="s">
        <v>74</v>
      </c>
      <c r="Q532" t="s">
        <v>74</v>
      </c>
      <c r="R532" t="s">
        <v>74</v>
      </c>
      <c r="S532" t="s">
        <v>74</v>
      </c>
      <c r="T532" t="s">
        <v>10481</v>
      </c>
      <c r="U532" t="s">
        <v>10482</v>
      </c>
      <c r="V532" t="s">
        <v>10483</v>
      </c>
      <c r="W532" t="s">
        <v>10484</v>
      </c>
      <c r="X532" t="s">
        <v>10485</v>
      </c>
      <c r="Y532" t="s">
        <v>10486</v>
      </c>
      <c r="Z532" t="s">
        <v>10487</v>
      </c>
      <c r="AA532" t="s">
        <v>10488</v>
      </c>
      <c r="AB532" t="s">
        <v>10489</v>
      </c>
      <c r="AC532" t="s">
        <v>10490</v>
      </c>
      <c r="AD532" t="s">
        <v>10491</v>
      </c>
      <c r="AE532" t="s">
        <v>10492</v>
      </c>
      <c r="AF532" t="s">
        <v>74</v>
      </c>
      <c r="AG532">
        <v>69</v>
      </c>
      <c r="AH532">
        <v>1</v>
      </c>
      <c r="AI532">
        <v>1</v>
      </c>
      <c r="AJ532">
        <v>16</v>
      </c>
      <c r="AK532">
        <v>31</v>
      </c>
      <c r="AL532" t="s">
        <v>588</v>
      </c>
      <c r="AM532" t="s">
        <v>589</v>
      </c>
      <c r="AN532" t="s">
        <v>590</v>
      </c>
      <c r="AO532" t="s">
        <v>2426</v>
      </c>
      <c r="AP532" t="s">
        <v>2427</v>
      </c>
      <c r="AQ532" t="s">
        <v>74</v>
      </c>
      <c r="AR532" t="s">
        <v>2428</v>
      </c>
      <c r="AS532" t="s">
        <v>2429</v>
      </c>
      <c r="AT532" t="s">
        <v>10493</v>
      </c>
      <c r="AU532">
        <v>2023</v>
      </c>
      <c r="AV532">
        <v>128</v>
      </c>
      <c r="AW532">
        <v>12</v>
      </c>
      <c r="AX532" t="s">
        <v>74</v>
      </c>
      <c r="AY532" t="s">
        <v>74</v>
      </c>
      <c r="AZ532" t="s">
        <v>74</v>
      </c>
      <c r="BA532" t="s">
        <v>74</v>
      </c>
      <c r="BB532" t="s">
        <v>74</v>
      </c>
      <c r="BC532" t="s">
        <v>74</v>
      </c>
      <c r="BD532" t="s">
        <v>10494</v>
      </c>
      <c r="BE532" t="s">
        <v>10495</v>
      </c>
      <c r="BF532" t="str">
        <f>HYPERLINK("http://dx.doi.org/10.1029/2022JD037597","http://dx.doi.org/10.1029/2022JD037597")</f>
        <v>http://dx.doi.org/10.1029/2022JD037597</v>
      </c>
      <c r="BG532" t="s">
        <v>74</v>
      </c>
      <c r="BH532" t="s">
        <v>74</v>
      </c>
      <c r="BI532">
        <v>11</v>
      </c>
      <c r="BJ532" t="s">
        <v>103</v>
      </c>
      <c r="BK532" t="s">
        <v>104</v>
      </c>
      <c r="BL532" t="s">
        <v>103</v>
      </c>
      <c r="BM532" t="s">
        <v>10496</v>
      </c>
      <c r="BN532" t="s">
        <v>74</v>
      </c>
      <c r="BO532" t="s">
        <v>74</v>
      </c>
      <c r="BP532" t="s">
        <v>74</v>
      </c>
      <c r="BQ532" t="s">
        <v>74</v>
      </c>
      <c r="BR532" t="s">
        <v>107</v>
      </c>
      <c r="BS532" t="s">
        <v>10497</v>
      </c>
      <c r="BT532" t="str">
        <f>HYPERLINK("https%3A%2F%2Fwww.webofscience.com%2Fwos%2Fwoscc%2Ffull-record%2FWOS:001022733300001","View Full Record in Web of Science")</f>
        <v>View Full Record in Web of Science</v>
      </c>
    </row>
    <row r="533" spans="1:72" x14ac:dyDescent="0.15">
      <c r="A533" t="s">
        <v>72</v>
      </c>
      <c r="B533" t="s">
        <v>10498</v>
      </c>
      <c r="C533" t="s">
        <v>74</v>
      </c>
      <c r="D533" t="s">
        <v>74</v>
      </c>
      <c r="E533" t="s">
        <v>74</v>
      </c>
      <c r="F533" t="s">
        <v>10499</v>
      </c>
      <c r="G533" t="s">
        <v>74</v>
      </c>
      <c r="H533" t="s">
        <v>74</v>
      </c>
      <c r="I533" t="s">
        <v>10500</v>
      </c>
      <c r="J533" t="s">
        <v>2413</v>
      </c>
      <c r="K533" t="s">
        <v>74</v>
      </c>
      <c r="L533" t="s">
        <v>74</v>
      </c>
      <c r="M533" t="s">
        <v>78</v>
      </c>
      <c r="N533" t="s">
        <v>79</v>
      </c>
      <c r="O533" t="s">
        <v>74</v>
      </c>
      <c r="P533" t="s">
        <v>74</v>
      </c>
      <c r="Q533" t="s">
        <v>74</v>
      </c>
      <c r="R533" t="s">
        <v>74</v>
      </c>
      <c r="S533" t="s">
        <v>74</v>
      </c>
      <c r="T533" t="s">
        <v>74</v>
      </c>
      <c r="U533" t="s">
        <v>10501</v>
      </c>
      <c r="V533" t="s">
        <v>10502</v>
      </c>
      <c r="W533" t="s">
        <v>10503</v>
      </c>
      <c r="X533" t="s">
        <v>10504</v>
      </c>
      <c r="Y533" t="s">
        <v>10505</v>
      </c>
      <c r="Z533" t="s">
        <v>10506</v>
      </c>
      <c r="AA533" t="s">
        <v>10507</v>
      </c>
      <c r="AB533" t="s">
        <v>10508</v>
      </c>
      <c r="AC533" t="s">
        <v>10509</v>
      </c>
      <c r="AD533" t="s">
        <v>10510</v>
      </c>
      <c r="AE533" t="s">
        <v>10511</v>
      </c>
      <c r="AF533" t="s">
        <v>74</v>
      </c>
      <c r="AG533">
        <v>74</v>
      </c>
      <c r="AH533">
        <v>3</v>
      </c>
      <c r="AI533">
        <v>3</v>
      </c>
      <c r="AJ533">
        <v>5</v>
      </c>
      <c r="AK533">
        <v>5</v>
      </c>
      <c r="AL533" t="s">
        <v>588</v>
      </c>
      <c r="AM533" t="s">
        <v>589</v>
      </c>
      <c r="AN533" t="s">
        <v>590</v>
      </c>
      <c r="AO533" t="s">
        <v>2426</v>
      </c>
      <c r="AP533" t="s">
        <v>2427</v>
      </c>
      <c r="AQ533" t="s">
        <v>74</v>
      </c>
      <c r="AR533" t="s">
        <v>2428</v>
      </c>
      <c r="AS533" t="s">
        <v>2429</v>
      </c>
      <c r="AT533" t="s">
        <v>10493</v>
      </c>
      <c r="AU533">
        <v>2023</v>
      </c>
      <c r="AV533">
        <v>128</v>
      </c>
      <c r="AW533">
        <v>12</v>
      </c>
      <c r="AX533" t="s">
        <v>74</v>
      </c>
      <c r="AY533" t="s">
        <v>74</v>
      </c>
      <c r="AZ533" t="s">
        <v>74</v>
      </c>
      <c r="BA533" t="s">
        <v>74</v>
      </c>
      <c r="BB533" t="s">
        <v>74</v>
      </c>
      <c r="BC533" t="s">
        <v>74</v>
      </c>
      <c r="BD533" t="s">
        <v>10512</v>
      </c>
      <c r="BE533" t="s">
        <v>10513</v>
      </c>
      <c r="BF533" t="str">
        <f>HYPERLINK("http://dx.doi.org/10.1029/2022JD037744","http://dx.doi.org/10.1029/2022JD037744")</f>
        <v>http://dx.doi.org/10.1029/2022JD037744</v>
      </c>
      <c r="BG533" t="s">
        <v>74</v>
      </c>
      <c r="BH533" t="s">
        <v>74</v>
      </c>
      <c r="BI533">
        <v>19</v>
      </c>
      <c r="BJ533" t="s">
        <v>103</v>
      </c>
      <c r="BK533" t="s">
        <v>104</v>
      </c>
      <c r="BL533" t="s">
        <v>103</v>
      </c>
      <c r="BM533" t="s">
        <v>10514</v>
      </c>
      <c r="BN533" t="s">
        <v>74</v>
      </c>
      <c r="BO533" t="s">
        <v>1128</v>
      </c>
      <c r="BP533" t="s">
        <v>74</v>
      </c>
      <c r="BQ533" t="s">
        <v>74</v>
      </c>
      <c r="BR533" t="s">
        <v>107</v>
      </c>
      <c r="BS533" t="s">
        <v>10515</v>
      </c>
      <c r="BT533" t="str">
        <f>HYPERLINK("https%3A%2F%2Fwww.webofscience.com%2Fwos%2Fwoscc%2Ffull-record%2FWOS:001022739100001","View Full Record in Web of Science")</f>
        <v>View Full Record in Web of Science</v>
      </c>
    </row>
    <row r="534" spans="1:72" x14ac:dyDescent="0.15">
      <c r="A534" t="s">
        <v>72</v>
      </c>
      <c r="B534" t="s">
        <v>10516</v>
      </c>
      <c r="C534" t="s">
        <v>74</v>
      </c>
      <c r="D534" t="s">
        <v>74</v>
      </c>
      <c r="E534" t="s">
        <v>74</v>
      </c>
      <c r="F534" t="s">
        <v>10517</v>
      </c>
      <c r="G534" t="s">
        <v>74</v>
      </c>
      <c r="H534" t="s">
        <v>74</v>
      </c>
      <c r="I534" t="s">
        <v>10518</v>
      </c>
      <c r="J534" t="s">
        <v>2413</v>
      </c>
      <c r="K534" t="s">
        <v>74</v>
      </c>
      <c r="L534" t="s">
        <v>74</v>
      </c>
      <c r="M534" t="s">
        <v>78</v>
      </c>
      <c r="N534" t="s">
        <v>79</v>
      </c>
      <c r="O534" t="s">
        <v>74</v>
      </c>
      <c r="P534" t="s">
        <v>74</v>
      </c>
      <c r="Q534" t="s">
        <v>74</v>
      </c>
      <c r="R534" t="s">
        <v>74</v>
      </c>
      <c r="S534" t="s">
        <v>74</v>
      </c>
      <c r="T534" t="s">
        <v>10519</v>
      </c>
      <c r="U534" t="s">
        <v>10520</v>
      </c>
      <c r="V534" t="s">
        <v>10521</v>
      </c>
      <c r="W534" t="s">
        <v>10522</v>
      </c>
      <c r="X534" t="s">
        <v>10523</v>
      </c>
      <c r="Y534" t="s">
        <v>10524</v>
      </c>
      <c r="Z534" t="s">
        <v>10525</v>
      </c>
      <c r="AA534" t="s">
        <v>10526</v>
      </c>
      <c r="AB534" t="s">
        <v>10527</v>
      </c>
      <c r="AC534" t="s">
        <v>10528</v>
      </c>
      <c r="AD534" t="s">
        <v>10529</v>
      </c>
      <c r="AE534" t="s">
        <v>10530</v>
      </c>
      <c r="AF534" t="s">
        <v>74</v>
      </c>
      <c r="AG534">
        <v>79</v>
      </c>
      <c r="AH534">
        <v>0</v>
      </c>
      <c r="AI534">
        <v>0</v>
      </c>
      <c r="AJ534">
        <v>6</v>
      </c>
      <c r="AK534">
        <v>10</v>
      </c>
      <c r="AL534" t="s">
        <v>588</v>
      </c>
      <c r="AM534" t="s">
        <v>589</v>
      </c>
      <c r="AN534" t="s">
        <v>590</v>
      </c>
      <c r="AO534" t="s">
        <v>2426</v>
      </c>
      <c r="AP534" t="s">
        <v>2427</v>
      </c>
      <c r="AQ534" t="s">
        <v>74</v>
      </c>
      <c r="AR534" t="s">
        <v>2428</v>
      </c>
      <c r="AS534" t="s">
        <v>2429</v>
      </c>
      <c r="AT534" t="s">
        <v>10493</v>
      </c>
      <c r="AU534">
        <v>2023</v>
      </c>
      <c r="AV534">
        <v>128</v>
      </c>
      <c r="AW534">
        <v>12</v>
      </c>
      <c r="AX534" t="s">
        <v>74</v>
      </c>
      <c r="AY534" t="s">
        <v>74</v>
      </c>
      <c r="AZ534" t="s">
        <v>74</v>
      </c>
      <c r="BA534" t="s">
        <v>74</v>
      </c>
      <c r="BB534" t="s">
        <v>74</v>
      </c>
      <c r="BC534" t="s">
        <v>74</v>
      </c>
      <c r="BD534" t="s">
        <v>10531</v>
      </c>
      <c r="BE534" t="s">
        <v>10532</v>
      </c>
      <c r="BF534" t="str">
        <f>HYPERLINK("http://dx.doi.org/10.1029/2022JD038281","http://dx.doi.org/10.1029/2022JD038281")</f>
        <v>http://dx.doi.org/10.1029/2022JD038281</v>
      </c>
      <c r="BG534" t="s">
        <v>74</v>
      </c>
      <c r="BH534" t="s">
        <v>74</v>
      </c>
      <c r="BI534">
        <v>18</v>
      </c>
      <c r="BJ534" t="s">
        <v>103</v>
      </c>
      <c r="BK534" t="s">
        <v>104</v>
      </c>
      <c r="BL534" t="s">
        <v>103</v>
      </c>
      <c r="BM534" t="s">
        <v>10533</v>
      </c>
      <c r="BN534" t="s">
        <v>74</v>
      </c>
      <c r="BO534" t="s">
        <v>74</v>
      </c>
      <c r="BP534" t="s">
        <v>74</v>
      </c>
      <c r="BQ534" t="s">
        <v>74</v>
      </c>
      <c r="BR534" t="s">
        <v>107</v>
      </c>
      <c r="BS534" t="s">
        <v>10534</v>
      </c>
      <c r="BT534" t="str">
        <f>HYPERLINK("https%3A%2F%2Fwww.webofscience.com%2Fwos%2Fwoscc%2Ffull-record%2FWOS:001022732400001","View Full Record in Web of Science")</f>
        <v>View Full Record in Web of Science</v>
      </c>
    </row>
    <row r="535" spans="1:72" x14ac:dyDescent="0.15">
      <c r="A535" t="s">
        <v>72</v>
      </c>
      <c r="B535" t="s">
        <v>10535</v>
      </c>
      <c r="C535" t="s">
        <v>74</v>
      </c>
      <c r="D535" t="s">
        <v>74</v>
      </c>
      <c r="E535" t="s">
        <v>74</v>
      </c>
      <c r="F535" t="s">
        <v>10536</v>
      </c>
      <c r="G535" t="s">
        <v>74</v>
      </c>
      <c r="H535" t="s">
        <v>74</v>
      </c>
      <c r="I535" t="s">
        <v>10537</v>
      </c>
      <c r="J535" t="s">
        <v>2413</v>
      </c>
      <c r="K535" t="s">
        <v>74</v>
      </c>
      <c r="L535" t="s">
        <v>74</v>
      </c>
      <c r="M535" t="s">
        <v>78</v>
      </c>
      <c r="N535" t="s">
        <v>79</v>
      </c>
      <c r="O535" t="s">
        <v>74</v>
      </c>
      <c r="P535" t="s">
        <v>74</v>
      </c>
      <c r="Q535" t="s">
        <v>74</v>
      </c>
      <c r="R535" t="s">
        <v>74</v>
      </c>
      <c r="S535" t="s">
        <v>74</v>
      </c>
      <c r="T535" t="s">
        <v>10538</v>
      </c>
      <c r="U535" t="s">
        <v>10539</v>
      </c>
      <c r="V535" t="s">
        <v>10540</v>
      </c>
      <c r="W535" t="s">
        <v>10541</v>
      </c>
      <c r="X535" t="s">
        <v>10542</v>
      </c>
      <c r="Y535" t="s">
        <v>10543</v>
      </c>
      <c r="Z535" t="s">
        <v>10544</v>
      </c>
      <c r="AA535" t="s">
        <v>10545</v>
      </c>
      <c r="AB535" t="s">
        <v>10546</v>
      </c>
      <c r="AC535" t="s">
        <v>10547</v>
      </c>
      <c r="AD535" t="s">
        <v>10548</v>
      </c>
      <c r="AE535" t="s">
        <v>10549</v>
      </c>
      <c r="AF535" t="s">
        <v>74</v>
      </c>
      <c r="AG535">
        <v>147</v>
      </c>
      <c r="AH535">
        <v>3</v>
      </c>
      <c r="AI535">
        <v>3</v>
      </c>
      <c r="AJ535">
        <v>2</v>
      </c>
      <c r="AK535">
        <v>2</v>
      </c>
      <c r="AL535" t="s">
        <v>588</v>
      </c>
      <c r="AM535" t="s">
        <v>589</v>
      </c>
      <c r="AN535" t="s">
        <v>590</v>
      </c>
      <c r="AO535" t="s">
        <v>2426</v>
      </c>
      <c r="AP535" t="s">
        <v>2427</v>
      </c>
      <c r="AQ535" t="s">
        <v>74</v>
      </c>
      <c r="AR535" t="s">
        <v>2428</v>
      </c>
      <c r="AS535" t="s">
        <v>2429</v>
      </c>
      <c r="AT535" t="s">
        <v>10493</v>
      </c>
      <c r="AU535">
        <v>2023</v>
      </c>
      <c r="AV535">
        <v>128</v>
      </c>
      <c r="AW535">
        <v>12</v>
      </c>
      <c r="AX535" t="s">
        <v>74</v>
      </c>
      <c r="AY535" t="s">
        <v>74</v>
      </c>
      <c r="AZ535" t="s">
        <v>74</v>
      </c>
      <c r="BA535" t="s">
        <v>74</v>
      </c>
      <c r="BB535" t="s">
        <v>74</v>
      </c>
      <c r="BC535" t="s">
        <v>74</v>
      </c>
      <c r="BD535" t="s">
        <v>10550</v>
      </c>
      <c r="BE535" t="s">
        <v>10551</v>
      </c>
      <c r="BF535" t="str">
        <f>HYPERLINK("http://dx.doi.org/10.1029/2023JD038827","http://dx.doi.org/10.1029/2023JD038827")</f>
        <v>http://dx.doi.org/10.1029/2023JD038827</v>
      </c>
      <c r="BG535" t="s">
        <v>74</v>
      </c>
      <c r="BH535" t="s">
        <v>74</v>
      </c>
      <c r="BI535">
        <v>23</v>
      </c>
      <c r="BJ535" t="s">
        <v>103</v>
      </c>
      <c r="BK535" t="s">
        <v>104</v>
      </c>
      <c r="BL535" t="s">
        <v>103</v>
      </c>
      <c r="BM535" t="s">
        <v>10552</v>
      </c>
      <c r="BN535" t="s">
        <v>74</v>
      </c>
      <c r="BO535" t="s">
        <v>549</v>
      </c>
      <c r="BP535" t="s">
        <v>74</v>
      </c>
      <c r="BQ535" t="s">
        <v>74</v>
      </c>
      <c r="BR535" t="s">
        <v>107</v>
      </c>
      <c r="BS535" t="s">
        <v>10553</v>
      </c>
      <c r="BT535" t="str">
        <f>HYPERLINK("https%3A%2F%2Fwww.webofscience.com%2Fwos%2Fwoscc%2Ffull-record%2FWOS:001022738600001","View Full Record in Web of Science")</f>
        <v>View Full Record in Web of Science</v>
      </c>
    </row>
    <row r="536" spans="1:72" x14ac:dyDescent="0.15">
      <c r="A536" t="s">
        <v>72</v>
      </c>
      <c r="B536" t="s">
        <v>10554</v>
      </c>
      <c r="C536" t="s">
        <v>74</v>
      </c>
      <c r="D536" t="s">
        <v>74</v>
      </c>
      <c r="E536" t="s">
        <v>74</v>
      </c>
      <c r="F536" t="s">
        <v>10555</v>
      </c>
      <c r="G536" t="s">
        <v>74</v>
      </c>
      <c r="H536" t="s">
        <v>74</v>
      </c>
      <c r="I536" t="s">
        <v>10556</v>
      </c>
      <c r="J536" t="s">
        <v>4226</v>
      </c>
      <c r="K536" t="s">
        <v>74</v>
      </c>
      <c r="L536" t="s">
        <v>74</v>
      </c>
      <c r="M536" t="s">
        <v>78</v>
      </c>
      <c r="N536" t="s">
        <v>79</v>
      </c>
      <c r="O536" t="s">
        <v>74</v>
      </c>
      <c r="P536" t="s">
        <v>74</v>
      </c>
      <c r="Q536" t="s">
        <v>74</v>
      </c>
      <c r="R536" t="s">
        <v>74</v>
      </c>
      <c r="S536" t="s">
        <v>74</v>
      </c>
      <c r="T536" t="s">
        <v>10557</v>
      </c>
      <c r="U536" t="s">
        <v>10558</v>
      </c>
      <c r="V536" t="s">
        <v>10559</v>
      </c>
      <c r="W536" t="s">
        <v>10560</v>
      </c>
      <c r="X536" t="s">
        <v>10561</v>
      </c>
      <c r="Y536" t="s">
        <v>10562</v>
      </c>
      <c r="Z536" t="s">
        <v>10563</v>
      </c>
      <c r="AA536" t="s">
        <v>74</v>
      </c>
      <c r="AB536" t="s">
        <v>10564</v>
      </c>
      <c r="AC536" t="s">
        <v>10565</v>
      </c>
      <c r="AD536" t="s">
        <v>10565</v>
      </c>
      <c r="AE536" t="s">
        <v>10566</v>
      </c>
      <c r="AF536" t="s">
        <v>74</v>
      </c>
      <c r="AG536">
        <v>186</v>
      </c>
      <c r="AH536">
        <v>0</v>
      </c>
      <c r="AI536">
        <v>0</v>
      </c>
      <c r="AJ536">
        <v>1</v>
      </c>
      <c r="AK536">
        <v>2</v>
      </c>
      <c r="AL536" t="s">
        <v>4238</v>
      </c>
      <c r="AM536" t="s">
        <v>4239</v>
      </c>
      <c r="AN536" t="s">
        <v>4240</v>
      </c>
      <c r="AO536" t="s">
        <v>4241</v>
      </c>
      <c r="AP536" t="s">
        <v>4242</v>
      </c>
      <c r="AQ536" t="s">
        <v>74</v>
      </c>
      <c r="AR536" t="s">
        <v>4226</v>
      </c>
      <c r="AS536" t="s">
        <v>4243</v>
      </c>
      <c r="AT536" t="s">
        <v>10493</v>
      </c>
      <c r="AU536">
        <v>2023</v>
      </c>
      <c r="AV536">
        <v>5310</v>
      </c>
      <c r="AW536">
        <v>1</v>
      </c>
      <c r="AX536" t="s">
        <v>74</v>
      </c>
      <c r="AY536" t="s">
        <v>74</v>
      </c>
      <c r="AZ536" t="s">
        <v>74</v>
      </c>
      <c r="BA536" t="s">
        <v>74</v>
      </c>
      <c r="BB536">
        <v>1</v>
      </c>
      <c r="BC536">
        <v>88</v>
      </c>
      <c r="BD536" t="s">
        <v>74</v>
      </c>
      <c r="BE536" t="s">
        <v>10567</v>
      </c>
      <c r="BF536" t="str">
        <f>HYPERLINK("http://dx.doi.org/10.11646/zootaxa.5310.1.1","http://dx.doi.org/10.11646/zootaxa.5310.1.1")</f>
        <v>http://dx.doi.org/10.11646/zootaxa.5310.1.1</v>
      </c>
      <c r="BG536" t="s">
        <v>74</v>
      </c>
      <c r="BH536" t="s">
        <v>74</v>
      </c>
      <c r="BI536">
        <v>88</v>
      </c>
      <c r="BJ536" t="s">
        <v>620</v>
      </c>
      <c r="BK536" t="s">
        <v>104</v>
      </c>
      <c r="BL536" t="s">
        <v>620</v>
      </c>
      <c r="BM536" t="s">
        <v>10568</v>
      </c>
      <c r="BN536">
        <v>37518658</v>
      </c>
      <c r="BO536" t="s">
        <v>74</v>
      </c>
      <c r="BP536" t="s">
        <v>74</v>
      </c>
      <c r="BQ536" t="s">
        <v>74</v>
      </c>
      <c r="BR536" t="s">
        <v>107</v>
      </c>
      <c r="BS536" t="s">
        <v>10569</v>
      </c>
      <c r="BT536" t="str">
        <f>HYPERLINK("https%3A%2F%2Fwww.webofscience.com%2Fwos%2Fwoscc%2Ffull-record%2FWOS:001037301700001","View Full Record in Web of Science")</f>
        <v>View Full Record in Web of Science</v>
      </c>
    </row>
    <row r="537" spans="1:72" x14ac:dyDescent="0.15">
      <c r="A537" t="s">
        <v>72</v>
      </c>
      <c r="B537" t="s">
        <v>10570</v>
      </c>
      <c r="C537" t="s">
        <v>74</v>
      </c>
      <c r="D537" t="s">
        <v>74</v>
      </c>
      <c r="E537" t="s">
        <v>74</v>
      </c>
      <c r="F537" t="s">
        <v>10571</v>
      </c>
      <c r="G537" t="s">
        <v>74</v>
      </c>
      <c r="H537" t="s">
        <v>74</v>
      </c>
      <c r="I537" t="s">
        <v>10572</v>
      </c>
      <c r="J537" t="s">
        <v>3662</v>
      </c>
      <c r="K537" t="s">
        <v>74</v>
      </c>
      <c r="L537" t="s">
        <v>74</v>
      </c>
      <c r="M537" t="s">
        <v>78</v>
      </c>
      <c r="N537" t="s">
        <v>79</v>
      </c>
      <c r="O537" t="s">
        <v>74</v>
      </c>
      <c r="P537" t="s">
        <v>74</v>
      </c>
      <c r="Q537" t="s">
        <v>74</v>
      </c>
      <c r="R537" t="s">
        <v>74</v>
      </c>
      <c r="S537" t="s">
        <v>74</v>
      </c>
      <c r="T537" t="s">
        <v>10573</v>
      </c>
      <c r="U537" t="s">
        <v>10574</v>
      </c>
      <c r="V537" t="s">
        <v>10575</v>
      </c>
      <c r="W537" t="s">
        <v>10576</v>
      </c>
      <c r="X537" t="s">
        <v>10577</v>
      </c>
      <c r="Y537" t="s">
        <v>10578</v>
      </c>
      <c r="Z537" t="s">
        <v>10579</v>
      </c>
      <c r="AA537" t="s">
        <v>74</v>
      </c>
      <c r="AB537" t="s">
        <v>10580</v>
      </c>
      <c r="AC537" t="s">
        <v>10581</v>
      </c>
      <c r="AD537" t="s">
        <v>10582</v>
      </c>
      <c r="AE537" t="s">
        <v>10583</v>
      </c>
      <c r="AF537" t="s">
        <v>74</v>
      </c>
      <c r="AG537">
        <v>104</v>
      </c>
      <c r="AH537">
        <v>3</v>
      </c>
      <c r="AI537">
        <v>3</v>
      </c>
      <c r="AJ537">
        <v>11</v>
      </c>
      <c r="AK537">
        <v>18</v>
      </c>
      <c r="AL537" t="s">
        <v>3672</v>
      </c>
      <c r="AM537" t="s">
        <v>538</v>
      </c>
      <c r="AN537" t="s">
        <v>3673</v>
      </c>
      <c r="AO537" t="s">
        <v>3674</v>
      </c>
      <c r="AP537" t="s">
        <v>3675</v>
      </c>
      <c r="AQ537" t="s">
        <v>74</v>
      </c>
      <c r="AR537" t="s">
        <v>3676</v>
      </c>
      <c r="AS537" t="s">
        <v>3677</v>
      </c>
      <c r="AT537" t="s">
        <v>3612</v>
      </c>
      <c r="AU537">
        <v>2023</v>
      </c>
      <c r="AV537">
        <v>189</v>
      </c>
      <c r="AW537" t="s">
        <v>74</v>
      </c>
      <c r="AX537" t="s">
        <v>74</v>
      </c>
      <c r="AY537" t="s">
        <v>74</v>
      </c>
      <c r="AZ537" t="s">
        <v>74</v>
      </c>
      <c r="BA537" t="s">
        <v>74</v>
      </c>
      <c r="BB537" t="s">
        <v>74</v>
      </c>
      <c r="BC537" t="s">
        <v>74</v>
      </c>
      <c r="BD537">
        <v>106056</v>
      </c>
      <c r="BE537" t="s">
        <v>10584</v>
      </c>
      <c r="BF537" t="str">
        <f>HYPERLINK("http://dx.doi.org/10.1016/j.marenvres.2023.106056","http://dx.doi.org/10.1016/j.marenvres.2023.106056")</f>
        <v>http://dx.doi.org/10.1016/j.marenvres.2023.106056</v>
      </c>
      <c r="BG537" t="s">
        <v>74</v>
      </c>
      <c r="BH537" t="s">
        <v>10102</v>
      </c>
      <c r="BI537">
        <v>12</v>
      </c>
      <c r="BJ537" t="s">
        <v>3679</v>
      </c>
      <c r="BK537" t="s">
        <v>104</v>
      </c>
      <c r="BL537" t="s">
        <v>3680</v>
      </c>
      <c r="BM537" t="s">
        <v>10585</v>
      </c>
      <c r="BN537">
        <v>37385084</v>
      </c>
      <c r="BO537" t="s">
        <v>549</v>
      </c>
      <c r="BP537" t="s">
        <v>74</v>
      </c>
      <c r="BQ537" t="s">
        <v>74</v>
      </c>
      <c r="BR537" t="s">
        <v>107</v>
      </c>
      <c r="BS537" t="s">
        <v>10586</v>
      </c>
      <c r="BT537" t="str">
        <f>HYPERLINK("https%3A%2F%2Fwww.webofscience.com%2Fwos%2Fwoscc%2Ffull-record%2FWOS:001039022600001","View Full Record in Web of Science")</f>
        <v>View Full Record in Web of Science</v>
      </c>
    </row>
    <row r="538" spans="1:72" x14ac:dyDescent="0.15">
      <c r="A538" t="s">
        <v>72</v>
      </c>
      <c r="B538" t="s">
        <v>10587</v>
      </c>
      <c r="C538" t="s">
        <v>74</v>
      </c>
      <c r="D538" t="s">
        <v>74</v>
      </c>
      <c r="E538" t="s">
        <v>74</v>
      </c>
      <c r="F538" t="s">
        <v>10588</v>
      </c>
      <c r="G538" t="s">
        <v>74</v>
      </c>
      <c r="H538" t="s">
        <v>74</v>
      </c>
      <c r="I538" t="s">
        <v>10589</v>
      </c>
      <c r="J538" t="s">
        <v>983</v>
      </c>
      <c r="K538" t="s">
        <v>74</v>
      </c>
      <c r="L538" t="s">
        <v>74</v>
      </c>
      <c r="M538" t="s">
        <v>78</v>
      </c>
      <c r="N538" t="s">
        <v>424</v>
      </c>
      <c r="O538" t="s">
        <v>74</v>
      </c>
      <c r="P538" t="s">
        <v>74</v>
      </c>
      <c r="Q538" t="s">
        <v>74</v>
      </c>
      <c r="R538" t="s">
        <v>74</v>
      </c>
      <c r="S538" t="s">
        <v>74</v>
      </c>
      <c r="T538" t="s">
        <v>10590</v>
      </c>
      <c r="U538" t="s">
        <v>10591</v>
      </c>
      <c r="V538" t="s">
        <v>10592</v>
      </c>
      <c r="W538" t="s">
        <v>10593</v>
      </c>
      <c r="X538" t="s">
        <v>10594</v>
      </c>
      <c r="Y538" t="s">
        <v>10595</v>
      </c>
      <c r="Z538" t="s">
        <v>10596</v>
      </c>
      <c r="AA538" t="s">
        <v>10597</v>
      </c>
      <c r="AB538" t="s">
        <v>10598</v>
      </c>
      <c r="AC538" t="s">
        <v>10599</v>
      </c>
      <c r="AD538" t="s">
        <v>10600</v>
      </c>
      <c r="AE538" t="s">
        <v>10601</v>
      </c>
      <c r="AF538" t="s">
        <v>74</v>
      </c>
      <c r="AG538">
        <v>117</v>
      </c>
      <c r="AH538">
        <v>0</v>
      </c>
      <c r="AI538">
        <v>0</v>
      </c>
      <c r="AJ538">
        <v>12</v>
      </c>
      <c r="AK538">
        <v>22</v>
      </c>
      <c r="AL538" t="s">
        <v>994</v>
      </c>
      <c r="AM538" t="s">
        <v>995</v>
      </c>
      <c r="AN538" t="s">
        <v>996</v>
      </c>
      <c r="AO538" t="s">
        <v>74</v>
      </c>
      <c r="AP538" t="s">
        <v>997</v>
      </c>
      <c r="AQ538" t="s">
        <v>74</v>
      </c>
      <c r="AR538" t="s">
        <v>998</v>
      </c>
      <c r="AS538" t="s">
        <v>999</v>
      </c>
      <c r="AT538" t="s">
        <v>10493</v>
      </c>
      <c r="AU538">
        <v>2023</v>
      </c>
      <c r="AV538">
        <v>10</v>
      </c>
      <c r="AW538" t="s">
        <v>74</v>
      </c>
      <c r="AX538" t="s">
        <v>74</v>
      </c>
      <c r="AY538" t="s">
        <v>74</v>
      </c>
      <c r="AZ538" t="s">
        <v>74</v>
      </c>
      <c r="BA538" t="s">
        <v>74</v>
      </c>
      <c r="BB538" t="s">
        <v>74</v>
      </c>
      <c r="BC538" t="s">
        <v>74</v>
      </c>
      <c r="BD538">
        <v>1161049</v>
      </c>
      <c r="BE538" t="s">
        <v>10602</v>
      </c>
      <c r="BF538" t="str">
        <f>HYPERLINK("http://dx.doi.org/10.3389/fmars.2023.1161049","http://dx.doi.org/10.3389/fmars.2023.1161049")</f>
        <v>http://dx.doi.org/10.3389/fmars.2023.1161049</v>
      </c>
      <c r="BG538" t="s">
        <v>74</v>
      </c>
      <c r="BH538" t="s">
        <v>74</v>
      </c>
      <c r="BI538">
        <v>18</v>
      </c>
      <c r="BJ538" t="s">
        <v>1001</v>
      </c>
      <c r="BK538" t="s">
        <v>104</v>
      </c>
      <c r="BL538" t="s">
        <v>1002</v>
      </c>
      <c r="BM538" t="s">
        <v>10603</v>
      </c>
      <c r="BN538" t="s">
        <v>74</v>
      </c>
      <c r="BO538" t="s">
        <v>2390</v>
      </c>
      <c r="BP538" t="s">
        <v>74</v>
      </c>
      <c r="BQ538" t="s">
        <v>74</v>
      </c>
      <c r="BR538" t="s">
        <v>107</v>
      </c>
      <c r="BS538" t="s">
        <v>10604</v>
      </c>
      <c r="BT538" t="str">
        <f>HYPERLINK("https%3A%2F%2Fwww.webofscience.com%2Fwos%2Fwoscc%2Ffull-record%2FWOS:001025415500001","View Full Record in Web of Science")</f>
        <v>View Full Record in Web of Science</v>
      </c>
    </row>
    <row r="539" spans="1:72" x14ac:dyDescent="0.15">
      <c r="A539" t="s">
        <v>72</v>
      </c>
      <c r="B539" t="s">
        <v>10605</v>
      </c>
      <c r="C539" t="s">
        <v>74</v>
      </c>
      <c r="D539" t="s">
        <v>74</v>
      </c>
      <c r="E539" t="s">
        <v>74</v>
      </c>
      <c r="F539" t="s">
        <v>10606</v>
      </c>
      <c r="G539" t="s">
        <v>74</v>
      </c>
      <c r="H539" t="s">
        <v>74</v>
      </c>
      <c r="I539" t="s">
        <v>10607</v>
      </c>
      <c r="J539" t="s">
        <v>10608</v>
      </c>
      <c r="K539" t="s">
        <v>74</v>
      </c>
      <c r="L539" t="s">
        <v>74</v>
      </c>
      <c r="M539" t="s">
        <v>78</v>
      </c>
      <c r="N539" t="s">
        <v>869</v>
      </c>
      <c r="O539" t="s">
        <v>74</v>
      </c>
      <c r="P539" t="s">
        <v>74</v>
      </c>
      <c r="Q539" t="s">
        <v>74</v>
      </c>
      <c r="R539" t="s">
        <v>74</v>
      </c>
      <c r="S539" t="s">
        <v>74</v>
      </c>
      <c r="T539" t="s">
        <v>10609</v>
      </c>
      <c r="U539" t="s">
        <v>10610</v>
      </c>
      <c r="V539" t="s">
        <v>10611</v>
      </c>
      <c r="W539" t="s">
        <v>10612</v>
      </c>
      <c r="X539" t="s">
        <v>10613</v>
      </c>
      <c r="Y539" t="s">
        <v>10614</v>
      </c>
      <c r="Z539" t="s">
        <v>10615</v>
      </c>
      <c r="AA539" t="s">
        <v>10616</v>
      </c>
      <c r="AB539" t="s">
        <v>10617</v>
      </c>
      <c r="AC539" t="s">
        <v>10618</v>
      </c>
      <c r="AD539" t="s">
        <v>10619</v>
      </c>
      <c r="AE539" t="s">
        <v>10620</v>
      </c>
      <c r="AF539" t="s">
        <v>74</v>
      </c>
      <c r="AG539">
        <v>144</v>
      </c>
      <c r="AH539">
        <v>2</v>
      </c>
      <c r="AI539">
        <v>2</v>
      </c>
      <c r="AJ539">
        <v>1</v>
      </c>
      <c r="AK539">
        <v>3</v>
      </c>
      <c r="AL539" t="s">
        <v>460</v>
      </c>
      <c r="AM539" t="s">
        <v>461</v>
      </c>
      <c r="AN539" t="s">
        <v>462</v>
      </c>
      <c r="AO539" t="s">
        <v>10621</v>
      </c>
      <c r="AP539" t="s">
        <v>10622</v>
      </c>
      <c r="AQ539" t="s">
        <v>74</v>
      </c>
      <c r="AR539" t="s">
        <v>10623</v>
      </c>
      <c r="AS539" t="s">
        <v>10624</v>
      </c>
      <c r="AT539" t="s">
        <v>97</v>
      </c>
      <c r="AU539">
        <v>2023</v>
      </c>
      <c r="AV539">
        <v>239</v>
      </c>
      <c r="AW539">
        <v>5</v>
      </c>
      <c r="AX539" t="s">
        <v>74</v>
      </c>
      <c r="AY539" t="s">
        <v>74</v>
      </c>
      <c r="AZ539" t="s">
        <v>74</v>
      </c>
      <c r="BA539" t="s">
        <v>74</v>
      </c>
      <c r="BB539">
        <v>1556</v>
      </c>
      <c r="BC539">
        <v>1566</v>
      </c>
      <c r="BD539" t="s">
        <v>74</v>
      </c>
      <c r="BE539" t="s">
        <v>10625</v>
      </c>
      <c r="BF539" t="str">
        <f>HYPERLINK("http://dx.doi.org/10.1111/nph.19067","http://dx.doi.org/10.1111/nph.19067")</f>
        <v>http://dx.doi.org/10.1111/nph.19067</v>
      </c>
      <c r="BG539" t="s">
        <v>74</v>
      </c>
      <c r="BH539" t="s">
        <v>10102</v>
      </c>
      <c r="BI539">
        <v>11</v>
      </c>
      <c r="BJ539" t="s">
        <v>375</v>
      </c>
      <c r="BK539" t="s">
        <v>104</v>
      </c>
      <c r="BL539" t="s">
        <v>375</v>
      </c>
      <c r="BM539" t="s">
        <v>10626</v>
      </c>
      <c r="BN539">
        <v>37369251</v>
      </c>
      <c r="BO539" t="s">
        <v>549</v>
      </c>
      <c r="BP539" t="s">
        <v>74</v>
      </c>
      <c r="BQ539" t="s">
        <v>74</v>
      </c>
      <c r="BR539" t="s">
        <v>107</v>
      </c>
      <c r="BS539" t="s">
        <v>10627</v>
      </c>
      <c r="BT539" t="str">
        <f>HYPERLINK("https%3A%2F%2Fwww.webofscience.com%2Fwos%2Fwoscc%2Ffull-record%2FWOS:001020783200001","View Full Record in Web of Science")</f>
        <v>View Full Record in Web of Science</v>
      </c>
    </row>
    <row r="540" spans="1:72" x14ac:dyDescent="0.15">
      <c r="A540" t="s">
        <v>72</v>
      </c>
      <c r="B540" t="s">
        <v>10628</v>
      </c>
      <c r="C540" t="s">
        <v>74</v>
      </c>
      <c r="D540" t="s">
        <v>74</v>
      </c>
      <c r="E540" t="s">
        <v>74</v>
      </c>
      <c r="F540" t="s">
        <v>10629</v>
      </c>
      <c r="G540" t="s">
        <v>74</v>
      </c>
      <c r="H540" t="s">
        <v>74</v>
      </c>
      <c r="I540" t="s">
        <v>10630</v>
      </c>
      <c r="J540" t="s">
        <v>10631</v>
      </c>
      <c r="K540" t="s">
        <v>74</v>
      </c>
      <c r="L540" t="s">
        <v>74</v>
      </c>
      <c r="M540" t="s">
        <v>78</v>
      </c>
      <c r="N540" t="s">
        <v>79</v>
      </c>
      <c r="O540" t="s">
        <v>74</v>
      </c>
      <c r="P540" t="s">
        <v>74</v>
      </c>
      <c r="Q540" t="s">
        <v>74</v>
      </c>
      <c r="R540" t="s">
        <v>74</v>
      </c>
      <c r="S540" t="s">
        <v>74</v>
      </c>
      <c r="T540" t="s">
        <v>10632</v>
      </c>
      <c r="U540" t="s">
        <v>10633</v>
      </c>
      <c r="V540" t="s">
        <v>10634</v>
      </c>
      <c r="W540" t="s">
        <v>10635</v>
      </c>
      <c r="X540" t="s">
        <v>10636</v>
      </c>
      <c r="Y540" t="s">
        <v>10637</v>
      </c>
      <c r="Z540" t="s">
        <v>10638</v>
      </c>
      <c r="AA540" t="s">
        <v>10639</v>
      </c>
      <c r="AB540" t="s">
        <v>10640</v>
      </c>
      <c r="AC540" t="s">
        <v>10641</v>
      </c>
      <c r="AD540" t="s">
        <v>10642</v>
      </c>
      <c r="AE540" t="s">
        <v>10643</v>
      </c>
      <c r="AF540" t="s">
        <v>74</v>
      </c>
      <c r="AG540">
        <v>65</v>
      </c>
      <c r="AH540">
        <v>0</v>
      </c>
      <c r="AI540">
        <v>0</v>
      </c>
      <c r="AJ540">
        <v>9</v>
      </c>
      <c r="AK540">
        <v>16</v>
      </c>
      <c r="AL540" t="s">
        <v>5368</v>
      </c>
      <c r="AM540" t="s">
        <v>511</v>
      </c>
      <c r="AN540" t="s">
        <v>5369</v>
      </c>
      <c r="AO540" t="s">
        <v>10644</v>
      </c>
      <c r="AP540" t="s">
        <v>10645</v>
      </c>
      <c r="AQ540" t="s">
        <v>74</v>
      </c>
      <c r="AR540" t="s">
        <v>10646</v>
      </c>
      <c r="AS540" t="s">
        <v>10647</v>
      </c>
      <c r="AT540" t="s">
        <v>3612</v>
      </c>
      <c r="AU540">
        <v>2023</v>
      </c>
      <c r="AV540">
        <v>66</v>
      </c>
      <c r="AW540">
        <v>7</v>
      </c>
      <c r="AX540" t="s">
        <v>74</v>
      </c>
      <c r="AY540" t="s">
        <v>74</v>
      </c>
      <c r="AZ540" t="s">
        <v>74</v>
      </c>
      <c r="BA540" t="s">
        <v>74</v>
      </c>
      <c r="BB540">
        <v>1478</v>
      </c>
      <c r="BC540">
        <v>1492</v>
      </c>
      <c r="BD540" t="s">
        <v>74</v>
      </c>
      <c r="BE540" t="s">
        <v>10648</v>
      </c>
      <c r="BF540" t="str">
        <f>HYPERLINK("http://dx.doi.org/10.1007/s11430-022-1109-y","http://dx.doi.org/10.1007/s11430-022-1109-y")</f>
        <v>http://dx.doi.org/10.1007/s11430-022-1109-y</v>
      </c>
      <c r="BG540" t="s">
        <v>74</v>
      </c>
      <c r="BH540" t="s">
        <v>10102</v>
      </c>
      <c r="BI540">
        <v>15</v>
      </c>
      <c r="BJ540" t="s">
        <v>155</v>
      </c>
      <c r="BK540" t="s">
        <v>104</v>
      </c>
      <c r="BL540" t="s">
        <v>156</v>
      </c>
      <c r="BM540" t="s">
        <v>10649</v>
      </c>
      <c r="BN540" t="s">
        <v>74</v>
      </c>
      <c r="BO540" t="s">
        <v>74</v>
      </c>
      <c r="BP540" t="s">
        <v>74</v>
      </c>
      <c r="BQ540" t="s">
        <v>74</v>
      </c>
      <c r="BR540" t="s">
        <v>107</v>
      </c>
      <c r="BS540" t="s">
        <v>10650</v>
      </c>
      <c r="BT540" t="str">
        <f>HYPERLINK("https%3A%2F%2Fwww.webofscience.com%2Fwos%2Fwoscc%2Ffull-record%2FWOS:001020292200002","View Full Record in Web of Science")</f>
        <v>View Full Record in Web of Science</v>
      </c>
    </row>
    <row r="541" spans="1:72" x14ac:dyDescent="0.15">
      <c r="A541" t="s">
        <v>72</v>
      </c>
      <c r="B541" t="s">
        <v>10651</v>
      </c>
      <c r="C541" t="s">
        <v>74</v>
      </c>
      <c r="D541" t="s">
        <v>74</v>
      </c>
      <c r="E541" t="s">
        <v>74</v>
      </c>
      <c r="F541" t="s">
        <v>10652</v>
      </c>
      <c r="G541" t="s">
        <v>74</v>
      </c>
      <c r="H541" t="s">
        <v>74</v>
      </c>
      <c r="I541" t="s">
        <v>10653</v>
      </c>
      <c r="J541" t="s">
        <v>10654</v>
      </c>
      <c r="K541" t="s">
        <v>74</v>
      </c>
      <c r="L541" t="s">
        <v>74</v>
      </c>
      <c r="M541" t="s">
        <v>78</v>
      </c>
      <c r="N541" t="s">
        <v>79</v>
      </c>
      <c r="O541" t="s">
        <v>74</v>
      </c>
      <c r="P541" t="s">
        <v>74</v>
      </c>
      <c r="Q541" t="s">
        <v>74</v>
      </c>
      <c r="R541" t="s">
        <v>74</v>
      </c>
      <c r="S541" t="s">
        <v>74</v>
      </c>
      <c r="T541" t="s">
        <v>10655</v>
      </c>
      <c r="U541" t="s">
        <v>10656</v>
      </c>
      <c r="V541" t="s">
        <v>10657</v>
      </c>
      <c r="W541" t="s">
        <v>10658</v>
      </c>
      <c r="X541" t="s">
        <v>10659</v>
      </c>
      <c r="Y541" t="s">
        <v>10660</v>
      </c>
      <c r="Z541" t="s">
        <v>10661</v>
      </c>
      <c r="AA541" t="s">
        <v>74</v>
      </c>
      <c r="AB541" t="s">
        <v>10662</v>
      </c>
      <c r="AC541" t="s">
        <v>10663</v>
      </c>
      <c r="AD541" t="s">
        <v>10664</v>
      </c>
      <c r="AE541" t="s">
        <v>10665</v>
      </c>
      <c r="AF541" t="s">
        <v>74</v>
      </c>
      <c r="AG541">
        <v>123</v>
      </c>
      <c r="AH541">
        <v>1</v>
      </c>
      <c r="AI541">
        <v>1</v>
      </c>
      <c r="AJ541">
        <v>3</v>
      </c>
      <c r="AK541">
        <v>9</v>
      </c>
      <c r="AL541" t="s">
        <v>10666</v>
      </c>
      <c r="AM541" t="s">
        <v>10667</v>
      </c>
      <c r="AN541" t="s">
        <v>10668</v>
      </c>
      <c r="AO541" t="s">
        <v>10669</v>
      </c>
      <c r="AP541" t="s">
        <v>10670</v>
      </c>
      <c r="AQ541" t="s">
        <v>74</v>
      </c>
      <c r="AR541" t="s">
        <v>10671</v>
      </c>
      <c r="AS541" t="s">
        <v>10672</v>
      </c>
      <c r="AT541" t="s">
        <v>10493</v>
      </c>
      <c r="AU541">
        <v>2023</v>
      </c>
      <c r="AV541">
        <v>108</v>
      </c>
      <c r="AW541">
        <v>6</v>
      </c>
      <c r="AX541" t="s">
        <v>74</v>
      </c>
      <c r="AY541" t="s">
        <v>74</v>
      </c>
      <c r="AZ541" t="s">
        <v>74</v>
      </c>
      <c r="BA541" t="s">
        <v>74</v>
      </c>
      <c r="BB541">
        <v>1017</v>
      </c>
      <c r="BC541">
        <v>1031</v>
      </c>
      <c r="BD541" t="s">
        <v>74</v>
      </c>
      <c r="BE541" t="s">
        <v>10673</v>
      </c>
      <c r="BF541" t="str">
        <f>HYPERLINK("http://dx.doi.org/10.2138/am-2022-8381","http://dx.doi.org/10.2138/am-2022-8381")</f>
        <v>http://dx.doi.org/10.2138/am-2022-8381</v>
      </c>
      <c r="BG541" t="s">
        <v>74</v>
      </c>
      <c r="BH541" t="s">
        <v>74</v>
      </c>
      <c r="BI541">
        <v>15</v>
      </c>
      <c r="BJ541" t="s">
        <v>10674</v>
      </c>
      <c r="BK541" t="s">
        <v>104</v>
      </c>
      <c r="BL541" t="s">
        <v>10674</v>
      </c>
      <c r="BM541" t="s">
        <v>10675</v>
      </c>
      <c r="BN541" t="s">
        <v>74</v>
      </c>
      <c r="BO541" t="s">
        <v>74</v>
      </c>
      <c r="BP541" t="s">
        <v>74</v>
      </c>
      <c r="BQ541" t="s">
        <v>74</v>
      </c>
      <c r="BR541" t="s">
        <v>107</v>
      </c>
      <c r="BS541" t="s">
        <v>10676</v>
      </c>
      <c r="BT541" t="str">
        <f>HYPERLINK("https%3A%2F%2Fwww.webofscience.com%2Fwos%2Fwoscc%2Ffull-record%2FWOS:001000325200001","View Full Record in Web of Science")</f>
        <v>View Full Record in Web of Science</v>
      </c>
    </row>
    <row r="542" spans="1:72" x14ac:dyDescent="0.15">
      <c r="A542" t="s">
        <v>72</v>
      </c>
      <c r="B542" t="s">
        <v>10677</v>
      </c>
      <c r="C542" t="s">
        <v>74</v>
      </c>
      <c r="D542" t="s">
        <v>74</v>
      </c>
      <c r="E542" t="s">
        <v>74</v>
      </c>
      <c r="F542" t="s">
        <v>10678</v>
      </c>
      <c r="G542" t="s">
        <v>74</v>
      </c>
      <c r="H542" t="s">
        <v>74</v>
      </c>
      <c r="I542" t="s">
        <v>10679</v>
      </c>
      <c r="J542" t="s">
        <v>10680</v>
      </c>
      <c r="K542" t="s">
        <v>74</v>
      </c>
      <c r="L542" t="s">
        <v>74</v>
      </c>
      <c r="M542" t="s">
        <v>78</v>
      </c>
      <c r="N542" t="s">
        <v>79</v>
      </c>
      <c r="O542" t="s">
        <v>74</v>
      </c>
      <c r="P542" t="s">
        <v>74</v>
      </c>
      <c r="Q542" t="s">
        <v>74</v>
      </c>
      <c r="R542" t="s">
        <v>74</v>
      </c>
      <c r="S542" t="s">
        <v>74</v>
      </c>
      <c r="T542" t="s">
        <v>74</v>
      </c>
      <c r="U542" t="s">
        <v>10681</v>
      </c>
      <c r="V542" t="s">
        <v>10682</v>
      </c>
      <c r="W542" t="s">
        <v>10683</v>
      </c>
      <c r="X542" t="s">
        <v>10684</v>
      </c>
      <c r="Y542" t="s">
        <v>10685</v>
      </c>
      <c r="Z542" t="s">
        <v>10686</v>
      </c>
      <c r="AA542" t="s">
        <v>10687</v>
      </c>
      <c r="AB542" t="s">
        <v>10688</v>
      </c>
      <c r="AC542" t="s">
        <v>10689</v>
      </c>
      <c r="AD542" t="s">
        <v>10690</v>
      </c>
      <c r="AE542" t="s">
        <v>10691</v>
      </c>
      <c r="AF542" t="s">
        <v>74</v>
      </c>
      <c r="AG542">
        <v>55</v>
      </c>
      <c r="AH542">
        <v>9</v>
      </c>
      <c r="AI542">
        <v>9</v>
      </c>
      <c r="AJ542">
        <v>27</v>
      </c>
      <c r="AK542">
        <v>35</v>
      </c>
      <c r="AL542" t="s">
        <v>146</v>
      </c>
      <c r="AM542" t="s">
        <v>147</v>
      </c>
      <c r="AN542" t="s">
        <v>148</v>
      </c>
      <c r="AO542" t="s">
        <v>10692</v>
      </c>
      <c r="AP542" t="s">
        <v>74</v>
      </c>
      <c r="AQ542" t="s">
        <v>74</v>
      </c>
      <c r="AR542" t="s">
        <v>10693</v>
      </c>
      <c r="AS542" t="s">
        <v>10694</v>
      </c>
      <c r="AT542" t="s">
        <v>1810</v>
      </c>
      <c r="AU542">
        <v>2023</v>
      </c>
      <c r="AV542">
        <v>6</v>
      </c>
      <c r="AW542">
        <v>10</v>
      </c>
      <c r="AX542" t="s">
        <v>74</v>
      </c>
      <c r="AY542" t="s">
        <v>74</v>
      </c>
      <c r="AZ542" t="s">
        <v>74</v>
      </c>
      <c r="BA542" t="s">
        <v>74</v>
      </c>
      <c r="BB542">
        <v>1186</v>
      </c>
      <c r="BC542">
        <v>1198</v>
      </c>
      <c r="BD542" t="s">
        <v>74</v>
      </c>
      <c r="BE542" t="s">
        <v>10695</v>
      </c>
      <c r="BF542" t="str">
        <f>HYPERLINK("http://dx.doi.org/10.1038/s41893-023-01156-y","http://dx.doi.org/10.1038/s41893-023-01156-y")</f>
        <v>http://dx.doi.org/10.1038/s41893-023-01156-y</v>
      </c>
      <c r="BG542" t="s">
        <v>74</v>
      </c>
      <c r="BH542" t="s">
        <v>10102</v>
      </c>
      <c r="BI542">
        <v>13</v>
      </c>
      <c r="BJ542" t="s">
        <v>5760</v>
      </c>
      <c r="BK542" t="s">
        <v>881</v>
      </c>
      <c r="BL542" t="s">
        <v>5761</v>
      </c>
      <c r="BM542" t="s">
        <v>10696</v>
      </c>
      <c r="BN542" t="s">
        <v>74</v>
      </c>
      <c r="BO542" t="s">
        <v>549</v>
      </c>
      <c r="BP542" t="s">
        <v>74</v>
      </c>
      <c r="BQ542" t="s">
        <v>74</v>
      </c>
      <c r="BR542" t="s">
        <v>107</v>
      </c>
      <c r="BS542" t="s">
        <v>10697</v>
      </c>
      <c r="BT542" t="str">
        <f>HYPERLINK("https%3A%2F%2Fwww.webofscience.com%2Fwos%2Fwoscc%2Ffull-record%2FWOS:001016495600001","View Full Record in Web of Science")</f>
        <v>View Full Record in Web of Science</v>
      </c>
    </row>
    <row r="543" spans="1:72" x14ac:dyDescent="0.15">
      <c r="A543" t="s">
        <v>72</v>
      </c>
      <c r="B543" t="s">
        <v>10698</v>
      </c>
      <c r="C543" t="s">
        <v>74</v>
      </c>
      <c r="D543" t="s">
        <v>74</v>
      </c>
      <c r="E543" t="s">
        <v>74</v>
      </c>
      <c r="F543" t="s">
        <v>10699</v>
      </c>
      <c r="G543" t="s">
        <v>74</v>
      </c>
      <c r="H543" t="s">
        <v>74</v>
      </c>
      <c r="I543" t="s">
        <v>10700</v>
      </c>
      <c r="J543" t="s">
        <v>2105</v>
      </c>
      <c r="K543" t="s">
        <v>74</v>
      </c>
      <c r="L543" t="s">
        <v>74</v>
      </c>
      <c r="M543" t="s">
        <v>78</v>
      </c>
      <c r="N543" t="s">
        <v>79</v>
      </c>
      <c r="O543" t="s">
        <v>74</v>
      </c>
      <c r="P543" t="s">
        <v>74</v>
      </c>
      <c r="Q543" t="s">
        <v>74</v>
      </c>
      <c r="R543" t="s">
        <v>74</v>
      </c>
      <c r="S543" t="s">
        <v>74</v>
      </c>
      <c r="T543" t="s">
        <v>10701</v>
      </c>
      <c r="U543" t="s">
        <v>10702</v>
      </c>
      <c r="V543" t="s">
        <v>10703</v>
      </c>
      <c r="W543" t="s">
        <v>10704</v>
      </c>
      <c r="X543" t="s">
        <v>10705</v>
      </c>
      <c r="Y543" t="s">
        <v>10706</v>
      </c>
      <c r="Z543" t="s">
        <v>10707</v>
      </c>
      <c r="AA543" t="s">
        <v>74</v>
      </c>
      <c r="AB543" t="s">
        <v>10708</v>
      </c>
      <c r="AC543" t="s">
        <v>10709</v>
      </c>
      <c r="AD543" t="s">
        <v>10710</v>
      </c>
      <c r="AE543" t="s">
        <v>10711</v>
      </c>
      <c r="AF543" t="s">
        <v>74</v>
      </c>
      <c r="AG543">
        <v>63</v>
      </c>
      <c r="AH543">
        <v>0</v>
      </c>
      <c r="AI543">
        <v>0</v>
      </c>
      <c r="AJ543">
        <v>0</v>
      </c>
      <c r="AK543">
        <v>1</v>
      </c>
      <c r="AL543" t="s">
        <v>2118</v>
      </c>
      <c r="AM543" t="s">
        <v>2119</v>
      </c>
      <c r="AN543" t="s">
        <v>2120</v>
      </c>
      <c r="AO543" t="s">
        <v>2121</v>
      </c>
      <c r="AP543" t="s">
        <v>2122</v>
      </c>
      <c r="AQ543" t="s">
        <v>74</v>
      </c>
      <c r="AR543" t="s">
        <v>2123</v>
      </c>
      <c r="AS543" t="s">
        <v>2124</v>
      </c>
      <c r="AT543" t="s">
        <v>2486</v>
      </c>
      <c r="AU543">
        <v>2023</v>
      </c>
      <c r="AV543">
        <v>233</v>
      </c>
      <c r="AW543" t="s">
        <v>74</v>
      </c>
      <c r="AX543" t="s">
        <v>74</v>
      </c>
      <c r="AY543" t="s">
        <v>74</v>
      </c>
      <c r="AZ543" t="s">
        <v>74</v>
      </c>
      <c r="BA543" t="s">
        <v>74</v>
      </c>
      <c r="BB543" t="s">
        <v>74</v>
      </c>
      <c r="BC543" t="s">
        <v>74</v>
      </c>
      <c r="BD543">
        <v>116438</v>
      </c>
      <c r="BE543" t="s">
        <v>10712</v>
      </c>
      <c r="BF543" t="str">
        <f>HYPERLINK("http://dx.doi.org/10.1016/j.envres.2023.116438","http://dx.doi.org/10.1016/j.envres.2023.116438")</f>
        <v>http://dx.doi.org/10.1016/j.envres.2023.116438</v>
      </c>
      <c r="BG543" t="s">
        <v>74</v>
      </c>
      <c r="BH543" t="s">
        <v>10102</v>
      </c>
      <c r="BI543">
        <v>12</v>
      </c>
      <c r="BJ543" t="s">
        <v>2127</v>
      </c>
      <c r="BK543" t="s">
        <v>104</v>
      </c>
      <c r="BL543" t="s">
        <v>2128</v>
      </c>
      <c r="BM543" t="s">
        <v>10713</v>
      </c>
      <c r="BN543">
        <v>37331559</v>
      </c>
      <c r="BO543" t="s">
        <v>549</v>
      </c>
      <c r="BP543" t="s">
        <v>74</v>
      </c>
      <c r="BQ543" t="s">
        <v>74</v>
      </c>
      <c r="BR543" t="s">
        <v>107</v>
      </c>
      <c r="BS543" t="s">
        <v>10714</v>
      </c>
      <c r="BT543" t="str">
        <f>HYPERLINK("https%3A%2F%2Fwww.webofscience.com%2Fwos%2Fwoscc%2Ffull-record%2FWOS:001037482700001","View Full Record in Web of Science")</f>
        <v>View Full Record in Web of Science</v>
      </c>
    </row>
    <row r="544" spans="1:72" x14ac:dyDescent="0.15">
      <c r="A544" t="s">
        <v>72</v>
      </c>
      <c r="B544" t="s">
        <v>10715</v>
      </c>
      <c r="C544" t="s">
        <v>74</v>
      </c>
      <c r="D544" t="s">
        <v>74</v>
      </c>
      <c r="E544" t="s">
        <v>74</v>
      </c>
      <c r="F544" t="s">
        <v>10716</v>
      </c>
      <c r="G544" t="s">
        <v>74</v>
      </c>
      <c r="H544" t="s">
        <v>74</v>
      </c>
      <c r="I544" t="s">
        <v>10717</v>
      </c>
      <c r="J544" t="s">
        <v>138</v>
      </c>
      <c r="K544" t="s">
        <v>74</v>
      </c>
      <c r="L544" t="s">
        <v>74</v>
      </c>
      <c r="M544" t="s">
        <v>78</v>
      </c>
      <c r="N544" t="s">
        <v>79</v>
      </c>
      <c r="O544" t="s">
        <v>74</v>
      </c>
      <c r="P544" t="s">
        <v>74</v>
      </c>
      <c r="Q544" t="s">
        <v>74</v>
      </c>
      <c r="R544" t="s">
        <v>74</v>
      </c>
      <c r="S544" t="s">
        <v>74</v>
      </c>
      <c r="T544" t="s">
        <v>74</v>
      </c>
      <c r="U544" t="s">
        <v>10718</v>
      </c>
      <c r="V544" t="s">
        <v>10719</v>
      </c>
      <c r="W544" t="s">
        <v>10720</v>
      </c>
      <c r="X544" t="s">
        <v>10721</v>
      </c>
      <c r="Y544" t="s">
        <v>10722</v>
      </c>
      <c r="Z544" t="s">
        <v>74</v>
      </c>
      <c r="AA544" t="s">
        <v>10723</v>
      </c>
      <c r="AB544" t="s">
        <v>10724</v>
      </c>
      <c r="AC544" t="s">
        <v>10725</v>
      </c>
      <c r="AD544" t="s">
        <v>10726</v>
      </c>
      <c r="AE544" t="s">
        <v>10727</v>
      </c>
      <c r="AF544" t="s">
        <v>74</v>
      </c>
      <c r="AG544">
        <v>68</v>
      </c>
      <c r="AH544">
        <v>2</v>
      </c>
      <c r="AI544">
        <v>2</v>
      </c>
      <c r="AJ544">
        <v>6</v>
      </c>
      <c r="AK544">
        <v>13</v>
      </c>
      <c r="AL544" t="s">
        <v>146</v>
      </c>
      <c r="AM544" t="s">
        <v>147</v>
      </c>
      <c r="AN544" t="s">
        <v>148</v>
      </c>
      <c r="AO544" t="s">
        <v>149</v>
      </c>
      <c r="AP544" t="s">
        <v>150</v>
      </c>
      <c r="AQ544" t="s">
        <v>74</v>
      </c>
      <c r="AR544" t="s">
        <v>151</v>
      </c>
      <c r="AS544" t="s">
        <v>152</v>
      </c>
      <c r="AT544" t="s">
        <v>3612</v>
      </c>
      <c r="AU544">
        <v>2023</v>
      </c>
      <c r="AV544">
        <v>16</v>
      </c>
      <c r="AW544">
        <v>7</v>
      </c>
      <c r="AX544" t="s">
        <v>74</v>
      </c>
      <c r="AY544" t="s">
        <v>74</v>
      </c>
      <c r="AZ544" t="s">
        <v>74</v>
      </c>
      <c r="BA544" t="s">
        <v>74</v>
      </c>
      <c r="BB544">
        <v>631</v>
      </c>
      <c r="BC544" t="s">
        <v>153</v>
      </c>
      <c r="BD544" t="s">
        <v>74</v>
      </c>
      <c r="BE544" t="s">
        <v>10728</v>
      </c>
      <c r="BF544" t="str">
        <f>HYPERLINK("http://dx.doi.org/10.1038/s41561-023-01214-2","http://dx.doi.org/10.1038/s41561-023-01214-2")</f>
        <v>http://dx.doi.org/10.1038/s41561-023-01214-2</v>
      </c>
      <c r="BG544" t="s">
        <v>74</v>
      </c>
      <c r="BH544" t="s">
        <v>10102</v>
      </c>
      <c r="BI544">
        <v>8</v>
      </c>
      <c r="BJ544" t="s">
        <v>155</v>
      </c>
      <c r="BK544" t="s">
        <v>104</v>
      </c>
      <c r="BL544" t="s">
        <v>156</v>
      </c>
      <c r="BM544" t="s">
        <v>10729</v>
      </c>
      <c r="BN544" t="s">
        <v>74</v>
      </c>
      <c r="BO544" t="s">
        <v>1217</v>
      </c>
      <c r="BP544" t="s">
        <v>74</v>
      </c>
      <c r="BQ544" t="s">
        <v>74</v>
      </c>
      <c r="BR544" t="s">
        <v>107</v>
      </c>
      <c r="BS544" t="s">
        <v>10730</v>
      </c>
      <c r="BT544" t="str">
        <f>HYPERLINK("https%3A%2F%2Fwww.webofscience.com%2Fwos%2Fwoscc%2Ffull-record%2FWOS:001020352200001","View Full Record in Web of Science")</f>
        <v>View Full Record in Web of Science</v>
      </c>
    </row>
    <row r="545" spans="1:72" x14ac:dyDescent="0.15">
      <c r="A545" t="s">
        <v>72</v>
      </c>
      <c r="B545" t="s">
        <v>10731</v>
      </c>
      <c r="C545" t="s">
        <v>74</v>
      </c>
      <c r="D545" t="s">
        <v>74</v>
      </c>
      <c r="E545" t="s">
        <v>74</v>
      </c>
      <c r="F545" t="s">
        <v>10732</v>
      </c>
      <c r="G545" t="s">
        <v>74</v>
      </c>
      <c r="H545" t="s">
        <v>74</v>
      </c>
      <c r="I545" t="s">
        <v>10733</v>
      </c>
      <c r="J545" t="s">
        <v>3334</v>
      </c>
      <c r="K545" t="s">
        <v>74</v>
      </c>
      <c r="L545" t="s">
        <v>74</v>
      </c>
      <c r="M545" t="s">
        <v>78</v>
      </c>
      <c r="N545" t="s">
        <v>79</v>
      </c>
      <c r="O545" t="s">
        <v>74</v>
      </c>
      <c r="P545" t="s">
        <v>74</v>
      </c>
      <c r="Q545" t="s">
        <v>74</v>
      </c>
      <c r="R545" t="s">
        <v>74</v>
      </c>
      <c r="S545" t="s">
        <v>74</v>
      </c>
      <c r="T545" t="s">
        <v>74</v>
      </c>
      <c r="U545" t="s">
        <v>10734</v>
      </c>
      <c r="V545" t="s">
        <v>10735</v>
      </c>
      <c r="W545" t="s">
        <v>10736</v>
      </c>
      <c r="X545" t="s">
        <v>10737</v>
      </c>
      <c r="Y545" t="s">
        <v>10738</v>
      </c>
      <c r="Z545" t="s">
        <v>10739</v>
      </c>
      <c r="AA545" t="s">
        <v>10740</v>
      </c>
      <c r="AB545" t="s">
        <v>10741</v>
      </c>
      <c r="AC545" t="s">
        <v>10742</v>
      </c>
      <c r="AD545" t="s">
        <v>10743</v>
      </c>
      <c r="AE545" t="s">
        <v>10744</v>
      </c>
      <c r="AF545" t="s">
        <v>74</v>
      </c>
      <c r="AG545">
        <v>63</v>
      </c>
      <c r="AH545">
        <v>1</v>
      </c>
      <c r="AI545">
        <v>1</v>
      </c>
      <c r="AJ545">
        <v>4</v>
      </c>
      <c r="AK545">
        <v>7</v>
      </c>
      <c r="AL545" t="s">
        <v>1775</v>
      </c>
      <c r="AM545" t="s">
        <v>1776</v>
      </c>
      <c r="AN545" t="s">
        <v>1777</v>
      </c>
      <c r="AO545" t="s">
        <v>3346</v>
      </c>
      <c r="AP545" t="s">
        <v>3347</v>
      </c>
      <c r="AQ545" t="s">
        <v>74</v>
      </c>
      <c r="AR545" t="s">
        <v>3348</v>
      </c>
      <c r="AS545" t="s">
        <v>3349</v>
      </c>
      <c r="AT545" t="s">
        <v>10745</v>
      </c>
      <c r="AU545">
        <v>2023</v>
      </c>
      <c r="AV545">
        <v>19</v>
      </c>
      <c r="AW545">
        <v>6</v>
      </c>
      <c r="AX545" t="s">
        <v>74</v>
      </c>
      <c r="AY545" t="s">
        <v>74</v>
      </c>
      <c r="AZ545" t="s">
        <v>74</v>
      </c>
      <c r="BA545" t="s">
        <v>74</v>
      </c>
      <c r="BB545">
        <v>1275</v>
      </c>
      <c r="BC545">
        <v>1294</v>
      </c>
      <c r="BD545" t="s">
        <v>74</v>
      </c>
      <c r="BE545" t="s">
        <v>10746</v>
      </c>
      <c r="BF545" t="str">
        <f>HYPERLINK("http://dx.doi.org/10.5194/cp-19-1275-2023","http://dx.doi.org/10.5194/cp-19-1275-2023")</f>
        <v>http://dx.doi.org/10.5194/cp-19-1275-2023</v>
      </c>
      <c r="BG545" t="s">
        <v>74</v>
      </c>
      <c r="BH545" t="s">
        <v>74</v>
      </c>
      <c r="BI545">
        <v>20</v>
      </c>
      <c r="BJ545" t="s">
        <v>3351</v>
      </c>
      <c r="BK545" t="s">
        <v>104</v>
      </c>
      <c r="BL545" t="s">
        <v>3352</v>
      </c>
      <c r="BM545" t="s">
        <v>10747</v>
      </c>
      <c r="BN545" t="s">
        <v>74</v>
      </c>
      <c r="BO545" t="s">
        <v>3243</v>
      </c>
      <c r="BP545" t="s">
        <v>74</v>
      </c>
      <c r="BQ545" t="s">
        <v>74</v>
      </c>
      <c r="BR545" t="s">
        <v>107</v>
      </c>
      <c r="BS545" t="s">
        <v>10748</v>
      </c>
      <c r="BT545" t="str">
        <f>HYPERLINK("https%3A%2F%2Fwww.webofscience.com%2Fwos%2Fwoscc%2Ffull-record%2FWOS:001019821700001","View Full Record in Web of Science")</f>
        <v>View Full Record in Web of Science</v>
      </c>
    </row>
    <row r="546" spans="1:72" x14ac:dyDescent="0.15">
      <c r="A546" t="s">
        <v>72</v>
      </c>
      <c r="B546" t="s">
        <v>10749</v>
      </c>
      <c r="C546" t="s">
        <v>74</v>
      </c>
      <c r="D546" t="s">
        <v>74</v>
      </c>
      <c r="E546" t="s">
        <v>74</v>
      </c>
      <c r="F546" t="s">
        <v>10750</v>
      </c>
      <c r="G546" t="s">
        <v>74</v>
      </c>
      <c r="H546" t="s">
        <v>74</v>
      </c>
      <c r="I546" t="s">
        <v>10751</v>
      </c>
      <c r="J546" t="s">
        <v>1820</v>
      </c>
      <c r="K546" t="s">
        <v>74</v>
      </c>
      <c r="L546" t="s">
        <v>74</v>
      </c>
      <c r="M546" t="s">
        <v>78</v>
      </c>
      <c r="N546" t="s">
        <v>79</v>
      </c>
      <c r="O546" t="s">
        <v>74</v>
      </c>
      <c r="P546" t="s">
        <v>74</v>
      </c>
      <c r="Q546" t="s">
        <v>74</v>
      </c>
      <c r="R546" t="s">
        <v>74</v>
      </c>
      <c r="S546" t="s">
        <v>74</v>
      </c>
      <c r="T546" t="s">
        <v>10752</v>
      </c>
      <c r="U546" t="s">
        <v>10753</v>
      </c>
      <c r="V546" t="s">
        <v>10754</v>
      </c>
      <c r="W546" t="s">
        <v>10755</v>
      </c>
      <c r="X546" t="s">
        <v>10756</v>
      </c>
      <c r="Y546" t="s">
        <v>10757</v>
      </c>
      <c r="Z546" t="s">
        <v>10758</v>
      </c>
      <c r="AA546" t="s">
        <v>10759</v>
      </c>
      <c r="AB546" t="s">
        <v>10760</v>
      </c>
      <c r="AC546" t="s">
        <v>10761</v>
      </c>
      <c r="AD546" t="s">
        <v>10762</v>
      </c>
      <c r="AE546" t="s">
        <v>10763</v>
      </c>
      <c r="AF546" t="s">
        <v>74</v>
      </c>
      <c r="AG546">
        <v>120</v>
      </c>
      <c r="AH546">
        <v>5</v>
      </c>
      <c r="AI546">
        <v>5</v>
      </c>
      <c r="AJ546">
        <v>2</v>
      </c>
      <c r="AK546">
        <v>10</v>
      </c>
      <c r="AL546" t="s">
        <v>994</v>
      </c>
      <c r="AM546" t="s">
        <v>995</v>
      </c>
      <c r="AN546" t="s">
        <v>996</v>
      </c>
      <c r="AO546" t="s">
        <v>74</v>
      </c>
      <c r="AP546" t="s">
        <v>1833</v>
      </c>
      <c r="AQ546" t="s">
        <v>74</v>
      </c>
      <c r="AR546" t="s">
        <v>1834</v>
      </c>
      <c r="AS546" t="s">
        <v>1835</v>
      </c>
      <c r="AT546" t="s">
        <v>10745</v>
      </c>
      <c r="AU546">
        <v>2023</v>
      </c>
      <c r="AV546">
        <v>14</v>
      </c>
      <c r="AW546" t="s">
        <v>74</v>
      </c>
      <c r="AX546" t="s">
        <v>74</v>
      </c>
      <c r="AY546" t="s">
        <v>74</v>
      </c>
      <c r="AZ546" t="s">
        <v>74</v>
      </c>
      <c r="BA546" t="s">
        <v>74</v>
      </c>
      <c r="BB546" t="s">
        <v>74</v>
      </c>
      <c r="BC546" t="s">
        <v>74</v>
      </c>
      <c r="BD546">
        <v>1118747</v>
      </c>
      <c r="BE546" t="s">
        <v>10764</v>
      </c>
      <c r="BF546" t="str">
        <f>HYPERLINK("http://dx.doi.org/10.3389/fmicb.2023.1118747","http://dx.doi.org/10.3389/fmicb.2023.1118747")</f>
        <v>http://dx.doi.org/10.3389/fmicb.2023.1118747</v>
      </c>
      <c r="BG546" t="s">
        <v>74</v>
      </c>
      <c r="BH546" t="s">
        <v>74</v>
      </c>
      <c r="BI546">
        <v>18</v>
      </c>
      <c r="BJ546" t="s">
        <v>702</v>
      </c>
      <c r="BK546" t="s">
        <v>104</v>
      </c>
      <c r="BL546" t="s">
        <v>702</v>
      </c>
      <c r="BM546" t="s">
        <v>10765</v>
      </c>
      <c r="BN546">
        <v>37434717</v>
      </c>
      <c r="BO546" t="s">
        <v>181</v>
      </c>
      <c r="BP546" t="s">
        <v>74</v>
      </c>
      <c r="BQ546" t="s">
        <v>74</v>
      </c>
      <c r="BR546" t="s">
        <v>107</v>
      </c>
      <c r="BS546" t="s">
        <v>10766</v>
      </c>
      <c r="BT546" t="str">
        <f>HYPERLINK("https%3A%2F%2Fwww.webofscience.com%2Fwos%2Fwoscc%2Ffull-record%2FWOS:001025165500001","View Full Record in Web of Science")</f>
        <v>View Full Record in Web of Science</v>
      </c>
    </row>
    <row r="547" spans="1:72" x14ac:dyDescent="0.15">
      <c r="A547" t="s">
        <v>72</v>
      </c>
      <c r="B547" t="s">
        <v>10767</v>
      </c>
      <c r="C547" t="s">
        <v>74</v>
      </c>
      <c r="D547" t="s">
        <v>74</v>
      </c>
      <c r="E547" t="s">
        <v>74</v>
      </c>
      <c r="F547" t="s">
        <v>10768</v>
      </c>
      <c r="G547" t="s">
        <v>74</v>
      </c>
      <c r="H547" t="s">
        <v>74</v>
      </c>
      <c r="I547" t="s">
        <v>10769</v>
      </c>
      <c r="J547" t="s">
        <v>10770</v>
      </c>
      <c r="K547" t="s">
        <v>74</v>
      </c>
      <c r="L547" t="s">
        <v>74</v>
      </c>
      <c r="M547" t="s">
        <v>78</v>
      </c>
      <c r="N547" t="s">
        <v>79</v>
      </c>
      <c r="O547" t="s">
        <v>74</v>
      </c>
      <c r="P547" t="s">
        <v>74</v>
      </c>
      <c r="Q547" t="s">
        <v>74</v>
      </c>
      <c r="R547" t="s">
        <v>74</v>
      </c>
      <c r="S547" t="s">
        <v>74</v>
      </c>
      <c r="T547" t="s">
        <v>10771</v>
      </c>
      <c r="U547" t="s">
        <v>10772</v>
      </c>
      <c r="V547" t="s">
        <v>10773</v>
      </c>
      <c r="W547" t="s">
        <v>10774</v>
      </c>
      <c r="X547" t="s">
        <v>10775</v>
      </c>
      <c r="Y547" t="s">
        <v>10776</v>
      </c>
      <c r="Z547" t="s">
        <v>10777</v>
      </c>
      <c r="AA547" t="s">
        <v>74</v>
      </c>
      <c r="AB547" t="s">
        <v>74</v>
      </c>
      <c r="AC547" t="s">
        <v>10778</v>
      </c>
      <c r="AD547" t="s">
        <v>10779</v>
      </c>
      <c r="AE547" t="s">
        <v>10780</v>
      </c>
      <c r="AF547" t="s">
        <v>74</v>
      </c>
      <c r="AG547">
        <v>38</v>
      </c>
      <c r="AH547">
        <v>0</v>
      </c>
      <c r="AI547">
        <v>0</v>
      </c>
      <c r="AJ547">
        <v>0</v>
      </c>
      <c r="AK547">
        <v>2</v>
      </c>
      <c r="AL547" t="s">
        <v>3320</v>
      </c>
      <c r="AM547" t="s">
        <v>3321</v>
      </c>
      <c r="AN547" t="s">
        <v>3322</v>
      </c>
      <c r="AO547" t="s">
        <v>10781</v>
      </c>
      <c r="AP547" t="s">
        <v>10782</v>
      </c>
      <c r="AQ547" t="s">
        <v>74</v>
      </c>
      <c r="AR547" t="s">
        <v>10783</v>
      </c>
      <c r="AS547" t="s">
        <v>10784</v>
      </c>
      <c r="AT547" t="s">
        <v>1394</v>
      </c>
      <c r="AU547">
        <v>2023</v>
      </c>
      <c r="AV547">
        <v>202</v>
      </c>
      <c r="AW547">
        <v>4</v>
      </c>
      <c r="AX547" t="s">
        <v>74</v>
      </c>
      <c r="AY547" t="s">
        <v>74</v>
      </c>
      <c r="AZ547" t="s">
        <v>74</v>
      </c>
      <c r="BA547" t="s">
        <v>74</v>
      </c>
      <c r="BB547">
        <v>791</v>
      </c>
      <c r="BC547">
        <v>806</v>
      </c>
      <c r="BD547" t="s">
        <v>74</v>
      </c>
      <c r="BE547" t="s">
        <v>10785</v>
      </c>
      <c r="BF547" t="str">
        <f>HYPERLINK("http://dx.doi.org/10.1007/s00605-023-01876-5","http://dx.doi.org/10.1007/s00605-023-01876-5")</f>
        <v>http://dx.doi.org/10.1007/s00605-023-01876-5</v>
      </c>
      <c r="BG547" t="s">
        <v>74</v>
      </c>
      <c r="BH547" t="s">
        <v>10102</v>
      </c>
      <c r="BI547">
        <v>16</v>
      </c>
      <c r="BJ547" t="s">
        <v>3820</v>
      </c>
      <c r="BK547" t="s">
        <v>104</v>
      </c>
      <c r="BL547" t="s">
        <v>3820</v>
      </c>
      <c r="BM547" t="s">
        <v>10786</v>
      </c>
      <c r="BN547" t="s">
        <v>74</v>
      </c>
      <c r="BO547" t="s">
        <v>74</v>
      </c>
      <c r="BP547" t="s">
        <v>74</v>
      </c>
      <c r="BQ547" t="s">
        <v>74</v>
      </c>
      <c r="BR547" t="s">
        <v>107</v>
      </c>
      <c r="BS547" t="s">
        <v>10787</v>
      </c>
      <c r="BT547" t="str">
        <f>HYPERLINK("https%3A%2F%2Fwww.webofscience.com%2Fwos%2Fwoscc%2Ffull-record%2FWOS:001013360300001","View Full Record in Web of Science")</f>
        <v>View Full Record in Web of Science</v>
      </c>
    </row>
    <row r="548" spans="1:72" x14ac:dyDescent="0.15">
      <c r="A548" t="s">
        <v>72</v>
      </c>
      <c r="B548" t="s">
        <v>10788</v>
      </c>
      <c r="C548" t="s">
        <v>74</v>
      </c>
      <c r="D548" t="s">
        <v>74</v>
      </c>
      <c r="E548" t="s">
        <v>74</v>
      </c>
      <c r="F548" t="s">
        <v>10789</v>
      </c>
      <c r="G548" t="s">
        <v>74</v>
      </c>
      <c r="H548" t="s">
        <v>74</v>
      </c>
      <c r="I548" t="s">
        <v>10790</v>
      </c>
      <c r="J548" t="s">
        <v>10791</v>
      </c>
      <c r="K548" t="s">
        <v>74</v>
      </c>
      <c r="L548" t="s">
        <v>74</v>
      </c>
      <c r="M548" t="s">
        <v>78</v>
      </c>
      <c r="N548" t="s">
        <v>79</v>
      </c>
      <c r="O548" t="s">
        <v>74</v>
      </c>
      <c r="P548" t="s">
        <v>74</v>
      </c>
      <c r="Q548" t="s">
        <v>74</v>
      </c>
      <c r="R548" t="s">
        <v>74</v>
      </c>
      <c r="S548" t="s">
        <v>74</v>
      </c>
      <c r="T548" t="s">
        <v>10792</v>
      </c>
      <c r="U548" t="s">
        <v>10793</v>
      </c>
      <c r="V548" t="s">
        <v>10794</v>
      </c>
      <c r="W548" t="s">
        <v>10795</v>
      </c>
      <c r="X548" t="s">
        <v>10796</v>
      </c>
      <c r="Y548" t="s">
        <v>10797</v>
      </c>
      <c r="Z548" t="s">
        <v>10798</v>
      </c>
      <c r="AA548" t="s">
        <v>10799</v>
      </c>
      <c r="AB548" t="s">
        <v>10800</v>
      </c>
      <c r="AC548" t="s">
        <v>10801</v>
      </c>
      <c r="AD548" t="s">
        <v>10802</v>
      </c>
      <c r="AE548" t="s">
        <v>10803</v>
      </c>
      <c r="AF548" t="s">
        <v>74</v>
      </c>
      <c r="AG548">
        <v>55</v>
      </c>
      <c r="AH548">
        <v>5</v>
      </c>
      <c r="AI548">
        <v>6</v>
      </c>
      <c r="AJ548">
        <v>3</v>
      </c>
      <c r="AK548">
        <v>9</v>
      </c>
      <c r="AL548" t="s">
        <v>3454</v>
      </c>
      <c r="AM548" t="s">
        <v>1528</v>
      </c>
      <c r="AN548" t="s">
        <v>3455</v>
      </c>
      <c r="AO548" t="s">
        <v>10804</v>
      </c>
      <c r="AP548" t="s">
        <v>10805</v>
      </c>
      <c r="AQ548" t="s">
        <v>74</v>
      </c>
      <c r="AR548" t="s">
        <v>10806</v>
      </c>
      <c r="AS548" t="s">
        <v>10807</v>
      </c>
      <c r="AT548" t="s">
        <v>10745</v>
      </c>
      <c r="AU548">
        <v>2023</v>
      </c>
      <c r="AV548">
        <v>381</v>
      </c>
      <c r="AW548">
        <v>2249</v>
      </c>
      <c r="AX548" t="s">
        <v>74</v>
      </c>
      <c r="AY548" t="s">
        <v>74</v>
      </c>
      <c r="AZ548" t="s">
        <v>74</v>
      </c>
      <c r="BA548" t="s">
        <v>74</v>
      </c>
      <c r="BB548" t="s">
        <v>74</v>
      </c>
      <c r="BC548" t="s">
        <v>74</v>
      </c>
      <c r="BD548">
        <v>20220064</v>
      </c>
      <c r="BE548" t="s">
        <v>10808</v>
      </c>
      <c r="BF548" t="str">
        <f>HYPERLINK("http://dx.doi.org/10.1098/rsta.2022.0064","http://dx.doi.org/10.1098/rsta.2022.0064")</f>
        <v>http://dx.doi.org/10.1098/rsta.2022.0064</v>
      </c>
      <c r="BG548" t="s">
        <v>74</v>
      </c>
      <c r="BH548" t="s">
        <v>74</v>
      </c>
      <c r="BI548">
        <v>15</v>
      </c>
      <c r="BJ548" t="s">
        <v>1881</v>
      </c>
      <c r="BK548" t="s">
        <v>104</v>
      </c>
      <c r="BL548" t="s">
        <v>1882</v>
      </c>
      <c r="BM548" t="s">
        <v>10809</v>
      </c>
      <c r="BN548">
        <v>37150203</v>
      </c>
      <c r="BO548" t="s">
        <v>10810</v>
      </c>
      <c r="BP548" t="s">
        <v>74</v>
      </c>
      <c r="BQ548" t="s">
        <v>74</v>
      </c>
      <c r="BR548" t="s">
        <v>107</v>
      </c>
      <c r="BS548" t="s">
        <v>10811</v>
      </c>
      <c r="BT548" t="str">
        <f>HYPERLINK("https%3A%2F%2Fwww.webofscience.com%2Fwos%2Fwoscc%2Ffull-record%2FWOS:000983226900007","View Full Record in Web of Science")</f>
        <v>View Full Record in Web of Science</v>
      </c>
    </row>
    <row r="549" spans="1:72" x14ac:dyDescent="0.15">
      <c r="A549" t="s">
        <v>72</v>
      </c>
      <c r="B549" t="s">
        <v>10812</v>
      </c>
      <c r="C549" t="s">
        <v>74</v>
      </c>
      <c r="D549" t="s">
        <v>74</v>
      </c>
      <c r="E549" t="s">
        <v>74</v>
      </c>
      <c r="F549" t="s">
        <v>10813</v>
      </c>
      <c r="G549" t="s">
        <v>74</v>
      </c>
      <c r="H549" t="s">
        <v>74</v>
      </c>
      <c r="I549" t="s">
        <v>10814</v>
      </c>
      <c r="J549" t="s">
        <v>10791</v>
      </c>
      <c r="K549" t="s">
        <v>74</v>
      </c>
      <c r="L549" t="s">
        <v>74</v>
      </c>
      <c r="M549" t="s">
        <v>78</v>
      </c>
      <c r="N549" t="s">
        <v>424</v>
      </c>
      <c r="O549" t="s">
        <v>74</v>
      </c>
      <c r="P549" t="s">
        <v>74</v>
      </c>
      <c r="Q549" t="s">
        <v>74</v>
      </c>
      <c r="R549" t="s">
        <v>74</v>
      </c>
      <c r="S549" t="s">
        <v>74</v>
      </c>
      <c r="T549" t="s">
        <v>10815</v>
      </c>
      <c r="U549" t="s">
        <v>10816</v>
      </c>
      <c r="V549" t="s">
        <v>10817</v>
      </c>
      <c r="W549" t="s">
        <v>10818</v>
      </c>
      <c r="X549" t="s">
        <v>10819</v>
      </c>
      <c r="Y549" t="s">
        <v>10820</v>
      </c>
      <c r="Z549" t="s">
        <v>10821</v>
      </c>
      <c r="AA549" t="s">
        <v>10822</v>
      </c>
      <c r="AB549" t="s">
        <v>10823</v>
      </c>
      <c r="AC549" t="s">
        <v>10824</v>
      </c>
      <c r="AD549" t="s">
        <v>10825</v>
      </c>
      <c r="AE549" t="s">
        <v>74</v>
      </c>
      <c r="AF549" t="s">
        <v>74</v>
      </c>
      <c r="AG549">
        <v>99</v>
      </c>
      <c r="AH549">
        <v>1</v>
      </c>
      <c r="AI549">
        <v>1</v>
      </c>
      <c r="AJ549">
        <v>2</v>
      </c>
      <c r="AK549">
        <v>10</v>
      </c>
      <c r="AL549" t="s">
        <v>3454</v>
      </c>
      <c r="AM549" t="s">
        <v>1528</v>
      </c>
      <c r="AN549" t="s">
        <v>3455</v>
      </c>
      <c r="AO549" t="s">
        <v>10804</v>
      </c>
      <c r="AP549" t="s">
        <v>10805</v>
      </c>
      <c r="AQ549" t="s">
        <v>74</v>
      </c>
      <c r="AR549" t="s">
        <v>10806</v>
      </c>
      <c r="AS549" t="s">
        <v>10807</v>
      </c>
      <c r="AT549" t="s">
        <v>10745</v>
      </c>
      <c r="AU549">
        <v>2023</v>
      </c>
      <c r="AV549">
        <v>381</v>
      </c>
      <c r="AW549">
        <v>2249</v>
      </c>
      <c r="AX549" t="s">
        <v>74</v>
      </c>
      <c r="AY549" t="s">
        <v>74</v>
      </c>
      <c r="AZ549" t="s">
        <v>74</v>
      </c>
      <c r="BA549" t="s">
        <v>74</v>
      </c>
      <c r="BB549" t="s">
        <v>74</v>
      </c>
      <c r="BC549" t="s">
        <v>74</v>
      </c>
      <c r="BD549">
        <v>20220070</v>
      </c>
      <c r="BE549" t="s">
        <v>10826</v>
      </c>
      <c r="BF549" t="str">
        <f>HYPERLINK("http://dx.doi.org/10.1098/rsta.2022.0070","http://dx.doi.org/10.1098/rsta.2022.0070")</f>
        <v>http://dx.doi.org/10.1098/rsta.2022.0070</v>
      </c>
      <c r="BG549" t="s">
        <v>74</v>
      </c>
      <c r="BH549" t="s">
        <v>74</v>
      </c>
      <c r="BI549">
        <v>25</v>
      </c>
      <c r="BJ549" t="s">
        <v>1881</v>
      </c>
      <c r="BK549" t="s">
        <v>104</v>
      </c>
      <c r="BL549" t="s">
        <v>1882</v>
      </c>
      <c r="BM549" t="s">
        <v>10809</v>
      </c>
      <c r="BN549">
        <v>37150199</v>
      </c>
      <c r="BO549" t="s">
        <v>4746</v>
      </c>
      <c r="BP549" t="s">
        <v>74</v>
      </c>
      <c r="BQ549" t="s">
        <v>74</v>
      </c>
      <c r="BR549" t="s">
        <v>107</v>
      </c>
      <c r="BS549" t="s">
        <v>10827</v>
      </c>
      <c r="BT549" t="str">
        <f>HYPERLINK("https%3A%2F%2Fwww.webofscience.com%2Fwos%2Fwoscc%2Ffull-record%2FWOS:000983226900006","View Full Record in Web of Science")</f>
        <v>View Full Record in Web of Science</v>
      </c>
    </row>
    <row r="550" spans="1:72" x14ac:dyDescent="0.15">
      <c r="A550" t="s">
        <v>72</v>
      </c>
      <c r="B550" t="s">
        <v>10828</v>
      </c>
      <c r="C550" t="s">
        <v>74</v>
      </c>
      <c r="D550" t="s">
        <v>74</v>
      </c>
      <c r="E550" t="s">
        <v>74</v>
      </c>
      <c r="F550" t="s">
        <v>10829</v>
      </c>
      <c r="G550" t="s">
        <v>74</v>
      </c>
      <c r="H550" t="s">
        <v>74</v>
      </c>
      <c r="I550" t="s">
        <v>10830</v>
      </c>
      <c r="J550" t="s">
        <v>10791</v>
      </c>
      <c r="K550" t="s">
        <v>74</v>
      </c>
      <c r="L550" t="s">
        <v>74</v>
      </c>
      <c r="M550" t="s">
        <v>78</v>
      </c>
      <c r="N550" t="s">
        <v>869</v>
      </c>
      <c r="O550" t="s">
        <v>74</v>
      </c>
      <c r="P550" t="s">
        <v>74</v>
      </c>
      <c r="Q550" t="s">
        <v>74</v>
      </c>
      <c r="R550" t="s">
        <v>74</v>
      </c>
      <c r="S550" t="s">
        <v>74</v>
      </c>
      <c r="T550" t="s">
        <v>10831</v>
      </c>
      <c r="U550" t="s">
        <v>74</v>
      </c>
      <c r="V550" t="s">
        <v>74</v>
      </c>
      <c r="W550" t="s">
        <v>10832</v>
      </c>
      <c r="X550" t="s">
        <v>10833</v>
      </c>
      <c r="Y550" t="s">
        <v>10834</v>
      </c>
      <c r="Z550" t="s">
        <v>10821</v>
      </c>
      <c r="AA550" t="s">
        <v>10835</v>
      </c>
      <c r="AB550" t="s">
        <v>10836</v>
      </c>
      <c r="AC550" t="s">
        <v>74</v>
      </c>
      <c r="AD550" t="s">
        <v>74</v>
      </c>
      <c r="AE550" t="s">
        <v>74</v>
      </c>
      <c r="AF550" t="s">
        <v>74</v>
      </c>
      <c r="AG550">
        <v>12</v>
      </c>
      <c r="AH550">
        <v>1</v>
      </c>
      <c r="AI550">
        <v>1</v>
      </c>
      <c r="AJ550">
        <v>3</v>
      </c>
      <c r="AK550">
        <v>7</v>
      </c>
      <c r="AL550" t="s">
        <v>3454</v>
      </c>
      <c r="AM550" t="s">
        <v>1528</v>
      </c>
      <c r="AN550" t="s">
        <v>3455</v>
      </c>
      <c r="AO550" t="s">
        <v>10804</v>
      </c>
      <c r="AP550" t="s">
        <v>10805</v>
      </c>
      <c r="AQ550" t="s">
        <v>74</v>
      </c>
      <c r="AR550" t="s">
        <v>10806</v>
      </c>
      <c r="AS550" t="s">
        <v>10807</v>
      </c>
      <c r="AT550" t="s">
        <v>10745</v>
      </c>
      <c r="AU550">
        <v>2023</v>
      </c>
      <c r="AV550">
        <v>381</v>
      </c>
      <c r="AW550">
        <v>2249</v>
      </c>
      <c r="AX550" t="s">
        <v>74</v>
      </c>
      <c r="AY550" t="s">
        <v>74</v>
      </c>
      <c r="AZ550" t="s">
        <v>74</v>
      </c>
      <c r="BA550" t="s">
        <v>74</v>
      </c>
      <c r="BB550" t="s">
        <v>74</v>
      </c>
      <c r="BC550" t="s">
        <v>74</v>
      </c>
      <c r="BD550">
        <v>20220071</v>
      </c>
      <c r="BE550" t="s">
        <v>10837</v>
      </c>
      <c r="BF550" t="str">
        <f>HYPERLINK("http://dx.doi.org/10.1098/rsta.2022.0071","http://dx.doi.org/10.1098/rsta.2022.0071")</f>
        <v>http://dx.doi.org/10.1098/rsta.2022.0071</v>
      </c>
      <c r="BG550" t="s">
        <v>74</v>
      </c>
      <c r="BH550" t="s">
        <v>74</v>
      </c>
      <c r="BI550">
        <v>5</v>
      </c>
      <c r="BJ550" t="s">
        <v>1881</v>
      </c>
      <c r="BK550" t="s">
        <v>104</v>
      </c>
      <c r="BL550" t="s">
        <v>1882</v>
      </c>
      <c r="BM550" t="s">
        <v>10809</v>
      </c>
      <c r="BN550">
        <v>37150195</v>
      </c>
      <c r="BO550" t="s">
        <v>4746</v>
      </c>
      <c r="BP550" t="s">
        <v>74</v>
      </c>
      <c r="BQ550" t="s">
        <v>74</v>
      </c>
      <c r="BR550" t="s">
        <v>107</v>
      </c>
      <c r="BS550" t="s">
        <v>10838</v>
      </c>
      <c r="BT550" t="str">
        <f>HYPERLINK("https%3A%2F%2Fwww.webofscience.com%2Fwos%2Fwoscc%2Ffull-record%2FWOS:000983226900012","View Full Record in Web of Science")</f>
        <v>View Full Record in Web of Science</v>
      </c>
    </row>
    <row r="551" spans="1:72" x14ac:dyDescent="0.15">
      <c r="A551" t="s">
        <v>72</v>
      </c>
      <c r="B551" t="s">
        <v>10839</v>
      </c>
      <c r="C551" t="s">
        <v>74</v>
      </c>
      <c r="D551" t="s">
        <v>74</v>
      </c>
      <c r="E551" t="s">
        <v>74</v>
      </c>
      <c r="F551" t="s">
        <v>10840</v>
      </c>
      <c r="G551" t="s">
        <v>74</v>
      </c>
      <c r="H551" t="s">
        <v>74</v>
      </c>
      <c r="I551" t="s">
        <v>10841</v>
      </c>
      <c r="J551" t="s">
        <v>10791</v>
      </c>
      <c r="K551" t="s">
        <v>74</v>
      </c>
      <c r="L551" t="s">
        <v>74</v>
      </c>
      <c r="M551" t="s">
        <v>78</v>
      </c>
      <c r="N551" t="s">
        <v>79</v>
      </c>
      <c r="O551" t="s">
        <v>74</v>
      </c>
      <c r="P551" t="s">
        <v>74</v>
      </c>
      <c r="Q551" t="s">
        <v>74</v>
      </c>
      <c r="R551" t="s">
        <v>74</v>
      </c>
      <c r="S551" t="s">
        <v>74</v>
      </c>
      <c r="T551" t="s">
        <v>10842</v>
      </c>
      <c r="U551" t="s">
        <v>10843</v>
      </c>
      <c r="V551" t="s">
        <v>10844</v>
      </c>
      <c r="W551" t="s">
        <v>10845</v>
      </c>
      <c r="X551" t="s">
        <v>10846</v>
      </c>
      <c r="Y551" t="s">
        <v>10847</v>
      </c>
      <c r="Z551" t="s">
        <v>10848</v>
      </c>
      <c r="AA551" t="s">
        <v>10849</v>
      </c>
      <c r="AB551" t="s">
        <v>10850</v>
      </c>
      <c r="AC551" t="s">
        <v>10851</v>
      </c>
      <c r="AD551" t="s">
        <v>10825</v>
      </c>
      <c r="AE551" t="s">
        <v>74</v>
      </c>
      <c r="AF551" t="s">
        <v>74</v>
      </c>
      <c r="AG551">
        <v>47</v>
      </c>
      <c r="AH551">
        <v>3</v>
      </c>
      <c r="AI551">
        <v>3</v>
      </c>
      <c r="AJ551">
        <v>0</v>
      </c>
      <c r="AK551">
        <v>7</v>
      </c>
      <c r="AL551" t="s">
        <v>3454</v>
      </c>
      <c r="AM551" t="s">
        <v>1528</v>
      </c>
      <c r="AN551" t="s">
        <v>3455</v>
      </c>
      <c r="AO551" t="s">
        <v>10804</v>
      </c>
      <c r="AP551" t="s">
        <v>10805</v>
      </c>
      <c r="AQ551" t="s">
        <v>74</v>
      </c>
      <c r="AR551" t="s">
        <v>10806</v>
      </c>
      <c r="AS551" t="s">
        <v>10807</v>
      </c>
      <c r="AT551" t="s">
        <v>10745</v>
      </c>
      <c r="AU551">
        <v>2023</v>
      </c>
      <c r="AV551">
        <v>381</v>
      </c>
      <c r="AW551">
        <v>2249</v>
      </c>
      <c r="AX551" t="s">
        <v>74</v>
      </c>
      <c r="AY551" t="s">
        <v>74</v>
      </c>
      <c r="AZ551" t="s">
        <v>74</v>
      </c>
      <c r="BA551" t="s">
        <v>74</v>
      </c>
      <c r="BB551" t="s">
        <v>74</v>
      </c>
      <c r="BC551" t="s">
        <v>74</v>
      </c>
      <c r="BD551">
        <v>20220162</v>
      </c>
      <c r="BE551" t="s">
        <v>10852</v>
      </c>
      <c r="BF551" t="str">
        <f>HYPERLINK("http://dx.doi.org/10.1098/rsta.2022.0162","http://dx.doi.org/10.1098/rsta.2022.0162")</f>
        <v>http://dx.doi.org/10.1098/rsta.2022.0162</v>
      </c>
      <c r="BG551" t="s">
        <v>74</v>
      </c>
      <c r="BH551" t="s">
        <v>74</v>
      </c>
      <c r="BI551">
        <v>21</v>
      </c>
      <c r="BJ551" t="s">
        <v>1881</v>
      </c>
      <c r="BK551" t="s">
        <v>104</v>
      </c>
      <c r="BL551" t="s">
        <v>1882</v>
      </c>
      <c r="BM551" t="s">
        <v>10809</v>
      </c>
      <c r="BN551">
        <v>37150196</v>
      </c>
      <c r="BO551" t="s">
        <v>1604</v>
      </c>
      <c r="BP551" t="s">
        <v>74</v>
      </c>
      <c r="BQ551" t="s">
        <v>74</v>
      </c>
      <c r="BR551" t="s">
        <v>107</v>
      </c>
      <c r="BS551" t="s">
        <v>10853</v>
      </c>
      <c r="BT551" t="str">
        <f>HYPERLINK("https%3A%2F%2Fwww.webofscience.com%2Fwos%2Fwoscc%2Ffull-record%2FWOS:000983226900001","View Full Record in Web of Science")</f>
        <v>View Full Record in Web of Science</v>
      </c>
    </row>
    <row r="552" spans="1:72" x14ac:dyDescent="0.15">
      <c r="A552" t="s">
        <v>72</v>
      </c>
      <c r="B552" t="s">
        <v>10854</v>
      </c>
      <c r="C552" t="s">
        <v>74</v>
      </c>
      <c r="D552" t="s">
        <v>74</v>
      </c>
      <c r="E552" t="s">
        <v>74</v>
      </c>
      <c r="F552" t="s">
        <v>10855</v>
      </c>
      <c r="G552" t="s">
        <v>74</v>
      </c>
      <c r="H552" t="s">
        <v>74</v>
      </c>
      <c r="I552" t="s">
        <v>10856</v>
      </c>
      <c r="J552" t="s">
        <v>10791</v>
      </c>
      <c r="K552" t="s">
        <v>74</v>
      </c>
      <c r="L552" t="s">
        <v>74</v>
      </c>
      <c r="M552" t="s">
        <v>78</v>
      </c>
      <c r="N552" t="s">
        <v>79</v>
      </c>
      <c r="O552" t="s">
        <v>74</v>
      </c>
      <c r="P552" t="s">
        <v>74</v>
      </c>
      <c r="Q552" t="s">
        <v>74</v>
      </c>
      <c r="R552" t="s">
        <v>74</v>
      </c>
      <c r="S552" t="s">
        <v>74</v>
      </c>
      <c r="T552" t="s">
        <v>10857</v>
      </c>
      <c r="U552" t="s">
        <v>10858</v>
      </c>
      <c r="V552" t="s">
        <v>10859</v>
      </c>
      <c r="W552" t="s">
        <v>10860</v>
      </c>
      <c r="X552" t="s">
        <v>10861</v>
      </c>
      <c r="Y552" t="s">
        <v>10862</v>
      </c>
      <c r="Z552" t="s">
        <v>10863</v>
      </c>
      <c r="AA552" t="s">
        <v>10864</v>
      </c>
      <c r="AB552" t="s">
        <v>10865</v>
      </c>
      <c r="AC552" t="s">
        <v>10866</v>
      </c>
      <c r="AD552" t="s">
        <v>10867</v>
      </c>
      <c r="AE552" t="s">
        <v>10868</v>
      </c>
      <c r="AF552" t="s">
        <v>74</v>
      </c>
      <c r="AG552">
        <v>70</v>
      </c>
      <c r="AH552">
        <v>6</v>
      </c>
      <c r="AI552">
        <v>6</v>
      </c>
      <c r="AJ552">
        <v>17</v>
      </c>
      <c r="AK552">
        <v>32</v>
      </c>
      <c r="AL552" t="s">
        <v>3454</v>
      </c>
      <c r="AM552" t="s">
        <v>1528</v>
      </c>
      <c r="AN552" t="s">
        <v>3455</v>
      </c>
      <c r="AO552" t="s">
        <v>10804</v>
      </c>
      <c r="AP552" t="s">
        <v>10805</v>
      </c>
      <c r="AQ552" t="s">
        <v>74</v>
      </c>
      <c r="AR552" t="s">
        <v>10806</v>
      </c>
      <c r="AS552" t="s">
        <v>10807</v>
      </c>
      <c r="AT552" t="s">
        <v>10745</v>
      </c>
      <c r="AU552">
        <v>2023</v>
      </c>
      <c r="AV552">
        <v>381</v>
      </c>
      <c r="AW552">
        <v>2249</v>
      </c>
      <c r="AX552" t="s">
        <v>74</v>
      </c>
      <c r="AY552" t="s">
        <v>74</v>
      </c>
      <c r="AZ552" t="s">
        <v>74</v>
      </c>
      <c r="BA552" t="s">
        <v>74</v>
      </c>
      <c r="BB552" t="s">
        <v>74</v>
      </c>
      <c r="BC552" t="s">
        <v>74</v>
      </c>
      <c r="BD552">
        <v>20220056</v>
      </c>
      <c r="BE552" t="s">
        <v>10869</v>
      </c>
      <c r="BF552" t="str">
        <f>HYPERLINK("http://dx.doi.org/10.1098/rsta.2022.0056","http://dx.doi.org/10.1098/rsta.2022.0056")</f>
        <v>http://dx.doi.org/10.1098/rsta.2022.0056</v>
      </c>
      <c r="BG552" t="s">
        <v>74</v>
      </c>
      <c r="BH552" t="s">
        <v>74</v>
      </c>
      <c r="BI552">
        <v>18</v>
      </c>
      <c r="BJ552" t="s">
        <v>1881</v>
      </c>
      <c r="BK552" t="s">
        <v>104</v>
      </c>
      <c r="BL552" t="s">
        <v>1882</v>
      </c>
      <c r="BM552" t="s">
        <v>10809</v>
      </c>
      <c r="BN552">
        <v>37150205</v>
      </c>
      <c r="BO552" t="s">
        <v>2894</v>
      </c>
      <c r="BP552" t="s">
        <v>74</v>
      </c>
      <c r="BQ552" t="s">
        <v>74</v>
      </c>
      <c r="BR552" t="s">
        <v>107</v>
      </c>
      <c r="BS552" t="s">
        <v>10870</v>
      </c>
      <c r="BT552" t="str">
        <f>HYPERLINK("https%3A%2F%2Fwww.webofscience.com%2Fwos%2Fwoscc%2Ffull-record%2FWOS:000983226900010","View Full Record in Web of Science")</f>
        <v>View Full Record in Web of Science</v>
      </c>
    </row>
    <row r="553" spans="1:72" x14ac:dyDescent="0.15">
      <c r="A553" t="s">
        <v>72</v>
      </c>
      <c r="B553" t="s">
        <v>10871</v>
      </c>
      <c r="C553" t="s">
        <v>74</v>
      </c>
      <c r="D553" t="s">
        <v>74</v>
      </c>
      <c r="E553" t="s">
        <v>74</v>
      </c>
      <c r="F553" t="s">
        <v>10872</v>
      </c>
      <c r="G553" t="s">
        <v>74</v>
      </c>
      <c r="H553" t="s">
        <v>74</v>
      </c>
      <c r="I553" t="s">
        <v>10873</v>
      </c>
      <c r="J553" t="s">
        <v>10791</v>
      </c>
      <c r="K553" t="s">
        <v>74</v>
      </c>
      <c r="L553" t="s">
        <v>74</v>
      </c>
      <c r="M553" t="s">
        <v>78</v>
      </c>
      <c r="N553" t="s">
        <v>424</v>
      </c>
      <c r="O553" t="s">
        <v>74</v>
      </c>
      <c r="P553" t="s">
        <v>74</v>
      </c>
      <c r="Q553" t="s">
        <v>74</v>
      </c>
      <c r="R553" t="s">
        <v>74</v>
      </c>
      <c r="S553" t="s">
        <v>74</v>
      </c>
      <c r="T553" t="s">
        <v>10874</v>
      </c>
      <c r="U553" t="s">
        <v>10875</v>
      </c>
      <c r="V553" t="s">
        <v>10876</v>
      </c>
      <c r="W553" t="s">
        <v>10877</v>
      </c>
      <c r="X553" t="s">
        <v>10878</v>
      </c>
      <c r="Y553" t="s">
        <v>10879</v>
      </c>
      <c r="Z553" t="s">
        <v>10880</v>
      </c>
      <c r="AA553" t="s">
        <v>10881</v>
      </c>
      <c r="AB553" t="s">
        <v>10882</v>
      </c>
      <c r="AC553" t="s">
        <v>74</v>
      </c>
      <c r="AD553" t="s">
        <v>74</v>
      </c>
      <c r="AE553" t="s">
        <v>74</v>
      </c>
      <c r="AF553" t="s">
        <v>74</v>
      </c>
      <c r="AG553">
        <v>151</v>
      </c>
      <c r="AH553">
        <v>4</v>
      </c>
      <c r="AI553">
        <v>4</v>
      </c>
      <c r="AJ553">
        <v>5</v>
      </c>
      <c r="AK553">
        <v>15</v>
      </c>
      <c r="AL553" t="s">
        <v>3454</v>
      </c>
      <c r="AM553" t="s">
        <v>1528</v>
      </c>
      <c r="AN553" t="s">
        <v>3455</v>
      </c>
      <c r="AO553" t="s">
        <v>10804</v>
      </c>
      <c r="AP553" t="s">
        <v>10805</v>
      </c>
      <c r="AQ553" t="s">
        <v>74</v>
      </c>
      <c r="AR553" t="s">
        <v>10806</v>
      </c>
      <c r="AS553" t="s">
        <v>10807</v>
      </c>
      <c r="AT553" t="s">
        <v>10745</v>
      </c>
      <c r="AU553">
        <v>2023</v>
      </c>
      <c r="AV553">
        <v>381</v>
      </c>
      <c r="AW553">
        <v>2249</v>
      </c>
      <c r="AX553" t="s">
        <v>74</v>
      </c>
      <c r="AY553" t="s">
        <v>74</v>
      </c>
      <c r="AZ553" t="s">
        <v>74</v>
      </c>
      <c r="BA553" t="s">
        <v>74</v>
      </c>
      <c r="BB553" t="s">
        <v>74</v>
      </c>
      <c r="BC553" t="s">
        <v>74</v>
      </c>
      <c r="BD553">
        <v>20220068</v>
      </c>
      <c r="BE553" t="s">
        <v>10883</v>
      </c>
      <c r="BF553" t="str">
        <f>HYPERLINK("http://dx.doi.org/10.1098/rsta.2022.0068","http://dx.doi.org/10.1098/rsta.2022.0068")</f>
        <v>http://dx.doi.org/10.1098/rsta.2022.0068</v>
      </c>
      <c r="BG553" t="s">
        <v>74</v>
      </c>
      <c r="BH553" t="s">
        <v>74</v>
      </c>
      <c r="BI553">
        <v>22</v>
      </c>
      <c r="BJ553" t="s">
        <v>1881</v>
      </c>
      <c r="BK553" t="s">
        <v>104</v>
      </c>
      <c r="BL553" t="s">
        <v>1882</v>
      </c>
      <c r="BM553" t="s">
        <v>10809</v>
      </c>
      <c r="BN553">
        <v>37150201</v>
      </c>
      <c r="BO553" t="s">
        <v>1641</v>
      </c>
      <c r="BP553" t="s">
        <v>74</v>
      </c>
      <c r="BQ553" t="s">
        <v>74</v>
      </c>
      <c r="BR553" t="s">
        <v>107</v>
      </c>
      <c r="BS553" t="s">
        <v>10884</v>
      </c>
      <c r="BT553" t="str">
        <f>HYPERLINK("https%3A%2F%2Fwww.webofscience.com%2Fwos%2Fwoscc%2Ffull-record%2FWOS:000983226900004","View Full Record in Web of Science")</f>
        <v>View Full Record in Web of Science</v>
      </c>
    </row>
    <row r="554" spans="1:72" x14ac:dyDescent="0.15">
      <c r="A554" t="s">
        <v>72</v>
      </c>
      <c r="B554" t="s">
        <v>10885</v>
      </c>
      <c r="C554" t="s">
        <v>74</v>
      </c>
      <c r="D554" t="s">
        <v>74</v>
      </c>
      <c r="E554" t="s">
        <v>74</v>
      </c>
      <c r="F554" t="s">
        <v>10886</v>
      </c>
      <c r="G554" t="s">
        <v>74</v>
      </c>
      <c r="H554" t="s">
        <v>74</v>
      </c>
      <c r="I554" t="s">
        <v>10887</v>
      </c>
      <c r="J554" t="s">
        <v>10791</v>
      </c>
      <c r="K554" t="s">
        <v>74</v>
      </c>
      <c r="L554" t="s">
        <v>74</v>
      </c>
      <c r="M554" t="s">
        <v>78</v>
      </c>
      <c r="N554" t="s">
        <v>79</v>
      </c>
      <c r="O554" t="s">
        <v>74</v>
      </c>
      <c r="P554" t="s">
        <v>74</v>
      </c>
      <c r="Q554" t="s">
        <v>74</v>
      </c>
      <c r="R554" t="s">
        <v>74</v>
      </c>
      <c r="S554" t="s">
        <v>74</v>
      </c>
      <c r="T554" t="s">
        <v>10888</v>
      </c>
      <c r="U554" t="s">
        <v>10889</v>
      </c>
      <c r="V554" t="s">
        <v>10890</v>
      </c>
      <c r="W554" t="s">
        <v>10891</v>
      </c>
      <c r="X554" t="s">
        <v>10892</v>
      </c>
      <c r="Y554" t="s">
        <v>10893</v>
      </c>
      <c r="Z554" t="s">
        <v>10894</v>
      </c>
      <c r="AA554" t="s">
        <v>10895</v>
      </c>
      <c r="AB554" t="s">
        <v>10896</v>
      </c>
      <c r="AC554" t="s">
        <v>10897</v>
      </c>
      <c r="AD554" t="s">
        <v>10898</v>
      </c>
      <c r="AE554" t="s">
        <v>10899</v>
      </c>
      <c r="AF554" t="s">
        <v>74</v>
      </c>
      <c r="AG554">
        <v>94</v>
      </c>
      <c r="AH554">
        <v>5</v>
      </c>
      <c r="AI554">
        <v>5</v>
      </c>
      <c r="AJ554">
        <v>4</v>
      </c>
      <c r="AK554">
        <v>11</v>
      </c>
      <c r="AL554" t="s">
        <v>3454</v>
      </c>
      <c r="AM554" t="s">
        <v>1528</v>
      </c>
      <c r="AN554" t="s">
        <v>3455</v>
      </c>
      <c r="AO554" t="s">
        <v>10804</v>
      </c>
      <c r="AP554" t="s">
        <v>10805</v>
      </c>
      <c r="AQ554" t="s">
        <v>74</v>
      </c>
      <c r="AR554" t="s">
        <v>10806</v>
      </c>
      <c r="AS554" t="s">
        <v>10807</v>
      </c>
      <c r="AT554" t="s">
        <v>10745</v>
      </c>
      <c r="AU554">
        <v>2023</v>
      </c>
      <c r="AV554">
        <v>381</v>
      </c>
      <c r="AW554">
        <v>2249</v>
      </c>
      <c r="AX554" t="s">
        <v>74</v>
      </c>
      <c r="AY554" t="s">
        <v>74</v>
      </c>
      <c r="AZ554" t="s">
        <v>74</v>
      </c>
      <c r="BA554" t="s">
        <v>74</v>
      </c>
      <c r="BB554" t="s">
        <v>74</v>
      </c>
      <c r="BC554" t="s">
        <v>74</v>
      </c>
      <c r="BD554">
        <v>20220062</v>
      </c>
      <c r="BE554" t="s">
        <v>10900</v>
      </c>
      <c r="BF554" t="str">
        <f>HYPERLINK("http://dx.doi.org/10.1098/rsta.2022.0062","http://dx.doi.org/10.1098/rsta.2022.0062")</f>
        <v>http://dx.doi.org/10.1098/rsta.2022.0062</v>
      </c>
      <c r="BG554" t="s">
        <v>74</v>
      </c>
      <c r="BH554" t="s">
        <v>74</v>
      </c>
      <c r="BI554">
        <v>35</v>
      </c>
      <c r="BJ554" t="s">
        <v>1881</v>
      </c>
      <c r="BK554" t="s">
        <v>104</v>
      </c>
      <c r="BL554" t="s">
        <v>1882</v>
      </c>
      <c r="BM554" t="s">
        <v>10809</v>
      </c>
      <c r="BN554">
        <v>37150198</v>
      </c>
      <c r="BO554" t="s">
        <v>1555</v>
      </c>
      <c r="BP554" t="s">
        <v>74</v>
      </c>
      <c r="BQ554" t="s">
        <v>74</v>
      </c>
      <c r="BR554" t="s">
        <v>107</v>
      </c>
      <c r="BS554" t="s">
        <v>10901</v>
      </c>
      <c r="BT554" t="str">
        <f>HYPERLINK("https%3A%2F%2Fwww.webofscience.com%2Fwos%2Fwoscc%2Ffull-record%2FWOS:000983226900009","View Full Record in Web of Science")</f>
        <v>View Full Record in Web of Science</v>
      </c>
    </row>
    <row r="555" spans="1:72" x14ac:dyDescent="0.15">
      <c r="A555" t="s">
        <v>72</v>
      </c>
      <c r="B555" t="s">
        <v>10902</v>
      </c>
      <c r="C555" t="s">
        <v>74</v>
      </c>
      <c r="D555" t="s">
        <v>74</v>
      </c>
      <c r="E555" t="s">
        <v>74</v>
      </c>
      <c r="F555" t="s">
        <v>10903</v>
      </c>
      <c r="G555" t="s">
        <v>74</v>
      </c>
      <c r="H555" t="s">
        <v>74</v>
      </c>
      <c r="I555" t="s">
        <v>10904</v>
      </c>
      <c r="J555" t="s">
        <v>10905</v>
      </c>
      <c r="K555" t="s">
        <v>74</v>
      </c>
      <c r="L555" t="s">
        <v>74</v>
      </c>
      <c r="M555" t="s">
        <v>78</v>
      </c>
      <c r="N555" t="s">
        <v>79</v>
      </c>
      <c r="O555" t="s">
        <v>74</v>
      </c>
      <c r="P555" t="s">
        <v>74</v>
      </c>
      <c r="Q555" t="s">
        <v>74</v>
      </c>
      <c r="R555" t="s">
        <v>74</v>
      </c>
      <c r="S555" t="s">
        <v>74</v>
      </c>
      <c r="T555" t="s">
        <v>10906</v>
      </c>
      <c r="U555" t="s">
        <v>74</v>
      </c>
      <c r="V555" t="s">
        <v>10907</v>
      </c>
      <c r="W555" t="s">
        <v>10908</v>
      </c>
      <c r="X555" t="s">
        <v>10909</v>
      </c>
      <c r="Y555" t="s">
        <v>10910</v>
      </c>
      <c r="Z555" t="s">
        <v>10911</v>
      </c>
      <c r="AA555" t="s">
        <v>74</v>
      </c>
      <c r="AB555" t="s">
        <v>74</v>
      </c>
      <c r="AC555" t="s">
        <v>10912</v>
      </c>
      <c r="AD555" t="s">
        <v>10912</v>
      </c>
      <c r="AE555" t="s">
        <v>10913</v>
      </c>
      <c r="AF555" t="s">
        <v>74</v>
      </c>
      <c r="AG555">
        <v>14</v>
      </c>
      <c r="AH555">
        <v>0</v>
      </c>
      <c r="AI555">
        <v>0</v>
      </c>
      <c r="AJ555">
        <v>2</v>
      </c>
      <c r="AK555">
        <v>2</v>
      </c>
      <c r="AL555" t="s">
        <v>10914</v>
      </c>
      <c r="AM555" t="s">
        <v>10915</v>
      </c>
      <c r="AN555" t="s">
        <v>10916</v>
      </c>
      <c r="AO555" t="s">
        <v>10917</v>
      </c>
      <c r="AP555" t="s">
        <v>74</v>
      </c>
      <c r="AQ555" t="s">
        <v>74</v>
      </c>
      <c r="AR555" t="s">
        <v>10918</v>
      </c>
      <c r="AS555" t="s">
        <v>10919</v>
      </c>
      <c r="AT555" t="s">
        <v>10920</v>
      </c>
      <c r="AU555">
        <v>2023</v>
      </c>
      <c r="AV555">
        <v>124</v>
      </c>
      <c r="AW555">
        <v>12</v>
      </c>
      <c r="AX555" t="s">
        <v>74</v>
      </c>
      <c r="AY555" t="s">
        <v>74</v>
      </c>
      <c r="AZ555" t="s">
        <v>74</v>
      </c>
      <c r="BA555" t="s">
        <v>74</v>
      </c>
      <c r="BB555">
        <v>1445</v>
      </c>
      <c r="BC555">
        <v>1453</v>
      </c>
      <c r="BD555" t="s">
        <v>74</v>
      </c>
      <c r="BE555" t="s">
        <v>10921</v>
      </c>
      <c r="BF555" t="str">
        <f>HYPERLINK("http://dx.doi.org/10.18520/cs/v124/i12/1445-1453","http://dx.doi.org/10.18520/cs/v124/i12/1445-1453")</f>
        <v>http://dx.doi.org/10.18520/cs/v124/i12/1445-1453</v>
      </c>
      <c r="BG555" t="s">
        <v>74</v>
      </c>
      <c r="BH555" t="s">
        <v>74</v>
      </c>
      <c r="BI555">
        <v>9</v>
      </c>
      <c r="BJ555" t="s">
        <v>1881</v>
      </c>
      <c r="BK555" t="s">
        <v>104</v>
      </c>
      <c r="BL555" t="s">
        <v>1882</v>
      </c>
      <c r="BM555" t="s">
        <v>10922</v>
      </c>
      <c r="BN555" t="s">
        <v>74</v>
      </c>
      <c r="BO555" t="s">
        <v>74</v>
      </c>
      <c r="BP555" t="s">
        <v>74</v>
      </c>
      <c r="BQ555" t="s">
        <v>74</v>
      </c>
      <c r="BR555" t="s">
        <v>107</v>
      </c>
      <c r="BS555" t="s">
        <v>10923</v>
      </c>
      <c r="BT555" t="str">
        <f>HYPERLINK("https%3A%2F%2Fwww.webofscience.com%2Fwos%2Fwoscc%2Ffull-record%2FWOS:001032647400012","View Full Record in Web of Science")</f>
        <v>View Full Record in Web of Science</v>
      </c>
    </row>
    <row r="556" spans="1:72" x14ac:dyDescent="0.15">
      <c r="A556" t="s">
        <v>72</v>
      </c>
      <c r="B556" t="s">
        <v>10924</v>
      </c>
      <c r="C556" t="s">
        <v>74</v>
      </c>
      <c r="D556" t="s">
        <v>74</v>
      </c>
      <c r="E556" t="s">
        <v>74</v>
      </c>
      <c r="F556" t="s">
        <v>10925</v>
      </c>
      <c r="G556" t="s">
        <v>74</v>
      </c>
      <c r="H556" t="s">
        <v>74</v>
      </c>
      <c r="I556" t="s">
        <v>10926</v>
      </c>
      <c r="J556" t="s">
        <v>10927</v>
      </c>
      <c r="K556" t="s">
        <v>74</v>
      </c>
      <c r="L556" t="s">
        <v>74</v>
      </c>
      <c r="M556" t="s">
        <v>78</v>
      </c>
      <c r="N556" t="s">
        <v>79</v>
      </c>
      <c r="O556" t="s">
        <v>74</v>
      </c>
      <c r="P556" t="s">
        <v>74</v>
      </c>
      <c r="Q556" t="s">
        <v>74</v>
      </c>
      <c r="R556" t="s">
        <v>74</v>
      </c>
      <c r="S556" t="s">
        <v>74</v>
      </c>
      <c r="T556" t="s">
        <v>10928</v>
      </c>
      <c r="U556" t="s">
        <v>10929</v>
      </c>
      <c r="V556" t="s">
        <v>10930</v>
      </c>
      <c r="W556" t="s">
        <v>10931</v>
      </c>
      <c r="X556" t="s">
        <v>10932</v>
      </c>
      <c r="Y556" t="s">
        <v>10933</v>
      </c>
      <c r="Z556" t="s">
        <v>10934</v>
      </c>
      <c r="AA556" t="s">
        <v>74</v>
      </c>
      <c r="AB556" t="s">
        <v>10935</v>
      </c>
      <c r="AC556" t="s">
        <v>10936</v>
      </c>
      <c r="AD556" t="s">
        <v>10937</v>
      </c>
      <c r="AE556" t="s">
        <v>10938</v>
      </c>
      <c r="AF556" t="s">
        <v>74</v>
      </c>
      <c r="AG556">
        <v>85</v>
      </c>
      <c r="AH556">
        <v>1</v>
      </c>
      <c r="AI556">
        <v>1</v>
      </c>
      <c r="AJ556">
        <v>0</v>
      </c>
      <c r="AK556">
        <v>7</v>
      </c>
      <c r="AL556" t="s">
        <v>10390</v>
      </c>
      <c r="AM556" t="s">
        <v>10391</v>
      </c>
      <c r="AN556" t="s">
        <v>10392</v>
      </c>
      <c r="AO556" t="s">
        <v>10939</v>
      </c>
      <c r="AP556" t="s">
        <v>10940</v>
      </c>
      <c r="AQ556" t="s">
        <v>74</v>
      </c>
      <c r="AR556" t="s">
        <v>10941</v>
      </c>
      <c r="AS556" t="s">
        <v>10942</v>
      </c>
      <c r="AT556" t="s">
        <v>10943</v>
      </c>
      <c r="AU556">
        <v>2024</v>
      </c>
      <c r="AV556">
        <v>66</v>
      </c>
      <c r="AW556">
        <v>5</v>
      </c>
      <c r="AX556" t="s">
        <v>74</v>
      </c>
      <c r="AY556" t="s">
        <v>74</v>
      </c>
      <c r="AZ556" t="s">
        <v>74</v>
      </c>
      <c r="BA556" t="s">
        <v>74</v>
      </c>
      <c r="BB556">
        <v>1119</v>
      </c>
      <c r="BC556">
        <v>1143</v>
      </c>
      <c r="BD556" t="s">
        <v>74</v>
      </c>
      <c r="BE556" t="s">
        <v>10944</v>
      </c>
      <c r="BF556" t="str">
        <f>HYPERLINK("http://dx.doi.org/10.1080/00206814.2023.2225579","http://dx.doi.org/10.1080/00206814.2023.2225579")</f>
        <v>http://dx.doi.org/10.1080/00206814.2023.2225579</v>
      </c>
      <c r="BG556" t="s">
        <v>74</v>
      </c>
      <c r="BH556" t="s">
        <v>10102</v>
      </c>
      <c r="BI556">
        <v>25</v>
      </c>
      <c r="BJ556" t="s">
        <v>156</v>
      </c>
      <c r="BK556" t="s">
        <v>104</v>
      </c>
      <c r="BL556" t="s">
        <v>156</v>
      </c>
      <c r="BM556" t="s">
        <v>10945</v>
      </c>
      <c r="BN556" t="s">
        <v>74</v>
      </c>
      <c r="BO556" t="s">
        <v>74</v>
      </c>
      <c r="BP556" t="s">
        <v>74</v>
      </c>
      <c r="BQ556" t="s">
        <v>74</v>
      </c>
      <c r="BR556" t="s">
        <v>107</v>
      </c>
      <c r="BS556" t="s">
        <v>10946</v>
      </c>
      <c r="BT556" t="str">
        <f>HYPERLINK("https%3A%2F%2Fwww.webofscience.com%2Fwos%2Fwoscc%2Ffull-record%2FWOS:001012016800001","View Full Record in Web of Science")</f>
        <v>View Full Record in Web of Science</v>
      </c>
    </row>
    <row r="557" spans="1:72" x14ac:dyDescent="0.15">
      <c r="A557" t="s">
        <v>72</v>
      </c>
      <c r="B557" t="s">
        <v>10947</v>
      </c>
      <c r="C557" t="s">
        <v>74</v>
      </c>
      <c r="D557" t="s">
        <v>74</v>
      </c>
      <c r="E557" t="s">
        <v>74</v>
      </c>
      <c r="F557" t="s">
        <v>10948</v>
      </c>
      <c r="G557" t="s">
        <v>74</v>
      </c>
      <c r="H557" t="s">
        <v>74</v>
      </c>
      <c r="I557" t="s">
        <v>10949</v>
      </c>
      <c r="J557" t="s">
        <v>4066</v>
      </c>
      <c r="K557" t="s">
        <v>74</v>
      </c>
      <c r="L557" t="s">
        <v>74</v>
      </c>
      <c r="M557" t="s">
        <v>78</v>
      </c>
      <c r="N557" t="s">
        <v>424</v>
      </c>
      <c r="O557" t="s">
        <v>74</v>
      </c>
      <c r="P557" t="s">
        <v>74</v>
      </c>
      <c r="Q557" t="s">
        <v>74</v>
      </c>
      <c r="R557" t="s">
        <v>74</v>
      </c>
      <c r="S557" t="s">
        <v>74</v>
      </c>
      <c r="T557" t="s">
        <v>74</v>
      </c>
      <c r="U557" t="s">
        <v>10950</v>
      </c>
      <c r="V557" t="s">
        <v>10951</v>
      </c>
      <c r="W557" t="s">
        <v>10952</v>
      </c>
      <c r="X557" t="s">
        <v>10953</v>
      </c>
      <c r="Y557" t="s">
        <v>10954</v>
      </c>
      <c r="Z557" t="s">
        <v>10955</v>
      </c>
      <c r="AA557" t="s">
        <v>74</v>
      </c>
      <c r="AB557" t="s">
        <v>10956</v>
      </c>
      <c r="AC557" t="s">
        <v>10957</v>
      </c>
      <c r="AD557" t="s">
        <v>10958</v>
      </c>
      <c r="AE557" t="s">
        <v>10959</v>
      </c>
      <c r="AF557" t="s">
        <v>74</v>
      </c>
      <c r="AG557">
        <v>132</v>
      </c>
      <c r="AH557">
        <v>0</v>
      </c>
      <c r="AI557">
        <v>0</v>
      </c>
      <c r="AJ557">
        <v>4</v>
      </c>
      <c r="AK557">
        <v>6</v>
      </c>
      <c r="AL557" t="s">
        <v>2305</v>
      </c>
      <c r="AM557" t="s">
        <v>538</v>
      </c>
      <c r="AN557" t="s">
        <v>2306</v>
      </c>
      <c r="AO557" t="s">
        <v>4078</v>
      </c>
      <c r="AP557" t="s">
        <v>4079</v>
      </c>
      <c r="AQ557" t="s">
        <v>74</v>
      </c>
      <c r="AR557" t="s">
        <v>4080</v>
      </c>
      <c r="AS557" t="s">
        <v>4081</v>
      </c>
      <c r="AT557" t="s">
        <v>4689</v>
      </c>
      <c r="AU557">
        <v>2023</v>
      </c>
      <c r="AV557">
        <v>216</v>
      </c>
      <c r="AW557" t="s">
        <v>74</v>
      </c>
      <c r="AX557" t="s">
        <v>74</v>
      </c>
      <c r="AY557" t="s">
        <v>74</v>
      </c>
      <c r="AZ557" t="s">
        <v>74</v>
      </c>
      <c r="BA557" t="s">
        <v>74</v>
      </c>
      <c r="BB557" t="s">
        <v>74</v>
      </c>
      <c r="BC557" t="s">
        <v>74</v>
      </c>
      <c r="BD557">
        <v>103071</v>
      </c>
      <c r="BE557" t="s">
        <v>10960</v>
      </c>
      <c r="BF557" t="str">
        <f>HYPERLINK("http://dx.doi.org/10.1016/j.pocean.2023.103071","http://dx.doi.org/10.1016/j.pocean.2023.103071")</f>
        <v>http://dx.doi.org/10.1016/j.pocean.2023.103071</v>
      </c>
      <c r="BG557" t="s">
        <v>74</v>
      </c>
      <c r="BH557" t="s">
        <v>10102</v>
      </c>
      <c r="BI557">
        <v>19</v>
      </c>
      <c r="BJ557" t="s">
        <v>306</v>
      </c>
      <c r="BK557" t="s">
        <v>104</v>
      </c>
      <c r="BL557" t="s">
        <v>306</v>
      </c>
      <c r="BM557" t="s">
        <v>10961</v>
      </c>
      <c r="BN557" t="s">
        <v>74</v>
      </c>
      <c r="BO557" t="s">
        <v>549</v>
      </c>
      <c r="BP557" t="s">
        <v>74</v>
      </c>
      <c r="BQ557" t="s">
        <v>74</v>
      </c>
      <c r="BR557" t="s">
        <v>107</v>
      </c>
      <c r="BS557" t="s">
        <v>10962</v>
      </c>
      <c r="BT557" t="str">
        <f>HYPERLINK("https%3A%2F%2Fwww.webofscience.com%2Fwos%2Fwoscc%2Ffull-record%2FWOS:001059369300001","View Full Record in Web of Science")</f>
        <v>View Full Record in Web of Science</v>
      </c>
    </row>
    <row r="558" spans="1:72" x14ac:dyDescent="0.15">
      <c r="A558" t="s">
        <v>72</v>
      </c>
      <c r="B558" t="s">
        <v>10963</v>
      </c>
      <c r="C558" t="s">
        <v>74</v>
      </c>
      <c r="D558" t="s">
        <v>74</v>
      </c>
      <c r="E558" t="s">
        <v>74</v>
      </c>
      <c r="F558" t="s">
        <v>10964</v>
      </c>
      <c r="G558" t="s">
        <v>74</v>
      </c>
      <c r="H558" t="s">
        <v>74</v>
      </c>
      <c r="I558" t="s">
        <v>10965</v>
      </c>
      <c r="J558" t="s">
        <v>2292</v>
      </c>
      <c r="K558" t="s">
        <v>74</v>
      </c>
      <c r="L558" t="s">
        <v>74</v>
      </c>
      <c r="M558" t="s">
        <v>78</v>
      </c>
      <c r="N558" t="s">
        <v>79</v>
      </c>
      <c r="O558" t="s">
        <v>74</v>
      </c>
      <c r="P558" t="s">
        <v>74</v>
      </c>
      <c r="Q558" t="s">
        <v>74</v>
      </c>
      <c r="R558" t="s">
        <v>74</v>
      </c>
      <c r="S558" t="s">
        <v>74</v>
      </c>
      <c r="T558" t="s">
        <v>10966</v>
      </c>
      <c r="U558" t="s">
        <v>10967</v>
      </c>
      <c r="V558" t="s">
        <v>10968</v>
      </c>
      <c r="W558" t="s">
        <v>10969</v>
      </c>
      <c r="X558" t="s">
        <v>10970</v>
      </c>
      <c r="Y558" t="s">
        <v>10971</v>
      </c>
      <c r="Z558" t="s">
        <v>10972</v>
      </c>
      <c r="AA558" t="s">
        <v>10973</v>
      </c>
      <c r="AB558" t="s">
        <v>74</v>
      </c>
      <c r="AC558" t="s">
        <v>10974</v>
      </c>
      <c r="AD558" t="s">
        <v>10975</v>
      </c>
      <c r="AE558" t="s">
        <v>10976</v>
      </c>
      <c r="AF558" t="s">
        <v>74</v>
      </c>
      <c r="AG558">
        <v>47</v>
      </c>
      <c r="AH558">
        <v>0</v>
      </c>
      <c r="AI558">
        <v>0</v>
      </c>
      <c r="AJ558">
        <v>1</v>
      </c>
      <c r="AK558">
        <v>3</v>
      </c>
      <c r="AL558" t="s">
        <v>2305</v>
      </c>
      <c r="AM558" t="s">
        <v>538</v>
      </c>
      <c r="AN558" t="s">
        <v>2306</v>
      </c>
      <c r="AO558" t="s">
        <v>2307</v>
      </c>
      <c r="AP558" t="s">
        <v>2308</v>
      </c>
      <c r="AQ558" t="s">
        <v>74</v>
      </c>
      <c r="AR558" t="s">
        <v>2309</v>
      </c>
      <c r="AS558" t="s">
        <v>2310</v>
      </c>
      <c r="AT558" t="s">
        <v>4689</v>
      </c>
      <c r="AU558">
        <v>2023</v>
      </c>
      <c r="AV558">
        <v>193</v>
      </c>
      <c r="AW558" t="s">
        <v>74</v>
      </c>
      <c r="AX558" t="s">
        <v>74</v>
      </c>
      <c r="AY558" t="s">
        <v>74</v>
      </c>
      <c r="AZ558" t="s">
        <v>74</v>
      </c>
      <c r="BA558" t="s">
        <v>74</v>
      </c>
      <c r="BB558" t="s">
        <v>74</v>
      </c>
      <c r="BC558" t="s">
        <v>74</v>
      </c>
      <c r="BD558">
        <v>115185</v>
      </c>
      <c r="BE558" t="s">
        <v>10977</v>
      </c>
      <c r="BF558" t="str">
        <f>HYPERLINK("http://dx.doi.org/10.1016/j.marpolbul.2023.115185","http://dx.doi.org/10.1016/j.marpolbul.2023.115185")</f>
        <v>http://dx.doi.org/10.1016/j.marpolbul.2023.115185</v>
      </c>
      <c r="BG558" t="s">
        <v>74</v>
      </c>
      <c r="BH558" t="s">
        <v>10102</v>
      </c>
      <c r="BI558">
        <v>8</v>
      </c>
      <c r="BJ558" t="s">
        <v>1001</v>
      </c>
      <c r="BK558" t="s">
        <v>104</v>
      </c>
      <c r="BL558" t="s">
        <v>1002</v>
      </c>
      <c r="BM558" t="s">
        <v>10978</v>
      </c>
      <c r="BN558">
        <v>37364337</v>
      </c>
      <c r="BO558" t="s">
        <v>74</v>
      </c>
      <c r="BP558" t="s">
        <v>74</v>
      </c>
      <c r="BQ558" t="s">
        <v>74</v>
      </c>
      <c r="BR558" t="s">
        <v>107</v>
      </c>
      <c r="BS558" t="s">
        <v>10979</v>
      </c>
      <c r="BT558" t="str">
        <f>HYPERLINK("https%3A%2F%2Fwww.webofscience.com%2Fwos%2Fwoscc%2Ffull-record%2FWOS:001040768100001","View Full Record in Web of Science")</f>
        <v>View Full Record in Web of Science</v>
      </c>
    </row>
    <row r="559" spans="1:72" x14ac:dyDescent="0.15">
      <c r="A559" t="s">
        <v>72</v>
      </c>
      <c r="B559" t="s">
        <v>10980</v>
      </c>
      <c r="C559" t="s">
        <v>74</v>
      </c>
      <c r="D559" t="s">
        <v>74</v>
      </c>
      <c r="E559" t="s">
        <v>74</v>
      </c>
      <c r="F559" t="s">
        <v>10981</v>
      </c>
      <c r="G559" t="s">
        <v>74</v>
      </c>
      <c r="H559" t="s">
        <v>74</v>
      </c>
      <c r="I559" t="s">
        <v>10982</v>
      </c>
      <c r="J559" t="s">
        <v>7938</v>
      </c>
      <c r="K559" t="s">
        <v>74</v>
      </c>
      <c r="L559" t="s">
        <v>74</v>
      </c>
      <c r="M559" t="s">
        <v>78</v>
      </c>
      <c r="N559" t="s">
        <v>79</v>
      </c>
      <c r="O559" t="s">
        <v>74</v>
      </c>
      <c r="P559" t="s">
        <v>74</v>
      </c>
      <c r="Q559" t="s">
        <v>74</v>
      </c>
      <c r="R559" t="s">
        <v>74</v>
      </c>
      <c r="S559" t="s">
        <v>74</v>
      </c>
      <c r="T559" t="s">
        <v>10983</v>
      </c>
      <c r="U559" t="s">
        <v>10984</v>
      </c>
      <c r="V559" t="s">
        <v>10985</v>
      </c>
      <c r="W559" t="s">
        <v>10986</v>
      </c>
      <c r="X559" t="s">
        <v>10987</v>
      </c>
      <c r="Y559" t="s">
        <v>10988</v>
      </c>
      <c r="Z559" t="s">
        <v>10989</v>
      </c>
      <c r="AA559" t="s">
        <v>74</v>
      </c>
      <c r="AB559" t="s">
        <v>74</v>
      </c>
      <c r="AC559" t="s">
        <v>74</v>
      </c>
      <c r="AD559" t="s">
        <v>74</v>
      </c>
      <c r="AE559" t="s">
        <v>74</v>
      </c>
      <c r="AF559" t="s">
        <v>74</v>
      </c>
      <c r="AG559">
        <v>49</v>
      </c>
      <c r="AH559">
        <v>1</v>
      </c>
      <c r="AI559">
        <v>1</v>
      </c>
      <c r="AJ559">
        <v>2</v>
      </c>
      <c r="AK559">
        <v>4</v>
      </c>
      <c r="AL559" t="s">
        <v>298</v>
      </c>
      <c r="AM559" t="s">
        <v>299</v>
      </c>
      <c r="AN559" t="s">
        <v>300</v>
      </c>
      <c r="AO559" t="s">
        <v>7948</v>
      </c>
      <c r="AP559" t="s">
        <v>7949</v>
      </c>
      <c r="AQ559" t="s">
        <v>74</v>
      </c>
      <c r="AR559" t="s">
        <v>7938</v>
      </c>
      <c r="AS559" t="s">
        <v>7950</v>
      </c>
      <c r="AT559" t="s">
        <v>1394</v>
      </c>
      <c r="AU559">
        <v>2023</v>
      </c>
      <c r="AV559">
        <v>34</v>
      </c>
      <c r="AW559">
        <v>6</v>
      </c>
      <c r="AX559" t="s">
        <v>74</v>
      </c>
      <c r="AY559" t="s">
        <v>74</v>
      </c>
      <c r="AZ559" t="s">
        <v>74</v>
      </c>
      <c r="BA559" t="s">
        <v>74</v>
      </c>
      <c r="BB559">
        <v>549</v>
      </c>
      <c r="BC559">
        <v>566</v>
      </c>
      <c r="BD559" t="s">
        <v>74</v>
      </c>
      <c r="BE559" t="s">
        <v>10990</v>
      </c>
      <c r="BF559" t="str">
        <f>HYPERLINK("http://dx.doi.org/10.1007/s10532-023-10041-6","http://dx.doi.org/10.1007/s10532-023-10041-6")</f>
        <v>http://dx.doi.org/10.1007/s10532-023-10041-6</v>
      </c>
      <c r="BG559" t="s">
        <v>74</v>
      </c>
      <c r="BH559" t="s">
        <v>10102</v>
      </c>
      <c r="BI559">
        <v>18</v>
      </c>
      <c r="BJ559" t="s">
        <v>1484</v>
      </c>
      <c r="BK559" t="s">
        <v>104</v>
      </c>
      <c r="BL559" t="s">
        <v>1484</v>
      </c>
      <c r="BM559" t="s">
        <v>10991</v>
      </c>
      <c r="BN559">
        <v>37354270</v>
      </c>
      <c r="BO559" t="s">
        <v>74</v>
      </c>
      <c r="BP559" t="s">
        <v>74</v>
      </c>
      <c r="BQ559" t="s">
        <v>74</v>
      </c>
      <c r="BR559" t="s">
        <v>107</v>
      </c>
      <c r="BS559" t="s">
        <v>10992</v>
      </c>
      <c r="BT559" t="str">
        <f>HYPERLINK("https%3A%2F%2Fwww.webofscience.com%2Fwos%2Fwoscc%2Ffull-record%2FWOS:001016192900003","View Full Record in Web of Science")</f>
        <v>View Full Record in Web of Science</v>
      </c>
    </row>
    <row r="560" spans="1:72" x14ac:dyDescent="0.15">
      <c r="A560" t="s">
        <v>72</v>
      </c>
      <c r="B560" t="s">
        <v>10993</v>
      </c>
      <c r="C560" t="s">
        <v>74</v>
      </c>
      <c r="D560" t="s">
        <v>74</v>
      </c>
      <c r="E560" t="s">
        <v>74</v>
      </c>
      <c r="F560" t="s">
        <v>10994</v>
      </c>
      <c r="G560" t="s">
        <v>74</v>
      </c>
      <c r="H560" t="s">
        <v>74</v>
      </c>
      <c r="I560" t="s">
        <v>10995</v>
      </c>
      <c r="J560" t="s">
        <v>10996</v>
      </c>
      <c r="K560" t="s">
        <v>74</v>
      </c>
      <c r="L560" t="s">
        <v>74</v>
      </c>
      <c r="M560" t="s">
        <v>78</v>
      </c>
      <c r="N560" t="s">
        <v>79</v>
      </c>
      <c r="O560" t="s">
        <v>74</v>
      </c>
      <c r="P560" t="s">
        <v>74</v>
      </c>
      <c r="Q560" t="s">
        <v>74</v>
      </c>
      <c r="R560" t="s">
        <v>74</v>
      </c>
      <c r="S560" t="s">
        <v>74</v>
      </c>
      <c r="T560" t="s">
        <v>10997</v>
      </c>
      <c r="U560" t="s">
        <v>10998</v>
      </c>
      <c r="V560" t="s">
        <v>10999</v>
      </c>
      <c r="W560" t="s">
        <v>11000</v>
      </c>
      <c r="X560" t="s">
        <v>11001</v>
      </c>
      <c r="Y560" t="s">
        <v>11002</v>
      </c>
      <c r="Z560" t="s">
        <v>11003</v>
      </c>
      <c r="AA560" t="s">
        <v>11004</v>
      </c>
      <c r="AB560" t="s">
        <v>11005</v>
      </c>
      <c r="AC560" t="s">
        <v>11006</v>
      </c>
      <c r="AD560" t="s">
        <v>11007</v>
      </c>
      <c r="AE560" t="s">
        <v>11008</v>
      </c>
      <c r="AF560" t="s">
        <v>74</v>
      </c>
      <c r="AG560">
        <v>49</v>
      </c>
      <c r="AH560">
        <v>0</v>
      </c>
      <c r="AI560">
        <v>0</v>
      </c>
      <c r="AJ560">
        <v>4</v>
      </c>
      <c r="AK560">
        <v>4</v>
      </c>
      <c r="AL560" t="s">
        <v>3672</v>
      </c>
      <c r="AM560" t="s">
        <v>538</v>
      </c>
      <c r="AN560" t="s">
        <v>3673</v>
      </c>
      <c r="AO560" t="s">
        <v>11009</v>
      </c>
      <c r="AP560" t="s">
        <v>11010</v>
      </c>
      <c r="AQ560" t="s">
        <v>74</v>
      </c>
      <c r="AR560" t="s">
        <v>11011</v>
      </c>
      <c r="AS560" t="s">
        <v>11012</v>
      </c>
      <c r="AT560" t="s">
        <v>97</v>
      </c>
      <c r="AU560">
        <v>2023</v>
      </c>
      <c r="AV560">
        <v>147</v>
      </c>
      <c r="AW560" t="s">
        <v>74</v>
      </c>
      <c r="AX560" t="s">
        <v>74</v>
      </c>
      <c r="AY560" t="s">
        <v>74</v>
      </c>
      <c r="AZ560" t="s">
        <v>74</v>
      </c>
      <c r="BA560" t="s">
        <v>74</v>
      </c>
      <c r="BB560">
        <v>154</v>
      </c>
      <c r="BC560">
        <v>168</v>
      </c>
      <c r="BD560" t="s">
        <v>74</v>
      </c>
      <c r="BE560" t="s">
        <v>11013</v>
      </c>
      <c r="BF560" t="str">
        <f>HYPERLINK("http://dx.doi.org/10.1016/j.envsci.2023.06.008","http://dx.doi.org/10.1016/j.envsci.2023.06.008")</f>
        <v>http://dx.doi.org/10.1016/j.envsci.2023.06.008</v>
      </c>
      <c r="BG560" t="s">
        <v>74</v>
      </c>
      <c r="BH560" t="s">
        <v>10102</v>
      </c>
      <c r="BI560">
        <v>15</v>
      </c>
      <c r="BJ560" t="s">
        <v>2050</v>
      </c>
      <c r="BK560" t="s">
        <v>104</v>
      </c>
      <c r="BL560" t="s">
        <v>1535</v>
      </c>
      <c r="BM560" t="s">
        <v>11014</v>
      </c>
      <c r="BN560" t="s">
        <v>74</v>
      </c>
      <c r="BO560" t="s">
        <v>1128</v>
      </c>
      <c r="BP560" t="s">
        <v>74</v>
      </c>
      <c r="BQ560" t="s">
        <v>74</v>
      </c>
      <c r="BR560" t="s">
        <v>107</v>
      </c>
      <c r="BS560" t="s">
        <v>11015</v>
      </c>
      <c r="BT560" t="str">
        <f>HYPERLINK("https%3A%2F%2Fwww.webofscience.com%2Fwos%2Fwoscc%2Ffull-record%2FWOS:001028020300001","View Full Record in Web of Science")</f>
        <v>View Full Record in Web of Science</v>
      </c>
    </row>
    <row r="561" spans="1:72" x14ac:dyDescent="0.15">
      <c r="A561" t="s">
        <v>72</v>
      </c>
      <c r="B561" t="s">
        <v>11016</v>
      </c>
      <c r="C561" t="s">
        <v>74</v>
      </c>
      <c r="D561" t="s">
        <v>74</v>
      </c>
      <c r="E561" t="s">
        <v>74</v>
      </c>
      <c r="F561" t="s">
        <v>11017</v>
      </c>
      <c r="G561" t="s">
        <v>74</v>
      </c>
      <c r="H561" t="s">
        <v>74</v>
      </c>
      <c r="I561" t="s">
        <v>11018</v>
      </c>
      <c r="J561" t="s">
        <v>2056</v>
      </c>
      <c r="K561" t="s">
        <v>74</v>
      </c>
      <c r="L561" t="s">
        <v>74</v>
      </c>
      <c r="M561" t="s">
        <v>78</v>
      </c>
      <c r="N561" t="s">
        <v>79</v>
      </c>
      <c r="O561" t="s">
        <v>74</v>
      </c>
      <c r="P561" t="s">
        <v>74</v>
      </c>
      <c r="Q561" t="s">
        <v>74</v>
      </c>
      <c r="R561" t="s">
        <v>74</v>
      </c>
      <c r="S561" t="s">
        <v>74</v>
      </c>
      <c r="T561" t="s">
        <v>74</v>
      </c>
      <c r="U561" t="s">
        <v>11019</v>
      </c>
      <c r="V561" t="s">
        <v>11020</v>
      </c>
      <c r="W561" t="s">
        <v>11021</v>
      </c>
      <c r="X561" t="s">
        <v>11022</v>
      </c>
      <c r="Y561" t="s">
        <v>11023</v>
      </c>
      <c r="Z561" t="s">
        <v>11024</v>
      </c>
      <c r="AA561" t="s">
        <v>11025</v>
      </c>
      <c r="AB561" t="s">
        <v>11026</v>
      </c>
      <c r="AC561" t="s">
        <v>11027</v>
      </c>
      <c r="AD561" t="s">
        <v>11028</v>
      </c>
      <c r="AE561" t="s">
        <v>11029</v>
      </c>
      <c r="AF561" t="s">
        <v>74</v>
      </c>
      <c r="AG561">
        <v>114</v>
      </c>
      <c r="AH561">
        <v>0</v>
      </c>
      <c r="AI561">
        <v>0</v>
      </c>
      <c r="AJ561">
        <v>2</v>
      </c>
      <c r="AK561">
        <v>2</v>
      </c>
      <c r="AL561" t="s">
        <v>2068</v>
      </c>
      <c r="AM561" t="s">
        <v>2069</v>
      </c>
      <c r="AN561" t="s">
        <v>2070</v>
      </c>
      <c r="AO561" t="s">
        <v>2071</v>
      </c>
      <c r="AP561" t="s">
        <v>74</v>
      </c>
      <c r="AQ561" t="s">
        <v>74</v>
      </c>
      <c r="AR561" t="s">
        <v>2056</v>
      </c>
      <c r="AS561" t="s">
        <v>2072</v>
      </c>
      <c r="AT561" t="s">
        <v>11030</v>
      </c>
      <c r="AU561">
        <v>2023</v>
      </c>
      <c r="AV561">
        <v>18</v>
      </c>
      <c r="AW561">
        <v>6</v>
      </c>
      <c r="AX561" t="s">
        <v>74</v>
      </c>
      <c r="AY561" t="s">
        <v>74</v>
      </c>
      <c r="AZ561" t="s">
        <v>74</v>
      </c>
      <c r="BA561" t="s">
        <v>74</v>
      </c>
      <c r="BB561" t="s">
        <v>74</v>
      </c>
      <c r="BC561" t="s">
        <v>74</v>
      </c>
      <c r="BD561" t="s">
        <v>11031</v>
      </c>
      <c r="BE561" t="s">
        <v>11032</v>
      </c>
      <c r="BF561" t="str">
        <f>HYPERLINK("http://dx.doi.org/10.1371/journal.pone.0287316","http://dx.doi.org/10.1371/journal.pone.0287316")</f>
        <v>http://dx.doi.org/10.1371/journal.pone.0287316</v>
      </c>
      <c r="BG561" t="s">
        <v>74</v>
      </c>
      <c r="BH561" t="s">
        <v>74</v>
      </c>
      <c r="BI561">
        <v>26</v>
      </c>
      <c r="BJ561" t="s">
        <v>1881</v>
      </c>
      <c r="BK561" t="s">
        <v>104</v>
      </c>
      <c r="BL561" t="s">
        <v>1882</v>
      </c>
      <c r="BM561" t="s">
        <v>11033</v>
      </c>
      <c r="BN561">
        <v>37352140</v>
      </c>
      <c r="BO561" t="s">
        <v>821</v>
      </c>
      <c r="BP561" t="s">
        <v>74</v>
      </c>
      <c r="BQ561" t="s">
        <v>74</v>
      </c>
      <c r="BR561" t="s">
        <v>107</v>
      </c>
      <c r="BS561" t="s">
        <v>11034</v>
      </c>
      <c r="BT561" t="str">
        <f>HYPERLINK("https%3A%2F%2Fwww.webofscience.com%2Fwos%2Fwoscc%2Ffull-record%2FWOS:001023897900108","View Full Record in Web of Science")</f>
        <v>View Full Record in Web of Science</v>
      </c>
    </row>
    <row r="562" spans="1:72" x14ac:dyDescent="0.15">
      <c r="A562" t="s">
        <v>72</v>
      </c>
      <c r="B562" t="s">
        <v>11035</v>
      </c>
      <c r="C562" t="s">
        <v>74</v>
      </c>
      <c r="D562" t="s">
        <v>74</v>
      </c>
      <c r="E562" t="s">
        <v>74</v>
      </c>
      <c r="F562" t="s">
        <v>11036</v>
      </c>
      <c r="G562" t="s">
        <v>74</v>
      </c>
      <c r="H562" t="s">
        <v>74</v>
      </c>
      <c r="I562" t="s">
        <v>11037</v>
      </c>
      <c r="J562" t="s">
        <v>2105</v>
      </c>
      <c r="K562" t="s">
        <v>74</v>
      </c>
      <c r="L562" t="s">
        <v>74</v>
      </c>
      <c r="M562" t="s">
        <v>78</v>
      </c>
      <c r="N562" t="s">
        <v>79</v>
      </c>
      <c r="O562" t="s">
        <v>74</v>
      </c>
      <c r="P562" t="s">
        <v>74</v>
      </c>
      <c r="Q562" t="s">
        <v>74</v>
      </c>
      <c r="R562" t="s">
        <v>74</v>
      </c>
      <c r="S562" t="s">
        <v>74</v>
      </c>
      <c r="T562" t="s">
        <v>11038</v>
      </c>
      <c r="U562" t="s">
        <v>11039</v>
      </c>
      <c r="V562" t="s">
        <v>11040</v>
      </c>
      <c r="W562" t="s">
        <v>11041</v>
      </c>
      <c r="X562" t="s">
        <v>11042</v>
      </c>
      <c r="Y562" t="s">
        <v>11043</v>
      </c>
      <c r="Z562" t="s">
        <v>11044</v>
      </c>
      <c r="AA562" t="s">
        <v>11045</v>
      </c>
      <c r="AB562" t="s">
        <v>11046</v>
      </c>
      <c r="AC562" t="s">
        <v>11047</v>
      </c>
      <c r="AD562" t="s">
        <v>11048</v>
      </c>
      <c r="AE562" t="s">
        <v>11049</v>
      </c>
      <c r="AF562" t="s">
        <v>74</v>
      </c>
      <c r="AG562">
        <v>44</v>
      </c>
      <c r="AH562">
        <v>1</v>
      </c>
      <c r="AI562">
        <v>1</v>
      </c>
      <c r="AJ562">
        <v>4</v>
      </c>
      <c r="AK562">
        <v>7</v>
      </c>
      <c r="AL562" t="s">
        <v>2118</v>
      </c>
      <c r="AM562" t="s">
        <v>2119</v>
      </c>
      <c r="AN562" t="s">
        <v>2120</v>
      </c>
      <c r="AO562" t="s">
        <v>2121</v>
      </c>
      <c r="AP562" t="s">
        <v>2122</v>
      </c>
      <c r="AQ562" t="s">
        <v>74</v>
      </c>
      <c r="AR562" t="s">
        <v>2123</v>
      </c>
      <c r="AS562" t="s">
        <v>2124</v>
      </c>
      <c r="AT562" t="s">
        <v>2486</v>
      </c>
      <c r="AU562">
        <v>2023</v>
      </c>
      <c r="AV562">
        <v>233</v>
      </c>
      <c r="AW562" t="s">
        <v>74</v>
      </c>
      <c r="AX562" t="s">
        <v>74</v>
      </c>
      <c r="AY562" t="s">
        <v>74</v>
      </c>
      <c r="AZ562" t="s">
        <v>74</v>
      </c>
      <c r="BA562" t="s">
        <v>74</v>
      </c>
      <c r="BB562" t="s">
        <v>74</v>
      </c>
      <c r="BC562" t="s">
        <v>74</v>
      </c>
      <c r="BD562">
        <v>116437</v>
      </c>
      <c r="BE562" t="s">
        <v>11050</v>
      </c>
      <c r="BF562" t="str">
        <f>HYPERLINK("http://dx.doi.org/10.1016/j.envres.2023.116437","http://dx.doi.org/10.1016/j.envres.2023.116437")</f>
        <v>http://dx.doi.org/10.1016/j.envres.2023.116437</v>
      </c>
      <c r="BG562" t="s">
        <v>74</v>
      </c>
      <c r="BH562" t="s">
        <v>10102</v>
      </c>
      <c r="BI562">
        <v>11</v>
      </c>
      <c r="BJ562" t="s">
        <v>2127</v>
      </c>
      <c r="BK562" t="s">
        <v>104</v>
      </c>
      <c r="BL562" t="s">
        <v>2128</v>
      </c>
      <c r="BM562" t="s">
        <v>11051</v>
      </c>
      <c r="BN562">
        <v>37331553</v>
      </c>
      <c r="BO562" t="s">
        <v>74</v>
      </c>
      <c r="BP562" t="s">
        <v>74</v>
      </c>
      <c r="BQ562" t="s">
        <v>74</v>
      </c>
      <c r="BR562" t="s">
        <v>107</v>
      </c>
      <c r="BS562" t="s">
        <v>11052</v>
      </c>
      <c r="BT562" t="str">
        <f>HYPERLINK("https%3A%2F%2Fwww.webofscience.com%2Fwos%2Fwoscc%2Ffull-record%2FWOS:001034594000001","View Full Record in Web of Science")</f>
        <v>View Full Record in Web of Science</v>
      </c>
    </row>
    <row r="563" spans="1:72" x14ac:dyDescent="0.15">
      <c r="A563" t="s">
        <v>72</v>
      </c>
      <c r="B563" t="s">
        <v>11053</v>
      </c>
      <c r="C563" t="s">
        <v>74</v>
      </c>
      <c r="D563" t="s">
        <v>74</v>
      </c>
      <c r="E563" t="s">
        <v>74</v>
      </c>
      <c r="F563" t="s">
        <v>11054</v>
      </c>
      <c r="G563" t="s">
        <v>74</v>
      </c>
      <c r="H563" t="s">
        <v>74</v>
      </c>
      <c r="I563" t="s">
        <v>11055</v>
      </c>
      <c r="J563" t="s">
        <v>3107</v>
      </c>
      <c r="K563" t="s">
        <v>74</v>
      </c>
      <c r="L563" t="s">
        <v>74</v>
      </c>
      <c r="M563" t="s">
        <v>78</v>
      </c>
      <c r="N563" t="s">
        <v>79</v>
      </c>
      <c r="O563" t="s">
        <v>74</v>
      </c>
      <c r="P563" t="s">
        <v>74</v>
      </c>
      <c r="Q563" t="s">
        <v>74</v>
      </c>
      <c r="R563" t="s">
        <v>74</v>
      </c>
      <c r="S563" t="s">
        <v>74</v>
      </c>
      <c r="T563" t="s">
        <v>74</v>
      </c>
      <c r="U563" t="s">
        <v>11056</v>
      </c>
      <c r="V563" t="s">
        <v>11057</v>
      </c>
      <c r="W563" t="s">
        <v>11058</v>
      </c>
      <c r="X563" t="s">
        <v>11059</v>
      </c>
      <c r="Y563" t="s">
        <v>11060</v>
      </c>
      <c r="Z563" t="s">
        <v>11061</v>
      </c>
      <c r="AA563" t="s">
        <v>74</v>
      </c>
      <c r="AB563" t="s">
        <v>11062</v>
      </c>
      <c r="AC563" t="s">
        <v>11063</v>
      </c>
      <c r="AD563" t="s">
        <v>11064</v>
      </c>
      <c r="AE563" t="s">
        <v>11065</v>
      </c>
      <c r="AF563" t="s">
        <v>74</v>
      </c>
      <c r="AG563">
        <v>84</v>
      </c>
      <c r="AH563">
        <v>0</v>
      </c>
      <c r="AI563">
        <v>0</v>
      </c>
      <c r="AJ563">
        <v>1</v>
      </c>
      <c r="AK563">
        <v>1</v>
      </c>
      <c r="AL563" t="s">
        <v>460</v>
      </c>
      <c r="AM563" t="s">
        <v>461</v>
      </c>
      <c r="AN563" t="s">
        <v>462</v>
      </c>
      <c r="AO563" t="s">
        <v>3119</v>
      </c>
      <c r="AP563" t="s">
        <v>3120</v>
      </c>
      <c r="AQ563" t="s">
        <v>74</v>
      </c>
      <c r="AR563" t="s">
        <v>3121</v>
      </c>
      <c r="AS563" t="s">
        <v>3122</v>
      </c>
      <c r="AT563" t="s">
        <v>3612</v>
      </c>
      <c r="AU563">
        <v>2023</v>
      </c>
      <c r="AV563">
        <v>58</v>
      </c>
      <c r="AW563">
        <v>7</v>
      </c>
      <c r="AX563" t="s">
        <v>74</v>
      </c>
      <c r="AY563" t="s">
        <v>74</v>
      </c>
      <c r="AZ563" t="s">
        <v>74</v>
      </c>
      <c r="BA563" t="s">
        <v>74</v>
      </c>
      <c r="BB563">
        <v>1039</v>
      </c>
      <c r="BC563">
        <v>1055</v>
      </c>
      <c r="BD563" t="s">
        <v>74</v>
      </c>
      <c r="BE563" t="s">
        <v>11066</v>
      </c>
      <c r="BF563" t="str">
        <f>HYPERLINK("http://dx.doi.org/10.1111/maps.14026","http://dx.doi.org/10.1111/maps.14026")</f>
        <v>http://dx.doi.org/10.1111/maps.14026</v>
      </c>
      <c r="BG563" t="s">
        <v>74</v>
      </c>
      <c r="BH563" t="s">
        <v>10102</v>
      </c>
      <c r="BI563">
        <v>17</v>
      </c>
      <c r="BJ563" t="s">
        <v>597</v>
      </c>
      <c r="BK563" t="s">
        <v>104</v>
      </c>
      <c r="BL563" t="s">
        <v>597</v>
      </c>
      <c r="BM563" t="s">
        <v>10329</v>
      </c>
      <c r="BN563" t="s">
        <v>74</v>
      </c>
      <c r="BO563" t="s">
        <v>1217</v>
      </c>
      <c r="BP563" t="s">
        <v>74</v>
      </c>
      <c r="BQ563" t="s">
        <v>74</v>
      </c>
      <c r="BR563" t="s">
        <v>107</v>
      </c>
      <c r="BS563" t="s">
        <v>11067</v>
      </c>
      <c r="BT563" t="str">
        <f>HYPERLINK("https%3A%2F%2Fwww.webofscience.com%2Fwos%2Fwoscc%2Ffull-record%2FWOS:001019831400001","View Full Record in Web of Science")</f>
        <v>View Full Record in Web of Science</v>
      </c>
    </row>
    <row r="564" spans="1:72" x14ac:dyDescent="0.15">
      <c r="A564" t="s">
        <v>72</v>
      </c>
      <c r="B564" t="s">
        <v>11068</v>
      </c>
      <c r="C564" t="s">
        <v>74</v>
      </c>
      <c r="D564" t="s">
        <v>74</v>
      </c>
      <c r="E564" t="s">
        <v>74</v>
      </c>
      <c r="F564" t="s">
        <v>11069</v>
      </c>
      <c r="G564" t="s">
        <v>74</v>
      </c>
      <c r="H564" t="s">
        <v>74</v>
      </c>
      <c r="I564" t="s">
        <v>11070</v>
      </c>
      <c r="J564" t="s">
        <v>983</v>
      </c>
      <c r="K564" t="s">
        <v>74</v>
      </c>
      <c r="L564" t="s">
        <v>74</v>
      </c>
      <c r="M564" t="s">
        <v>78</v>
      </c>
      <c r="N564" t="s">
        <v>79</v>
      </c>
      <c r="O564" t="s">
        <v>74</v>
      </c>
      <c r="P564" t="s">
        <v>74</v>
      </c>
      <c r="Q564" t="s">
        <v>74</v>
      </c>
      <c r="R564" t="s">
        <v>74</v>
      </c>
      <c r="S564" t="s">
        <v>74</v>
      </c>
      <c r="T564" t="s">
        <v>11071</v>
      </c>
      <c r="U564" t="s">
        <v>11072</v>
      </c>
      <c r="V564" t="s">
        <v>11073</v>
      </c>
      <c r="W564" t="s">
        <v>11074</v>
      </c>
      <c r="X564" t="s">
        <v>11075</v>
      </c>
      <c r="Y564" t="s">
        <v>11076</v>
      </c>
      <c r="Z564" t="s">
        <v>11077</v>
      </c>
      <c r="AA564" t="s">
        <v>74</v>
      </c>
      <c r="AB564" t="s">
        <v>11078</v>
      </c>
      <c r="AC564" t="s">
        <v>11079</v>
      </c>
      <c r="AD564" t="s">
        <v>11080</v>
      </c>
      <c r="AE564" t="s">
        <v>11081</v>
      </c>
      <c r="AF564" t="s">
        <v>74</v>
      </c>
      <c r="AG564">
        <v>150</v>
      </c>
      <c r="AH564">
        <v>1</v>
      </c>
      <c r="AI564">
        <v>1</v>
      </c>
      <c r="AJ564">
        <v>5</v>
      </c>
      <c r="AK564">
        <v>13</v>
      </c>
      <c r="AL564" t="s">
        <v>994</v>
      </c>
      <c r="AM564" t="s">
        <v>995</v>
      </c>
      <c r="AN564" t="s">
        <v>996</v>
      </c>
      <c r="AO564" t="s">
        <v>74</v>
      </c>
      <c r="AP564" t="s">
        <v>997</v>
      </c>
      <c r="AQ564" t="s">
        <v>74</v>
      </c>
      <c r="AR564" t="s">
        <v>998</v>
      </c>
      <c r="AS564" t="s">
        <v>999</v>
      </c>
      <c r="AT564" t="s">
        <v>11030</v>
      </c>
      <c r="AU564">
        <v>2023</v>
      </c>
      <c r="AV564">
        <v>10</v>
      </c>
      <c r="AW564" t="s">
        <v>74</v>
      </c>
      <c r="AX564" t="s">
        <v>74</v>
      </c>
      <c r="AY564" t="s">
        <v>74</v>
      </c>
      <c r="AZ564" t="s">
        <v>74</v>
      </c>
      <c r="BA564" t="s">
        <v>74</v>
      </c>
      <c r="BB564" t="s">
        <v>74</v>
      </c>
      <c r="BC564" t="s">
        <v>74</v>
      </c>
      <c r="BD564">
        <v>1179236</v>
      </c>
      <c r="BE564" t="s">
        <v>11082</v>
      </c>
      <c r="BF564" t="str">
        <f>HYPERLINK("http://dx.doi.org/10.3389/fmars.2023.1179236","http://dx.doi.org/10.3389/fmars.2023.1179236")</f>
        <v>http://dx.doi.org/10.3389/fmars.2023.1179236</v>
      </c>
      <c r="BG564" t="s">
        <v>74</v>
      </c>
      <c r="BH564" t="s">
        <v>74</v>
      </c>
      <c r="BI564">
        <v>16</v>
      </c>
      <c r="BJ564" t="s">
        <v>1001</v>
      </c>
      <c r="BK564" t="s">
        <v>104</v>
      </c>
      <c r="BL564" t="s">
        <v>1002</v>
      </c>
      <c r="BM564" t="s">
        <v>11083</v>
      </c>
      <c r="BN564" t="s">
        <v>74</v>
      </c>
      <c r="BO564" t="s">
        <v>206</v>
      </c>
      <c r="BP564" t="s">
        <v>74</v>
      </c>
      <c r="BQ564" t="s">
        <v>74</v>
      </c>
      <c r="BR564" t="s">
        <v>107</v>
      </c>
      <c r="BS564" t="s">
        <v>11084</v>
      </c>
      <c r="BT564" t="str">
        <f>HYPERLINK("https%3A%2F%2Fwww.webofscience.com%2Fwos%2Fwoscc%2Ffull-record%2FWOS:001023485200001","View Full Record in Web of Science")</f>
        <v>View Full Record in Web of Science</v>
      </c>
    </row>
    <row r="565" spans="1:72" x14ac:dyDescent="0.15">
      <c r="A565" t="s">
        <v>72</v>
      </c>
      <c r="B565" t="s">
        <v>11085</v>
      </c>
      <c r="C565" t="s">
        <v>74</v>
      </c>
      <c r="D565" t="s">
        <v>74</v>
      </c>
      <c r="E565" t="s">
        <v>74</v>
      </c>
      <c r="F565" t="s">
        <v>11086</v>
      </c>
      <c r="G565" t="s">
        <v>74</v>
      </c>
      <c r="H565" t="s">
        <v>74</v>
      </c>
      <c r="I565" t="s">
        <v>11087</v>
      </c>
      <c r="J565" t="s">
        <v>1763</v>
      </c>
      <c r="K565" t="s">
        <v>74</v>
      </c>
      <c r="L565" t="s">
        <v>74</v>
      </c>
      <c r="M565" t="s">
        <v>78</v>
      </c>
      <c r="N565" t="s">
        <v>79</v>
      </c>
      <c r="O565" t="s">
        <v>74</v>
      </c>
      <c r="P565" t="s">
        <v>74</v>
      </c>
      <c r="Q565" t="s">
        <v>74</v>
      </c>
      <c r="R565" t="s">
        <v>74</v>
      </c>
      <c r="S565" t="s">
        <v>74</v>
      </c>
      <c r="T565" t="s">
        <v>74</v>
      </c>
      <c r="U565" t="s">
        <v>11088</v>
      </c>
      <c r="V565" t="s">
        <v>11089</v>
      </c>
      <c r="W565" t="s">
        <v>11090</v>
      </c>
      <c r="X565" t="s">
        <v>11091</v>
      </c>
      <c r="Y565" t="s">
        <v>11092</v>
      </c>
      <c r="Z565" t="s">
        <v>11093</v>
      </c>
      <c r="AA565" t="s">
        <v>74</v>
      </c>
      <c r="AB565" t="s">
        <v>11094</v>
      </c>
      <c r="AC565" t="s">
        <v>74</v>
      </c>
      <c r="AD565" t="s">
        <v>74</v>
      </c>
      <c r="AE565" t="s">
        <v>74</v>
      </c>
      <c r="AF565" t="s">
        <v>74</v>
      </c>
      <c r="AG565">
        <v>73</v>
      </c>
      <c r="AH565">
        <v>3</v>
      </c>
      <c r="AI565">
        <v>3</v>
      </c>
      <c r="AJ565">
        <v>1</v>
      </c>
      <c r="AK565">
        <v>2</v>
      </c>
      <c r="AL565" t="s">
        <v>1775</v>
      </c>
      <c r="AM565" t="s">
        <v>1776</v>
      </c>
      <c r="AN565" t="s">
        <v>1777</v>
      </c>
      <c r="AO565" t="s">
        <v>1778</v>
      </c>
      <c r="AP565" t="s">
        <v>1779</v>
      </c>
      <c r="AQ565" t="s">
        <v>74</v>
      </c>
      <c r="AR565" t="s">
        <v>1763</v>
      </c>
      <c r="AS565" t="s">
        <v>1780</v>
      </c>
      <c r="AT565" t="s">
        <v>11030</v>
      </c>
      <c r="AU565">
        <v>2023</v>
      </c>
      <c r="AV565">
        <v>17</v>
      </c>
      <c r="AW565">
        <v>6</v>
      </c>
      <c r="AX565" t="s">
        <v>74</v>
      </c>
      <c r="AY565" t="s">
        <v>74</v>
      </c>
      <c r="AZ565" t="s">
        <v>74</v>
      </c>
      <c r="BA565" t="s">
        <v>74</v>
      </c>
      <c r="BB565">
        <v>2487</v>
      </c>
      <c r="BC565">
        <v>2508</v>
      </c>
      <c r="BD565" t="s">
        <v>74</v>
      </c>
      <c r="BE565" t="s">
        <v>11095</v>
      </c>
      <c r="BF565" t="str">
        <f>HYPERLINK("http://dx.doi.org/10.5194/tc-17-2487-2023","http://dx.doi.org/10.5194/tc-17-2487-2023")</f>
        <v>http://dx.doi.org/10.5194/tc-17-2487-2023</v>
      </c>
      <c r="BG565" t="s">
        <v>74</v>
      </c>
      <c r="BH565" t="s">
        <v>74</v>
      </c>
      <c r="BI565">
        <v>22</v>
      </c>
      <c r="BJ565" t="s">
        <v>1783</v>
      </c>
      <c r="BK565" t="s">
        <v>104</v>
      </c>
      <c r="BL565" t="s">
        <v>1784</v>
      </c>
      <c r="BM565" t="s">
        <v>11096</v>
      </c>
      <c r="BN565" t="s">
        <v>74</v>
      </c>
      <c r="BO565" t="s">
        <v>206</v>
      </c>
      <c r="BP565" t="s">
        <v>74</v>
      </c>
      <c r="BQ565" t="s">
        <v>74</v>
      </c>
      <c r="BR565" t="s">
        <v>107</v>
      </c>
      <c r="BS565" t="s">
        <v>11097</v>
      </c>
      <c r="BT565" t="str">
        <f>HYPERLINK("https%3A%2F%2Fwww.webofscience.com%2Fwos%2Fwoscc%2Ffull-record%2FWOS:001019943900001","View Full Record in Web of Science")</f>
        <v>View Full Record in Web of Science</v>
      </c>
    </row>
    <row r="566" spans="1:72" x14ac:dyDescent="0.15">
      <c r="A566" t="s">
        <v>72</v>
      </c>
      <c r="B566" t="s">
        <v>11098</v>
      </c>
      <c r="C566" t="s">
        <v>74</v>
      </c>
      <c r="D566" t="s">
        <v>74</v>
      </c>
      <c r="E566" t="s">
        <v>74</v>
      </c>
      <c r="F566" t="s">
        <v>11099</v>
      </c>
      <c r="G566" t="s">
        <v>74</v>
      </c>
      <c r="H566" t="s">
        <v>74</v>
      </c>
      <c r="I566" t="s">
        <v>11100</v>
      </c>
      <c r="J566" t="s">
        <v>3286</v>
      </c>
      <c r="K566" t="s">
        <v>74</v>
      </c>
      <c r="L566" t="s">
        <v>74</v>
      </c>
      <c r="M566" t="s">
        <v>78</v>
      </c>
      <c r="N566" t="s">
        <v>79</v>
      </c>
      <c r="O566" t="s">
        <v>74</v>
      </c>
      <c r="P566" t="s">
        <v>74</v>
      </c>
      <c r="Q566" t="s">
        <v>74</v>
      </c>
      <c r="R566" t="s">
        <v>74</v>
      </c>
      <c r="S566" t="s">
        <v>74</v>
      </c>
      <c r="T566" t="s">
        <v>74</v>
      </c>
      <c r="U566" t="s">
        <v>11101</v>
      </c>
      <c r="V566" t="s">
        <v>11102</v>
      </c>
      <c r="W566" t="s">
        <v>11103</v>
      </c>
      <c r="X566" t="s">
        <v>11104</v>
      </c>
      <c r="Y566" t="s">
        <v>11105</v>
      </c>
      <c r="Z566" t="s">
        <v>11106</v>
      </c>
      <c r="AA566" t="s">
        <v>11107</v>
      </c>
      <c r="AB566" t="s">
        <v>11108</v>
      </c>
      <c r="AC566" t="s">
        <v>11109</v>
      </c>
      <c r="AD566" t="s">
        <v>11110</v>
      </c>
      <c r="AE566" t="s">
        <v>11111</v>
      </c>
      <c r="AF566" t="s">
        <v>74</v>
      </c>
      <c r="AG566">
        <v>44</v>
      </c>
      <c r="AH566">
        <v>2</v>
      </c>
      <c r="AI566">
        <v>2</v>
      </c>
      <c r="AJ566">
        <v>2</v>
      </c>
      <c r="AK566">
        <v>3</v>
      </c>
      <c r="AL566" t="s">
        <v>1775</v>
      </c>
      <c r="AM566" t="s">
        <v>1776</v>
      </c>
      <c r="AN566" t="s">
        <v>1777</v>
      </c>
      <c r="AO566" t="s">
        <v>3298</v>
      </c>
      <c r="AP566" t="s">
        <v>3299</v>
      </c>
      <c r="AQ566" t="s">
        <v>74</v>
      </c>
      <c r="AR566" t="s">
        <v>3300</v>
      </c>
      <c r="AS566" t="s">
        <v>3301</v>
      </c>
      <c r="AT566" t="s">
        <v>11030</v>
      </c>
      <c r="AU566">
        <v>2023</v>
      </c>
      <c r="AV566">
        <v>23</v>
      </c>
      <c r="AW566">
        <v>12</v>
      </c>
      <c r="AX566" t="s">
        <v>74</v>
      </c>
      <c r="AY566" t="s">
        <v>74</v>
      </c>
      <c r="AZ566" t="s">
        <v>74</v>
      </c>
      <c r="BA566" t="s">
        <v>74</v>
      </c>
      <c r="BB566">
        <v>6989</v>
      </c>
      <c r="BC566">
        <v>7000</v>
      </c>
      <c r="BD566" t="s">
        <v>74</v>
      </c>
      <c r="BE566" t="s">
        <v>11112</v>
      </c>
      <c r="BF566" t="str">
        <f>HYPERLINK("http://dx.doi.org/10.5194/acp-23-6989-2023","http://dx.doi.org/10.5194/acp-23-6989-2023")</f>
        <v>http://dx.doi.org/10.5194/acp-23-6989-2023</v>
      </c>
      <c r="BG566" t="s">
        <v>74</v>
      </c>
      <c r="BH566" t="s">
        <v>74</v>
      </c>
      <c r="BI566">
        <v>12</v>
      </c>
      <c r="BJ566" t="s">
        <v>3303</v>
      </c>
      <c r="BK566" t="s">
        <v>104</v>
      </c>
      <c r="BL566" t="s">
        <v>2372</v>
      </c>
      <c r="BM566" t="s">
        <v>11113</v>
      </c>
      <c r="BN566" t="s">
        <v>74</v>
      </c>
      <c r="BO566" t="s">
        <v>206</v>
      </c>
      <c r="BP566" t="s">
        <v>74</v>
      </c>
      <c r="BQ566" t="s">
        <v>74</v>
      </c>
      <c r="BR566" t="s">
        <v>107</v>
      </c>
      <c r="BS566" t="s">
        <v>11114</v>
      </c>
      <c r="BT566" t="str">
        <f>HYPERLINK("https%3A%2F%2Fwww.webofscience.com%2Fwos%2Fwoscc%2Ffull-record%2FWOS:001018396500001","View Full Record in Web of Science")</f>
        <v>View Full Record in Web of Science</v>
      </c>
    </row>
    <row r="567" spans="1:72" x14ac:dyDescent="0.15">
      <c r="A567" t="s">
        <v>72</v>
      </c>
      <c r="B567" t="s">
        <v>11115</v>
      </c>
      <c r="C567" t="s">
        <v>74</v>
      </c>
      <c r="D567" t="s">
        <v>74</v>
      </c>
      <c r="E567" t="s">
        <v>74</v>
      </c>
      <c r="F567" t="s">
        <v>11116</v>
      </c>
      <c r="G567" t="s">
        <v>74</v>
      </c>
      <c r="H567" t="s">
        <v>74</v>
      </c>
      <c r="I567" t="s">
        <v>11117</v>
      </c>
      <c r="J567" t="s">
        <v>11118</v>
      </c>
      <c r="K567" t="s">
        <v>74</v>
      </c>
      <c r="L567" t="s">
        <v>74</v>
      </c>
      <c r="M567" t="s">
        <v>78</v>
      </c>
      <c r="N567" t="s">
        <v>79</v>
      </c>
      <c r="O567" t="s">
        <v>74</v>
      </c>
      <c r="P567" t="s">
        <v>74</v>
      </c>
      <c r="Q567" t="s">
        <v>74</v>
      </c>
      <c r="R567" t="s">
        <v>74</v>
      </c>
      <c r="S567" t="s">
        <v>74</v>
      </c>
      <c r="T567" t="s">
        <v>11119</v>
      </c>
      <c r="U567" t="s">
        <v>11120</v>
      </c>
      <c r="V567" t="s">
        <v>11121</v>
      </c>
      <c r="W567" t="s">
        <v>11122</v>
      </c>
      <c r="X567" t="s">
        <v>11123</v>
      </c>
      <c r="Y567" t="s">
        <v>11124</v>
      </c>
      <c r="Z567" t="s">
        <v>11125</v>
      </c>
      <c r="AA567" t="s">
        <v>11126</v>
      </c>
      <c r="AB567" t="s">
        <v>11127</v>
      </c>
      <c r="AC567" t="s">
        <v>11128</v>
      </c>
      <c r="AD567" t="s">
        <v>11129</v>
      </c>
      <c r="AE567" t="s">
        <v>11130</v>
      </c>
      <c r="AF567" t="s">
        <v>74</v>
      </c>
      <c r="AG567">
        <v>30</v>
      </c>
      <c r="AH567">
        <v>0</v>
      </c>
      <c r="AI567">
        <v>0</v>
      </c>
      <c r="AJ567">
        <v>1</v>
      </c>
      <c r="AK567">
        <v>6</v>
      </c>
      <c r="AL567" t="s">
        <v>11131</v>
      </c>
      <c r="AM567" t="s">
        <v>1138</v>
      </c>
      <c r="AN567" t="s">
        <v>11132</v>
      </c>
      <c r="AO567" t="s">
        <v>11133</v>
      </c>
      <c r="AP567" t="s">
        <v>11134</v>
      </c>
      <c r="AQ567" t="s">
        <v>74</v>
      </c>
      <c r="AR567" t="s">
        <v>11118</v>
      </c>
      <c r="AS567" t="s">
        <v>11135</v>
      </c>
      <c r="AT567" t="s">
        <v>97</v>
      </c>
      <c r="AU567">
        <v>2023</v>
      </c>
      <c r="AV567">
        <v>116</v>
      </c>
      <c r="AW567" t="s">
        <v>3327</v>
      </c>
      <c r="AX567" t="s">
        <v>74</v>
      </c>
      <c r="AY567" t="s">
        <v>74</v>
      </c>
      <c r="AZ567" t="s">
        <v>74</v>
      </c>
      <c r="BA567" t="s">
        <v>74</v>
      </c>
      <c r="BB567">
        <v>417</v>
      </c>
      <c r="BC567">
        <v>432</v>
      </c>
      <c r="BD567" t="s">
        <v>74</v>
      </c>
      <c r="BE567" t="s">
        <v>11136</v>
      </c>
      <c r="BF567" t="str">
        <f>HYPERLINK("http://dx.doi.org/10.1127/nova_hedwigia/2023/0736","http://dx.doi.org/10.1127/nova_hedwigia/2023/0736")</f>
        <v>http://dx.doi.org/10.1127/nova_hedwigia/2023/0736</v>
      </c>
      <c r="BG567" t="s">
        <v>74</v>
      </c>
      <c r="BH567" t="s">
        <v>10102</v>
      </c>
      <c r="BI567">
        <v>16</v>
      </c>
      <c r="BJ567" t="s">
        <v>375</v>
      </c>
      <c r="BK567" t="s">
        <v>104</v>
      </c>
      <c r="BL567" t="s">
        <v>375</v>
      </c>
      <c r="BM567" t="s">
        <v>11137</v>
      </c>
      <c r="BN567" t="s">
        <v>74</v>
      </c>
      <c r="BO567" t="s">
        <v>74</v>
      </c>
      <c r="BP567" t="s">
        <v>74</v>
      </c>
      <c r="BQ567" t="s">
        <v>74</v>
      </c>
      <c r="BR567" t="s">
        <v>107</v>
      </c>
      <c r="BS567" t="s">
        <v>11138</v>
      </c>
      <c r="BT567" t="str">
        <f>HYPERLINK("https%3A%2F%2Fwww.webofscience.com%2Fwos%2Fwoscc%2Ffull-record%2FWOS:001013887000001","View Full Record in Web of Science")</f>
        <v>View Full Record in Web of Science</v>
      </c>
    </row>
    <row r="568" spans="1:72" x14ac:dyDescent="0.15">
      <c r="A568" t="s">
        <v>72</v>
      </c>
      <c r="B568" t="s">
        <v>11139</v>
      </c>
      <c r="C568" t="s">
        <v>74</v>
      </c>
      <c r="D568" t="s">
        <v>74</v>
      </c>
      <c r="E568" t="s">
        <v>74</v>
      </c>
      <c r="F568" t="s">
        <v>11140</v>
      </c>
      <c r="G568" t="s">
        <v>74</v>
      </c>
      <c r="H568" t="s">
        <v>74</v>
      </c>
      <c r="I568" t="s">
        <v>11141</v>
      </c>
      <c r="J568" t="s">
        <v>4475</v>
      </c>
      <c r="K568" t="s">
        <v>74</v>
      </c>
      <c r="L568" t="s">
        <v>74</v>
      </c>
      <c r="M568" t="s">
        <v>78</v>
      </c>
      <c r="N568" t="s">
        <v>3197</v>
      </c>
      <c r="O568" t="s">
        <v>74</v>
      </c>
      <c r="P568" t="s">
        <v>74</v>
      </c>
      <c r="Q568" t="s">
        <v>74</v>
      </c>
      <c r="R568" t="s">
        <v>74</v>
      </c>
      <c r="S568" t="s">
        <v>74</v>
      </c>
      <c r="T568" t="s">
        <v>74</v>
      </c>
      <c r="U568" t="s">
        <v>11142</v>
      </c>
      <c r="V568" t="s">
        <v>11143</v>
      </c>
      <c r="W568" t="s">
        <v>11144</v>
      </c>
      <c r="X568" t="s">
        <v>11145</v>
      </c>
      <c r="Y568" t="s">
        <v>11146</v>
      </c>
      <c r="Z568" t="s">
        <v>11147</v>
      </c>
      <c r="AA568" t="s">
        <v>11148</v>
      </c>
      <c r="AB568" t="s">
        <v>11149</v>
      </c>
      <c r="AC568" t="s">
        <v>11150</v>
      </c>
      <c r="AD568" t="s">
        <v>11151</v>
      </c>
      <c r="AE568" t="s">
        <v>11152</v>
      </c>
      <c r="AF568" t="s">
        <v>74</v>
      </c>
      <c r="AG568">
        <v>57</v>
      </c>
      <c r="AH568">
        <v>5</v>
      </c>
      <c r="AI568">
        <v>6</v>
      </c>
      <c r="AJ568">
        <v>1</v>
      </c>
      <c r="AK568">
        <v>2</v>
      </c>
      <c r="AL568" t="s">
        <v>146</v>
      </c>
      <c r="AM568" t="s">
        <v>147</v>
      </c>
      <c r="AN568" t="s">
        <v>148</v>
      </c>
      <c r="AO568" t="s">
        <v>74</v>
      </c>
      <c r="AP568" t="s">
        <v>4487</v>
      </c>
      <c r="AQ568" t="s">
        <v>74</v>
      </c>
      <c r="AR568" t="s">
        <v>4488</v>
      </c>
      <c r="AS568" t="s">
        <v>4489</v>
      </c>
      <c r="AT568" t="s">
        <v>11153</v>
      </c>
      <c r="AU568">
        <v>2023</v>
      </c>
      <c r="AV568">
        <v>10</v>
      </c>
      <c r="AW568">
        <v>1</v>
      </c>
      <c r="AX568" t="s">
        <v>74</v>
      </c>
      <c r="AY568" t="s">
        <v>74</v>
      </c>
      <c r="AZ568" t="s">
        <v>74</v>
      </c>
      <c r="BA568" t="s">
        <v>74</v>
      </c>
      <c r="BB568" t="s">
        <v>74</v>
      </c>
      <c r="BC568" t="s">
        <v>74</v>
      </c>
      <c r="BD568">
        <v>398</v>
      </c>
      <c r="BE568" t="s">
        <v>11154</v>
      </c>
      <c r="BF568" t="str">
        <f>HYPERLINK("http://dx.doi.org/10.1038/s41597-023-02273-1","http://dx.doi.org/10.1038/s41597-023-02273-1")</f>
        <v>http://dx.doi.org/10.1038/s41597-023-02273-1</v>
      </c>
      <c r="BG568" t="s">
        <v>74</v>
      </c>
      <c r="BH568" t="s">
        <v>74</v>
      </c>
      <c r="BI568">
        <v>17</v>
      </c>
      <c r="BJ568" t="s">
        <v>1881</v>
      </c>
      <c r="BK568" t="s">
        <v>104</v>
      </c>
      <c r="BL568" t="s">
        <v>1882</v>
      </c>
      <c r="BM568" t="s">
        <v>11155</v>
      </c>
      <c r="BN568">
        <v>37349340</v>
      </c>
      <c r="BO568" t="s">
        <v>181</v>
      </c>
      <c r="BP568" t="s">
        <v>74</v>
      </c>
      <c r="BQ568" t="s">
        <v>74</v>
      </c>
      <c r="BR568" t="s">
        <v>107</v>
      </c>
      <c r="BS568" t="s">
        <v>11156</v>
      </c>
      <c r="BT568" t="str">
        <f>HYPERLINK("https%3A%2F%2Fwww.webofscience.com%2Fwos%2Fwoscc%2Ffull-record%2FWOS:001017696100008","View Full Record in Web of Science")</f>
        <v>View Full Record in Web of Science</v>
      </c>
    </row>
    <row r="569" spans="1:72" x14ac:dyDescent="0.15">
      <c r="A569" t="s">
        <v>72</v>
      </c>
      <c r="B569" t="s">
        <v>11157</v>
      </c>
      <c r="C569" t="s">
        <v>74</v>
      </c>
      <c r="D569" t="s">
        <v>74</v>
      </c>
      <c r="E569" t="s">
        <v>74</v>
      </c>
      <c r="F569" t="s">
        <v>11158</v>
      </c>
      <c r="G569" t="s">
        <v>74</v>
      </c>
      <c r="H569" t="s">
        <v>74</v>
      </c>
      <c r="I569" t="s">
        <v>11159</v>
      </c>
      <c r="J569" t="s">
        <v>11160</v>
      </c>
      <c r="K569" t="s">
        <v>74</v>
      </c>
      <c r="L569" t="s">
        <v>74</v>
      </c>
      <c r="M569" t="s">
        <v>78</v>
      </c>
      <c r="N569" t="s">
        <v>79</v>
      </c>
      <c r="O569" t="s">
        <v>74</v>
      </c>
      <c r="P569" t="s">
        <v>74</v>
      </c>
      <c r="Q569" t="s">
        <v>74</v>
      </c>
      <c r="R569" t="s">
        <v>74</v>
      </c>
      <c r="S569" t="s">
        <v>74</v>
      </c>
      <c r="T569" t="s">
        <v>11161</v>
      </c>
      <c r="U569" t="s">
        <v>11162</v>
      </c>
      <c r="V569" t="s">
        <v>11163</v>
      </c>
      <c r="W569" t="s">
        <v>11164</v>
      </c>
      <c r="X569" t="s">
        <v>11165</v>
      </c>
      <c r="Y569" t="s">
        <v>11166</v>
      </c>
      <c r="Z569" t="s">
        <v>11167</v>
      </c>
      <c r="AA569" t="s">
        <v>11168</v>
      </c>
      <c r="AB569" t="s">
        <v>11169</v>
      </c>
      <c r="AC569" t="s">
        <v>11170</v>
      </c>
      <c r="AD569" t="s">
        <v>11171</v>
      </c>
      <c r="AE569" t="s">
        <v>11172</v>
      </c>
      <c r="AF569" t="s">
        <v>74</v>
      </c>
      <c r="AG569">
        <v>125</v>
      </c>
      <c r="AH569">
        <v>0</v>
      </c>
      <c r="AI569">
        <v>0</v>
      </c>
      <c r="AJ569">
        <v>7</v>
      </c>
      <c r="AK569">
        <v>14</v>
      </c>
      <c r="AL569" t="s">
        <v>172</v>
      </c>
      <c r="AM569" t="s">
        <v>173</v>
      </c>
      <c r="AN569" t="s">
        <v>174</v>
      </c>
      <c r="AO569" t="s">
        <v>11173</v>
      </c>
      <c r="AP569" t="s">
        <v>11174</v>
      </c>
      <c r="AQ569" t="s">
        <v>74</v>
      </c>
      <c r="AR569" t="s">
        <v>11175</v>
      </c>
      <c r="AS569" t="s">
        <v>11176</v>
      </c>
      <c r="AT569" t="s">
        <v>4689</v>
      </c>
      <c r="AU569">
        <v>2023</v>
      </c>
      <c r="AV569">
        <v>243</v>
      </c>
      <c r="AW569" t="s">
        <v>74</v>
      </c>
      <c r="AX569" t="s">
        <v>74</v>
      </c>
      <c r="AY569" t="s">
        <v>74</v>
      </c>
      <c r="AZ569" t="s">
        <v>74</v>
      </c>
      <c r="BA569" t="s">
        <v>74</v>
      </c>
      <c r="BB569" t="s">
        <v>74</v>
      </c>
      <c r="BC569" t="s">
        <v>74</v>
      </c>
      <c r="BD569">
        <v>104471</v>
      </c>
      <c r="BE569" t="s">
        <v>11177</v>
      </c>
      <c r="BF569" t="str">
        <f>HYPERLINK("http://dx.doi.org/10.1016/j.earscirev.2023.104471","http://dx.doi.org/10.1016/j.earscirev.2023.104471")</f>
        <v>http://dx.doi.org/10.1016/j.earscirev.2023.104471</v>
      </c>
      <c r="BG569" t="s">
        <v>74</v>
      </c>
      <c r="BH569" t="s">
        <v>10102</v>
      </c>
      <c r="BI569">
        <v>18</v>
      </c>
      <c r="BJ569" t="s">
        <v>155</v>
      </c>
      <c r="BK569" t="s">
        <v>104</v>
      </c>
      <c r="BL569" t="s">
        <v>156</v>
      </c>
      <c r="BM569" t="s">
        <v>11178</v>
      </c>
      <c r="BN569" t="s">
        <v>74</v>
      </c>
      <c r="BO569" t="s">
        <v>74</v>
      </c>
      <c r="BP569" t="s">
        <v>74</v>
      </c>
      <c r="BQ569" t="s">
        <v>74</v>
      </c>
      <c r="BR569" t="s">
        <v>107</v>
      </c>
      <c r="BS569" t="s">
        <v>11179</v>
      </c>
      <c r="BT569" t="str">
        <f>HYPERLINK("https%3A%2F%2Fwww.webofscience.com%2Fwos%2Fwoscc%2Ffull-record%2FWOS:001032311400001","View Full Record in Web of Science")</f>
        <v>View Full Record in Web of Science</v>
      </c>
    </row>
    <row r="570" spans="1:72" x14ac:dyDescent="0.15">
      <c r="A570" t="s">
        <v>72</v>
      </c>
      <c r="B570" t="s">
        <v>11180</v>
      </c>
      <c r="C570" t="s">
        <v>74</v>
      </c>
      <c r="D570" t="s">
        <v>74</v>
      </c>
      <c r="E570" t="s">
        <v>74</v>
      </c>
      <c r="F570" t="s">
        <v>11181</v>
      </c>
      <c r="G570" t="s">
        <v>74</v>
      </c>
      <c r="H570" t="s">
        <v>74</v>
      </c>
      <c r="I570" t="s">
        <v>11182</v>
      </c>
      <c r="J570" t="s">
        <v>11183</v>
      </c>
      <c r="K570" t="s">
        <v>74</v>
      </c>
      <c r="L570" t="s">
        <v>74</v>
      </c>
      <c r="M570" t="s">
        <v>78</v>
      </c>
      <c r="N570" t="s">
        <v>79</v>
      </c>
      <c r="O570" t="s">
        <v>74</v>
      </c>
      <c r="P570" t="s">
        <v>74</v>
      </c>
      <c r="Q570" t="s">
        <v>74</v>
      </c>
      <c r="R570" t="s">
        <v>74</v>
      </c>
      <c r="S570" t="s">
        <v>74</v>
      </c>
      <c r="T570" t="s">
        <v>11184</v>
      </c>
      <c r="U570" t="s">
        <v>11185</v>
      </c>
      <c r="V570" t="s">
        <v>11186</v>
      </c>
      <c r="W570" t="s">
        <v>11187</v>
      </c>
      <c r="X570" t="s">
        <v>11188</v>
      </c>
      <c r="Y570" t="s">
        <v>11189</v>
      </c>
      <c r="Z570" t="s">
        <v>11190</v>
      </c>
      <c r="AA570" t="s">
        <v>74</v>
      </c>
      <c r="AB570" t="s">
        <v>11191</v>
      </c>
      <c r="AC570" t="s">
        <v>11192</v>
      </c>
      <c r="AD570" t="s">
        <v>11193</v>
      </c>
      <c r="AE570" t="s">
        <v>11194</v>
      </c>
      <c r="AF570" t="s">
        <v>74</v>
      </c>
      <c r="AG570">
        <v>80</v>
      </c>
      <c r="AH570">
        <v>0</v>
      </c>
      <c r="AI570">
        <v>0</v>
      </c>
      <c r="AJ570">
        <v>4</v>
      </c>
      <c r="AK570">
        <v>7</v>
      </c>
      <c r="AL570" t="s">
        <v>172</v>
      </c>
      <c r="AM570" t="s">
        <v>173</v>
      </c>
      <c r="AN570" t="s">
        <v>174</v>
      </c>
      <c r="AO570" t="s">
        <v>11195</v>
      </c>
      <c r="AP570" t="s">
        <v>11196</v>
      </c>
      <c r="AQ570" t="s">
        <v>74</v>
      </c>
      <c r="AR570" t="s">
        <v>11183</v>
      </c>
      <c r="AS570" t="s">
        <v>11197</v>
      </c>
      <c r="AT570" t="s">
        <v>2486</v>
      </c>
      <c r="AU570">
        <v>2023</v>
      </c>
      <c r="AV570">
        <v>437</v>
      </c>
      <c r="AW570" t="s">
        <v>74</v>
      </c>
      <c r="AX570" t="s">
        <v>74</v>
      </c>
      <c r="AY570" t="s">
        <v>74</v>
      </c>
      <c r="AZ570" t="s">
        <v>74</v>
      </c>
      <c r="BA570" t="s">
        <v>74</v>
      </c>
      <c r="BB570" t="s">
        <v>74</v>
      </c>
      <c r="BC570" t="s">
        <v>74</v>
      </c>
      <c r="BD570">
        <v>108800</v>
      </c>
      <c r="BE570" t="s">
        <v>11198</v>
      </c>
      <c r="BF570" t="str">
        <f>HYPERLINK("http://dx.doi.org/10.1016/j.geomorph.2023.108800","http://dx.doi.org/10.1016/j.geomorph.2023.108800")</f>
        <v>http://dx.doi.org/10.1016/j.geomorph.2023.108800</v>
      </c>
      <c r="BG570" t="s">
        <v>74</v>
      </c>
      <c r="BH570" t="s">
        <v>10102</v>
      </c>
      <c r="BI570">
        <v>8</v>
      </c>
      <c r="BJ570" t="s">
        <v>1783</v>
      </c>
      <c r="BK570" t="s">
        <v>104</v>
      </c>
      <c r="BL570" t="s">
        <v>1784</v>
      </c>
      <c r="BM570" t="s">
        <v>11199</v>
      </c>
      <c r="BN570" t="s">
        <v>74</v>
      </c>
      <c r="BO570" t="s">
        <v>74</v>
      </c>
      <c r="BP570" t="s">
        <v>74</v>
      </c>
      <c r="BQ570" t="s">
        <v>74</v>
      </c>
      <c r="BR570" t="s">
        <v>107</v>
      </c>
      <c r="BS570" t="s">
        <v>11200</v>
      </c>
      <c r="BT570" t="str">
        <f>HYPERLINK("https%3A%2F%2Fwww.webofscience.com%2Fwos%2Fwoscc%2Ffull-record%2FWOS:001027663000001","View Full Record in Web of Science")</f>
        <v>View Full Record in Web of Science</v>
      </c>
    </row>
    <row r="571" spans="1:72" x14ac:dyDescent="0.15">
      <c r="A571" t="s">
        <v>72</v>
      </c>
      <c r="B571" t="s">
        <v>11201</v>
      </c>
      <c r="C571" t="s">
        <v>74</v>
      </c>
      <c r="D571" t="s">
        <v>74</v>
      </c>
      <c r="E571" t="s">
        <v>74</v>
      </c>
      <c r="F571" t="s">
        <v>11202</v>
      </c>
      <c r="G571" t="s">
        <v>74</v>
      </c>
      <c r="H571" t="s">
        <v>74</v>
      </c>
      <c r="I571" t="s">
        <v>11203</v>
      </c>
      <c r="J571" t="s">
        <v>7978</v>
      </c>
      <c r="K571" t="s">
        <v>74</v>
      </c>
      <c r="L571" t="s">
        <v>74</v>
      </c>
      <c r="M571" t="s">
        <v>78</v>
      </c>
      <c r="N571" t="s">
        <v>1911</v>
      </c>
      <c r="O571" t="s">
        <v>74</v>
      </c>
      <c r="P571" t="s">
        <v>74</v>
      </c>
      <c r="Q571" t="s">
        <v>74</v>
      </c>
      <c r="R571" t="s">
        <v>74</v>
      </c>
      <c r="S571" t="s">
        <v>74</v>
      </c>
      <c r="T571" t="s">
        <v>11204</v>
      </c>
      <c r="U571" t="s">
        <v>11205</v>
      </c>
      <c r="V571" t="s">
        <v>11206</v>
      </c>
      <c r="W571" t="s">
        <v>11207</v>
      </c>
      <c r="X571" t="s">
        <v>11208</v>
      </c>
      <c r="Y571" t="s">
        <v>11209</v>
      </c>
      <c r="Z571" t="s">
        <v>11210</v>
      </c>
      <c r="AA571" t="s">
        <v>11211</v>
      </c>
      <c r="AB571" t="s">
        <v>74</v>
      </c>
      <c r="AC571" t="s">
        <v>11212</v>
      </c>
      <c r="AD571" t="s">
        <v>11213</v>
      </c>
      <c r="AE571" t="s">
        <v>11214</v>
      </c>
      <c r="AF571" t="s">
        <v>74</v>
      </c>
      <c r="AG571">
        <v>43</v>
      </c>
      <c r="AH571">
        <v>0</v>
      </c>
      <c r="AI571">
        <v>0</v>
      </c>
      <c r="AJ571">
        <v>1</v>
      </c>
      <c r="AK571">
        <v>4</v>
      </c>
      <c r="AL571" t="s">
        <v>1803</v>
      </c>
      <c r="AM571" t="s">
        <v>1804</v>
      </c>
      <c r="AN571" t="s">
        <v>1805</v>
      </c>
      <c r="AO571" t="s">
        <v>7990</v>
      </c>
      <c r="AP571" t="s">
        <v>7991</v>
      </c>
      <c r="AQ571" t="s">
        <v>74</v>
      </c>
      <c r="AR571" t="s">
        <v>7992</v>
      </c>
      <c r="AS571" t="s">
        <v>7993</v>
      </c>
      <c r="AT571" t="s">
        <v>11215</v>
      </c>
      <c r="AU571">
        <v>2023</v>
      </c>
      <c r="AV571" t="s">
        <v>74</v>
      </c>
      <c r="AW571" t="s">
        <v>74</v>
      </c>
      <c r="AX571" t="s">
        <v>74</v>
      </c>
      <c r="AY571" t="s">
        <v>74</v>
      </c>
      <c r="AZ571" t="s">
        <v>74</v>
      </c>
      <c r="BA571" t="s">
        <v>74</v>
      </c>
      <c r="BB571" t="s">
        <v>74</v>
      </c>
      <c r="BC571" t="s">
        <v>74</v>
      </c>
      <c r="BD571" t="s">
        <v>11216</v>
      </c>
      <c r="BE571" t="s">
        <v>11217</v>
      </c>
      <c r="BF571" t="str">
        <f>HYPERLINK("http://dx.doi.org/10.1017/aog.2023.40","http://dx.doi.org/10.1017/aog.2023.40")</f>
        <v>http://dx.doi.org/10.1017/aog.2023.40</v>
      </c>
      <c r="BG571" t="s">
        <v>74</v>
      </c>
      <c r="BH571" t="s">
        <v>10102</v>
      </c>
      <c r="BI571">
        <v>11</v>
      </c>
      <c r="BJ571" t="s">
        <v>1783</v>
      </c>
      <c r="BK571" t="s">
        <v>104</v>
      </c>
      <c r="BL571" t="s">
        <v>1784</v>
      </c>
      <c r="BM571" t="s">
        <v>11218</v>
      </c>
      <c r="BN571" t="s">
        <v>74</v>
      </c>
      <c r="BO571" t="s">
        <v>206</v>
      </c>
      <c r="BP571" t="s">
        <v>74</v>
      </c>
      <c r="BQ571" t="s">
        <v>74</v>
      </c>
      <c r="BR571" t="s">
        <v>107</v>
      </c>
      <c r="BS571" t="s">
        <v>11219</v>
      </c>
      <c r="BT571" t="str">
        <f>HYPERLINK("https%3A%2F%2Fwww.webofscience.com%2Fwos%2Fwoscc%2Ffull-record%2FWOS:001014407100001","View Full Record in Web of Science")</f>
        <v>View Full Record in Web of Science</v>
      </c>
    </row>
    <row r="572" spans="1:72" x14ac:dyDescent="0.15">
      <c r="A572" t="s">
        <v>72</v>
      </c>
      <c r="B572" t="s">
        <v>11220</v>
      </c>
      <c r="C572" t="s">
        <v>74</v>
      </c>
      <c r="D572" t="s">
        <v>74</v>
      </c>
      <c r="E572" t="s">
        <v>74</v>
      </c>
      <c r="F572" t="s">
        <v>11221</v>
      </c>
      <c r="G572" t="s">
        <v>74</v>
      </c>
      <c r="H572" t="s">
        <v>74</v>
      </c>
      <c r="I572" t="s">
        <v>11222</v>
      </c>
      <c r="J572" t="s">
        <v>5877</v>
      </c>
      <c r="K572" t="s">
        <v>74</v>
      </c>
      <c r="L572" t="s">
        <v>74</v>
      </c>
      <c r="M572" t="s">
        <v>78</v>
      </c>
      <c r="N572" t="s">
        <v>79</v>
      </c>
      <c r="O572" t="s">
        <v>74</v>
      </c>
      <c r="P572" t="s">
        <v>74</v>
      </c>
      <c r="Q572" t="s">
        <v>74</v>
      </c>
      <c r="R572" t="s">
        <v>74</v>
      </c>
      <c r="S572" t="s">
        <v>74</v>
      </c>
      <c r="T572" t="s">
        <v>11223</v>
      </c>
      <c r="U572" t="s">
        <v>11224</v>
      </c>
      <c r="V572" t="s">
        <v>11225</v>
      </c>
      <c r="W572" t="s">
        <v>11226</v>
      </c>
      <c r="X572" t="s">
        <v>11227</v>
      </c>
      <c r="Y572" t="s">
        <v>11228</v>
      </c>
      <c r="Z572" t="s">
        <v>2614</v>
      </c>
      <c r="AA572" t="s">
        <v>74</v>
      </c>
      <c r="AB572" t="s">
        <v>74</v>
      </c>
      <c r="AC572" t="s">
        <v>11229</v>
      </c>
      <c r="AD572" t="s">
        <v>11229</v>
      </c>
      <c r="AE572" t="s">
        <v>11230</v>
      </c>
      <c r="AF572" t="s">
        <v>74</v>
      </c>
      <c r="AG572">
        <v>25</v>
      </c>
      <c r="AH572">
        <v>1</v>
      </c>
      <c r="AI572">
        <v>1</v>
      </c>
      <c r="AJ572">
        <v>6</v>
      </c>
      <c r="AK572">
        <v>7</v>
      </c>
      <c r="AL572" t="s">
        <v>460</v>
      </c>
      <c r="AM572" t="s">
        <v>461</v>
      </c>
      <c r="AN572" t="s">
        <v>462</v>
      </c>
      <c r="AO572" t="s">
        <v>5888</v>
      </c>
      <c r="AP572" t="s">
        <v>5889</v>
      </c>
      <c r="AQ572" t="s">
        <v>74</v>
      </c>
      <c r="AR572" t="s">
        <v>5890</v>
      </c>
      <c r="AS572" t="s">
        <v>5891</v>
      </c>
      <c r="AT572" t="s">
        <v>1810</v>
      </c>
      <c r="AU572">
        <v>2023</v>
      </c>
      <c r="AV572">
        <v>39</v>
      </c>
      <c r="AW572">
        <v>4</v>
      </c>
      <c r="AX572" t="s">
        <v>74</v>
      </c>
      <c r="AY572" t="s">
        <v>74</v>
      </c>
      <c r="AZ572" t="s">
        <v>74</v>
      </c>
      <c r="BA572" t="s">
        <v>74</v>
      </c>
      <c r="BB572">
        <v>1204</v>
      </c>
      <c r="BC572">
        <v>1214</v>
      </c>
      <c r="BD572" t="s">
        <v>74</v>
      </c>
      <c r="BE572" t="s">
        <v>11231</v>
      </c>
      <c r="BF572" t="str">
        <f>HYPERLINK("http://dx.doi.org/10.1111/mms.13044","http://dx.doi.org/10.1111/mms.13044")</f>
        <v>http://dx.doi.org/10.1111/mms.13044</v>
      </c>
      <c r="BG572" t="s">
        <v>74</v>
      </c>
      <c r="BH572" t="s">
        <v>10102</v>
      </c>
      <c r="BI572">
        <v>11</v>
      </c>
      <c r="BJ572" t="s">
        <v>547</v>
      </c>
      <c r="BK572" t="s">
        <v>104</v>
      </c>
      <c r="BL572" t="s">
        <v>547</v>
      </c>
      <c r="BM572" t="s">
        <v>6247</v>
      </c>
      <c r="BN572" t="s">
        <v>74</v>
      </c>
      <c r="BO572" t="s">
        <v>2670</v>
      </c>
      <c r="BP572" t="s">
        <v>74</v>
      </c>
      <c r="BQ572" t="s">
        <v>74</v>
      </c>
      <c r="BR572" t="s">
        <v>107</v>
      </c>
      <c r="BS572" t="s">
        <v>11232</v>
      </c>
      <c r="BT572" t="str">
        <f>HYPERLINK("https%3A%2F%2Fwww.webofscience.com%2Fwos%2Fwoscc%2Ffull-record%2FWOS:001014087500001","View Full Record in Web of Science")</f>
        <v>View Full Record in Web of Science</v>
      </c>
    </row>
    <row r="573" spans="1:72" x14ac:dyDescent="0.15">
      <c r="A573" t="s">
        <v>72</v>
      </c>
      <c r="B573" t="s">
        <v>11233</v>
      </c>
      <c r="C573" t="s">
        <v>74</v>
      </c>
      <c r="D573" t="s">
        <v>74</v>
      </c>
      <c r="E573" t="s">
        <v>74</v>
      </c>
      <c r="F573" t="s">
        <v>11234</v>
      </c>
      <c r="G573" t="s">
        <v>74</v>
      </c>
      <c r="H573" t="s">
        <v>74</v>
      </c>
      <c r="I573" t="s">
        <v>11235</v>
      </c>
      <c r="J573" t="s">
        <v>2610</v>
      </c>
      <c r="K573" t="s">
        <v>74</v>
      </c>
      <c r="L573" t="s">
        <v>74</v>
      </c>
      <c r="M573" t="s">
        <v>78</v>
      </c>
      <c r="N573" t="s">
        <v>79</v>
      </c>
      <c r="O573" t="s">
        <v>74</v>
      </c>
      <c r="P573" t="s">
        <v>74</v>
      </c>
      <c r="Q573" t="s">
        <v>74</v>
      </c>
      <c r="R573" t="s">
        <v>74</v>
      </c>
      <c r="S573" t="s">
        <v>74</v>
      </c>
      <c r="T573" t="s">
        <v>74</v>
      </c>
      <c r="U573" t="s">
        <v>11236</v>
      </c>
      <c r="V573" t="s">
        <v>11237</v>
      </c>
      <c r="W573" t="s">
        <v>11238</v>
      </c>
      <c r="X573" t="s">
        <v>11239</v>
      </c>
      <c r="Y573" t="s">
        <v>11240</v>
      </c>
      <c r="Z573" t="s">
        <v>11241</v>
      </c>
      <c r="AA573" t="s">
        <v>11242</v>
      </c>
      <c r="AB573" t="s">
        <v>11243</v>
      </c>
      <c r="AC573" t="s">
        <v>11244</v>
      </c>
      <c r="AD573" t="s">
        <v>11245</v>
      </c>
      <c r="AE573" t="s">
        <v>11246</v>
      </c>
      <c r="AF573" t="s">
        <v>74</v>
      </c>
      <c r="AG573">
        <v>68</v>
      </c>
      <c r="AH573">
        <v>1</v>
      </c>
      <c r="AI573">
        <v>1</v>
      </c>
      <c r="AJ573">
        <v>6</v>
      </c>
      <c r="AK573">
        <v>10</v>
      </c>
      <c r="AL573" t="s">
        <v>2617</v>
      </c>
      <c r="AM573" t="s">
        <v>1528</v>
      </c>
      <c r="AN573" t="s">
        <v>2618</v>
      </c>
      <c r="AO573" t="s">
        <v>74</v>
      </c>
      <c r="AP573" t="s">
        <v>2619</v>
      </c>
      <c r="AQ573" t="s">
        <v>74</v>
      </c>
      <c r="AR573" t="s">
        <v>2620</v>
      </c>
      <c r="AS573" t="s">
        <v>2621</v>
      </c>
      <c r="AT573" t="s">
        <v>11153</v>
      </c>
      <c r="AU573">
        <v>2023</v>
      </c>
      <c r="AV573">
        <v>4</v>
      </c>
      <c r="AW573">
        <v>1</v>
      </c>
      <c r="AX573" t="s">
        <v>74</v>
      </c>
      <c r="AY573" t="s">
        <v>74</v>
      </c>
      <c r="AZ573" t="s">
        <v>74</v>
      </c>
      <c r="BA573" t="s">
        <v>74</v>
      </c>
      <c r="BB573" t="s">
        <v>74</v>
      </c>
      <c r="BC573" t="s">
        <v>74</v>
      </c>
      <c r="BD573">
        <v>222</v>
      </c>
      <c r="BE573" t="s">
        <v>11247</v>
      </c>
      <c r="BF573" t="str">
        <f>HYPERLINK("http://dx.doi.org/10.1038/s43247-023-00864-9","http://dx.doi.org/10.1038/s43247-023-00864-9")</f>
        <v>http://dx.doi.org/10.1038/s43247-023-00864-9</v>
      </c>
      <c r="BG573" t="s">
        <v>74</v>
      </c>
      <c r="BH573" t="s">
        <v>74</v>
      </c>
      <c r="BI573">
        <v>8</v>
      </c>
      <c r="BJ573" t="s">
        <v>1214</v>
      </c>
      <c r="BK573" t="s">
        <v>104</v>
      </c>
      <c r="BL573" t="s">
        <v>1215</v>
      </c>
      <c r="BM573" t="s">
        <v>11248</v>
      </c>
      <c r="BN573" t="s">
        <v>74</v>
      </c>
      <c r="BO573" t="s">
        <v>11249</v>
      </c>
      <c r="BP573" t="s">
        <v>74</v>
      </c>
      <c r="BQ573" t="s">
        <v>74</v>
      </c>
      <c r="BR573" t="s">
        <v>107</v>
      </c>
      <c r="BS573" t="s">
        <v>11250</v>
      </c>
      <c r="BT573" t="str">
        <f>HYPERLINK("https%3A%2F%2Fwww.webofscience.com%2Fwos%2Fwoscc%2Ffull-record%2FWOS:001012844400001","View Full Record in Web of Science")</f>
        <v>View Full Record in Web of Science</v>
      </c>
    </row>
    <row r="574" spans="1:72" x14ac:dyDescent="0.15">
      <c r="A574" t="s">
        <v>72</v>
      </c>
      <c r="B574" t="s">
        <v>11251</v>
      </c>
      <c r="C574" t="s">
        <v>74</v>
      </c>
      <c r="D574" t="s">
        <v>74</v>
      </c>
      <c r="E574" t="s">
        <v>74</v>
      </c>
      <c r="F574" t="s">
        <v>11252</v>
      </c>
      <c r="G574" t="s">
        <v>74</v>
      </c>
      <c r="H574" t="s">
        <v>74</v>
      </c>
      <c r="I574" t="s">
        <v>11253</v>
      </c>
      <c r="J574" t="s">
        <v>983</v>
      </c>
      <c r="K574" t="s">
        <v>74</v>
      </c>
      <c r="L574" t="s">
        <v>74</v>
      </c>
      <c r="M574" t="s">
        <v>78</v>
      </c>
      <c r="N574" t="s">
        <v>79</v>
      </c>
      <c r="O574" t="s">
        <v>74</v>
      </c>
      <c r="P574" t="s">
        <v>74</v>
      </c>
      <c r="Q574" t="s">
        <v>74</v>
      </c>
      <c r="R574" t="s">
        <v>74</v>
      </c>
      <c r="S574" t="s">
        <v>74</v>
      </c>
      <c r="T574" t="s">
        <v>11254</v>
      </c>
      <c r="U574" t="s">
        <v>11255</v>
      </c>
      <c r="V574" t="s">
        <v>11256</v>
      </c>
      <c r="W574" t="s">
        <v>11257</v>
      </c>
      <c r="X574" t="s">
        <v>11258</v>
      </c>
      <c r="Y574" t="s">
        <v>11259</v>
      </c>
      <c r="Z574" t="s">
        <v>11260</v>
      </c>
      <c r="AA574" t="s">
        <v>11261</v>
      </c>
      <c r="AB574" t="s">
        <v>11262</v>
      </c>
      <c r="AC574" t="s">
        <v>74</v>
      </c>
      <c r="AD574" t="s">
        <v>74</v>
      </c>
      <c r="AE574" t="s">
        <v>74</v>
      </c>
      <c r="AF574" t="s">
        <v>74</v>
      </c>
      <c r="AG574">
        <v>129</v>
      </c>
      <c r="AH574">
        <v>0</v>
      </c>
      <c r="AI574">
        <v>0</v>
      </c>
      <c r="AJ574">
        <v>6</v>
      </c>
      <c r="AK574">
        <v>6</v>
      </c>
      <c r="AL574" t="s">
        <v>994</v>
      </c>
      <c r="AM574" t="s">
        <v>995</v>
      </c>
      <c r="AN574" t="s">
        <v>996</v>
      </c>
      <c r="AO574" t="s">
        <v>74</v>
      </c>
      <c r="AP574" t="s">
        <v>997</v>
      </c>
      <c r="AQ574" t="s">
        <v>74</v>
      </c>
      <c r="AR574" t="s">
        <v>998</v>
      </c>
      <c r="AS574" t="s">
        <v>999</v>
      </c>
      <c r="AT574" t="s">
        <v>11153</v>
      </c>
      <c r="AU574">
        <v>2023</v>
      </c>
      <c r="AV574">
        <v>10</v>
      </c>
      <c r="AW574" t="s">
        <v>74</v>
      </c>
      <c r="AX574" t="s">
        <v>74</v>
      </c>
      <c r="AY574" t="s">
        <v>74</v>
      </c>
      <c r="AZ574" t="s">
        <v>74</v>
      </c>
      <c r="BA574" t="s">
        <v>74</v>
      </c>
      <c r="BB574" t="s">
        <v>74</v>
      </c>
      <c r="BC574" t="s">
        <v>74</v>
      </c>
      <c r="BD574">
        <v>1159884</v>
      </c>
      <c r="BE574" t="s">
        <v>11263</v>
      </c>
      <c r="BF574" t="str">
        <f>HYPERLINK("http://dx.doi.org/10.3389/fmars.2023.1159884","http://dx.doi.org/10.3389/fmars.2023.1159884")</f>
        <v>http://dx.doi.org/10.3389/fmars.2023.1159884</v>
      </c>
      <c r="BG574" t="s">
        <v>74</v>
      </c>
      <c r="BH574" t="s">
        <v>74</v>
      </c>
      <c r="BI574">
        <v>19</v>
      </c>
      <c r="BJ574" t="s">
        <v>1001</v>
      </c>
      <c r="BK574" t="s">
        <v>104</v>
      </c>
      <c r="BL574" t="s">
        <v>1002</v>
      </c>
      <c r="BM574" t="s">
        <v>11264</v>
      </c>
      <c r="BN574" t="s">
        <v>74</v>
      </c>
      <c r="BO574" t="s">
        <v>821</v>
      </c>
      <c r="BP574" t="s">
        <v>74</v>
      </c>
      <c r="BQ574" t="s">
        <v>74</v>
      </c>
      <c r="BR574" t="s">
        <v>107</v>
      </c>
      <c r="BS574" t="s">
        <v>11265</v>
      </c>
      <c r="BT574" t="str">
        <f>HYPERLINK("https%3A%2F%2Fwww.webofscience.com%2Fwos%2Fwoscc%2Ffull-record%2FWOS:001020005700001","View Full Record in Web of Science")</f>
        <v>View Full Record in Web of Science</v>
      </c>
    </row>
    <row r="575" spans="1:72" x14ac:dyDescent="0.15">
      <c r="A575" t="s">
        <v>72</v>
      </c>
      <c r="B575" t="s">
        <v>11266</v>
      </c>
      <c r="C575" t="s">
        <v>74</v>
      </c>
      <c r="D575" t="s">
        <v>74</v>
      </c>
      <c r="E575" t="s">
        <v>74</v>
      </c>
      <c r="F575" t="s">
        <v>11267</v>
      </c>
      <c r="G575" t="s">
        <v>74</v>
      </c>
      <c r="H575" t="s">
        <v>74</v>
      </c>
      <c r="I575" t="s">
        <v>11268</v>
      </c>
      <c r="J575" t="s">
        <v>8663</v>
      </c>
      <c r="K575" t="s">
        <v>74</v>
      </c>
      <c r="L575" t="s">
        <v>74</v>
      </c>
      <c r="M575" t="s">
        <v>78</v>
      </c>
      <c r="N575" t="s">
        <v>79</v>
      </c>
      <c r="O575" t="s">
        <v>74</v>
      </c>
      <c r="P575" t="s">
        <v>74</v>
      </c>
      <c r="Q575" t="s">
        <v>74</v>
      </c>
      <c r="R575" t="s">
        <v>74</v>
      </c>
      <c r="S575" t="s">
        <v>74</v>
      </c>
      <c r="T575" t="s">
        <v>74</v>
      </c>
      <c r="U575" t="s">
        <v>11269</v>
      </c>
      <c r="V575" t="s">
        <v>11270</v>
      </c>
      <c r="W575" t="s">
        <v>11271</v>
      </c>
      <c r="X575" t="s">
        <v>11272</v>
      </c>
      <c r="Y575" t="s">
        <v>11273</v>
      </c>
      <c r="Z575" t="s">
        <v>11274</v>
      </c>
      <c r="AA575" t="s">
        <v>74</v>
      </c>
      <c r="AB575" t="s">
        <v>11275</v>
      </c>
      <c r="AC575" t="s">
        <v>74</v>
      </c>
      <c r="AD575" t="s">
        <v>74</v>
      </c>
      <c r="AE575" t="s">
        <v>74</v>
      </c>
      <c r="AF575" t="s">
        <v>74</v>
      </c>
      <c r="AG575">
        <v>75</v>
      </c>
      <c r="AH575">
        <v>0</v>
      </c>
      <c r="AI575">
        <v>0</v>
      </c>
      <c r="AJ575">
        <v>1</v>
      </c>
      <c r="AK575">
        <v>2</v>
      </c>
      <c r="AL575" t="s">
        <v>1775</v>
      </c>
      <c r="AM575" t="s">
        <v>1776</v>
      </c>
      <c r="AN575" t="s">
        <v>1777</v>
      </c>
      <c r="AO575" t="s">
        <v>8675</v>
      </c>
      <c r="AP575" t="s">
        <v>8676</v>
      </c>
      <c r="AQ575" t="s">
        <v>74</v>
      </c>
      <c r="AR575" t="s">
        <v>8677</v>
      </c>
      <c r="AS575" t="s">
        <v>8678</v>
      </c>
      <c r="AT575" t="s">
        <v>11153</v>
      </c>
      <c r="AU575">
        <v>2023</v>
      </c>
      <c r="AV575">
        <v>19</v>
      </c>
      <c r="AW575">
        <v>3</v>
      </c>
      <c r="AX575" t="s">
        <v>74</v>
      </c>
      <c r="AY575" t="s">
        <v>74</v>
      </c>
      <c r="AZ575" t="s">
        <v>74</v>
      </c>
      <c r="BA575" t="s">
        <v>74</v>
      </c>
      <c r="BB575">
        <v>857</v>
      </c>
      <c r="BC575">
        <v>885</v>
      </c>
      <c r="BD575" t="s">
        <v>74</v>
      </c>
      <c r="BE575" t="s">
        <v>11276</v>
      </c>
      <c r="BF575" t="str">
        <f>HYPERLINK("http://dx.doi.org/10.5194/os-19-857-2023","http://dx.doi.org/10.5194/os-19-857-2023")</f>
        <v>http://dx.doi.org/10.5194/os-19-857-2023</v>
      </c>
      <c r="BG575" t="s">
        <v>74</v>
      </c>
      <c r="BH575" t="s">
        <v>74</v>
      </c>
      <c r="BI575">
        <v>29</v>
      </c>
      <c r="BJ575" t="s">
        <v>4321</v>
      </c>
      <c r="BK575" t="s">
        <v>104</v>
      </c>
      <c r="BL575" t="s">
        <v>4321</v>
      </c>
      <c r="BM575" t="s">
        <v>11277</v>
      </c>
      <c r="BN575" t="s">
        <v>74</v>
      </c>
      <c r="BO575" t="s">
        <v>2589</v>
      </c>
      <c r="BP575" t="s">
        <v>74</v>
      </c>
      <c r="BQ575" t="s">
        <v>74</v>
      </c>
      <c r="BR575" t="s">
        <v>107</v>
      </c>
      <c r="BS575" t="s">
        <v>11278</v>
      </c>
      <c r="BT575" t="str">
        <f>HYPERLINK("https%3A%2F%2Fwww.webofscience.com%2Fwos%2Fwoscc%2Ffull-record%2FWOS:001010353600001","View Full Record in Web of Science")</f>
        <v>View Full Record in Web of Science</v>
      </c>
    </row>
    <row r="576" spans="1:72" x14ac:dyDescent="0.15">
      <c r="A576" t="s">
        <v>72</v>
      </c>
      <c r="B576" t="s">
        <v>11279</v>
      </c>
      <c r="C576" t="s">
        <v>74</v>
      </c>
      <c r="D576" t="s">
        <v>74</v>
      </c>
      <c r="E576" t="s">
        <v>74</v>
      </c>
      <c r="F576" t="s">
        <v>11280</v>
      </c>
      <c r="G576" t="s">
        <v>74</v>
      </c>
      <c r="H576" t="s">
        <v>74</v>
      </c>
      <c r="I576" t="s">
        <v>11281</v>
      </c>
      <c r="J576" t="s">
        <v>3756</v>
      </c>
      <c r="K576" t="s">
        <v>74</v>
      </c>
      <c r="L576" t="s">
        <v>74</v>
      </c>
      <c r="M576" t="s">
        <v>78</v>
      </c>
      <c r="N576" t="s">
        <v>79</v>
      </c>
      <c r="O576" t="s">
        <v>74</v>
      </c>
      <c r="P576" t="s">
        <v>74</v>
      </c>
      <c r="Q576" t="s">
        <v>74</v>
      </c>
      <c r="R576" t="s">
        <v>74</v>
      </c>
      <c r="S576" t="s">
        <v>74</v>
      </c>
      <c r="T576" t="s">
        <v>11282</v>
      </c>
      <c r="U576" t="s">
        <v>11283</v>
      </c>
      <c r="V576" t="s">
        <v>11284</v>
      </c>
      <c r="W576" t="s">
        <v>11285</v>
      </c>
      <c r="X576" t="s">
        <v>11286</v>
      </c>
      <c r="Y576" t="s">
        <v>11287</v>
      </c>
      <c r="Z576" t="s">
        <v>11288</v>
      </c>
      <c r="AA576" t="s">
        <v>11289</v>
      </c>
      <c r="AB576" t="s">
        <v>11290</v>
      </c>
      <c r="AC576" t="s">
        <v>11291</v>
      </c>
      <c r="AD576" t="s">
        <v>11292</v>
      </c>
      <c r="AE576" t="s">
        <v>11293</v>
      </c>
      <c r="AF576" t="s">
        <v>74</v>
      </c>
      <c r="AG576">
        <v>75</v>
      </c>
      <c r="AH576">
        <v>2</v>
      </c>
      <c r="AI576">
        <v>2</v>
      </c>
      <c r="AJ576">
        <v>2</v>
      </c>
      <c r="AK576">
        <v>6</v>
      </c>
      <c r="AL576" t="s">
        <v>298</v>
      </c>
      <c r="AM576" t="s">
        <v>299</v>
      </c>
      <c r="AN576" t="s">
        <v>300</v>
      </c>
      <c r="AO576" t="s">
        <v>3767</v>
      </c>
      <c r="AP576" t="s">
        <v>3768</v>
      </c>
      <c r="AQ576" t="s">
        <v>74</v>
      </c>
      <c r="AR576" t="s">
        <v>3769</v>
      </c>
      <c r="AS576" t="s">
        <v>3770</v>
      </c>
      <c r="AT576" t="s">
        <v>4689</v>
      </c>
      <c r="AU576">
        <v>2023</v>
      </c>
      <c r="AV576">
        <v>46</v>
      </c>
      <c r="AW576">
        <v>8</v>
      </c>
      <c r="AX576" t="s">
        <v>74</v>
      </c>
      <c r="AY576" t="s">
        <v>74</v>
      </c>
      <c r="AZ576" t="s">
        <v>74</v>
      </c>
      <c r="BA576" t="s">
        <v>74</v>
      </c>
      <c r="BB576">
        <v>773</v>
      </c>
      <c r="BC576">
        <v>782</v>
      </c>
      <c r="BD576" t="s">
        <v>74</v>
      </c>
      <c r="BE576" t="s">
        <v>11294</v>
      </c>
      <c r="BF576" t="str">
        <f>HYPERLINK("http://dx.doi.org/10.1007/s00300-023-03165-1","http://dx.doi.org/10.1007/s00300-023-03165-1")</f>
        <v>http://dx.doi.org/10.1007/s00300-023-03165-1</v>
      </c>
      <c r="BG576" t="s">
        <v>74</v>
      </c>
      <c r="BH576" t="s">
        <v>10102</v>
      </c>
      <c r="BI576">
        <v>10</v>
      </c>
      <c r="BJ576" t="s">
        <v>3772</v>
      </c>
      <c r="BK576" t="s">
        <v>104</v>
      </c>
      <c r="BL576" t="s">
        <v>1905</v>
      </c>
      <c r="BM576" t="s">
        <v>11295</v>
      </c>
      <c r="BN576" t="s">
        <v>74</v>
      </c>
      <c r="BO576" t="s">
        <v>74</v>
      </c>
      <c r="BP576" t="s">
        <v>74</v>
      </c>
      <c r="BQ576" t="s">
        <v>74</v>
      </c>
      <c r="BR576" t="s">
        <v>107</v>
      </c>
      <c r="BS576" t="s">
        <v>11296</v>
      </c>
      <c r="BT576" t="str">
        <f>HYPERLINK("https%3A%2F%2Fwww.webofscience.com%2Fwos%2Fwoscc%2Ffull-record%2FWOS:001014456800002","View Full Record in Web of Science")</f>
        <v>View Full Record in Web of Science</v>
      </c>
    </row>
    <row r="577" spans="1:72" x14ac:dyDescent="0.15">
      <c r="A577" t="s">
        <v>72</v>
      </c>
      <c r="B577" t="s">
        <v>11297</v>
      </c>
      <c r="C577" t="s">
        <v>74</v>
      </c>
      <c r="D577" t="s">
        <v>74</v>
      </c>
      <c r="E577" t="s">
        <v>74</v>
      </c>
      <c r="F577" t="s">
        <v>11298</v>
      </c>
      <c r="G577" t="s">
        <v>74</v>
      </c>
      <c r="H577" t="s">
        <v>74</v>
      </c>
      <c r="I577" t="s">
        <v>11299</v>
      </c>
      <c r="J577" t="s">
        <v>11300</v>
      </c>
      <c r="K577" t="s">
        <v>74</v>
      </c>
      <c r="L577" t="s">
        <v>74</v>
      </c>
      <c r="M577" t="s">
        <v>78</v>
      </c>
      <c r="N577" t="s">
        <v>79</v>
      </c>
      <c r="O577" t="s">
        <v>74</v>
      </c>
      <c r="P577" t="s">
        <v>74</v>
      </c>
      <c r="Q577" t="s">
        <v>74</v>
      </c>
      <c r="R577" t="s">
        <v>74</v>
      </c>
      <c r="S577" t="s">
        <v>74</v>
      </c>
      <c r="T577" t="s">
        <v>74</v>
      </c>
      <c r="U577" t="s">
        <v>11301</v>
      </c>
      <c r="V577" t="s">
        <v>11302</v>
      </c>
      <c r="W577" t="s">
        <v>11303</v>
      </c>
      <c r="X577" t="s">
        <v>11304</v>
      </c>
      <c r="Y577" t="s">
        <v>11305</v>
      </c>
      <c r="Z577" t="s">
        <v>11306</v>
      </c>
      <c r="AA577" t="s">
        <v>11307</v>
      </c>
      <c r="AB577" t="s">
        <v>11308</v>
      </c>
      <c r="AC577" t="s">
        <v>74</v>
      </c>
      <c r="AD577" t="s">
        <v>74</v>
      </c>
      <c r="AE577" t="s">
        <v>74</v>
      </c>
      <c r="AF577" t="s">
        <v>74</v>
      </c>
      <c r="AG577">
        <v>49</v>
      </c>
      <c r="AH577">
        <v>2</v>
      </c>
      <c r="AI577">
        <v>2</v>
      </c>
      <c r="AJ577">
        <v>1</v>
      </c>
      <c r="AK577">
        <v>5</v>
      </c>
      <c r="AL577" t="s">
        <v>2987</v>
      </c>
      <c r="AM577" t="s">
        <v>1804</v>
      </c>
      <c r="AN577" t="s">
        <v>2988</v>
      </c>
      <c r="AO577" t="s">
        <v>74</v>
      </c>
      <c r="AP577" t="s">
        <v>11309</v>
      </c>
      <c r="AQ577" t="s">
        <v>74</v>
      </c>
      <c r="AR577" t="s">
        <v>11310</v>
      </c>
      <c r="AS577" t="s">
        <v>11311</v>
      </c>
      <c r="AT577" t="s">
        <v>11153</v>
      </c>
      <c r="AU577">
        <v>2023</v>
      </c>
      <c r="AV577">
        <v>13</v>
      </c>
      <c r="AW577">
        <v>28</v>
      </c>
      <c r="AX577" t="s">
        <v>74</v>
      </c>
      <c r="AY577" t="s">
        <v>74</v>
      </c>
      <c r="AZ577" t="s">
        <v>74</v>
      </c>
      <c r="BA577" t="s">
        <v>74</v>
      </c>
      <c r="BB577">
        <v>19276</v>
      </c>
      <c r="BC577">
        <v>19285</v>
      </c>
      <c r="BD577" t="s">
        <v>74</v>
      </c>
      <c r="BE577" t="s">
        <v>11312</v>
      </c>
      <c r="BF577" t="str">
        <f>HYPERLINK("http://dx.doi.org/10.1039/d3ra02536e","http://dx.doi.org/10.1039/d3ra02536e")</f>
        <v>http://dx.doi.org/10.1039/d3ra02536e</v>
      </c>
      <c r="BG577" t="s">
        <v>74</v>
      </c>
      <c r="BH577" t="s">
        <v>74</v>
      </c>
      <c r="BI577">
        <v>10</v>
      </c>
      <c r="BJ577" t="s">
        <v>11313</v>
      </c>
      <c r="BK577" t="s">
        <v>104</v>
      </c>
      <c r="BL577" t="s">
        <v>4838</v>
      </c>
      <c r="BM577" t="s">
        <v>11314</v>
      </c>
      <c r="BN577">
        <v>37377865</v>
      </c>
      <c r="BO577" t="s">
        <v>181</v>
      </c>
      <c r="BP577" t="s">
        <v>74</v>
      </c>
      <c r="BQ577" t="s">
        <v>74</v>
      </c>
      <c r="BR577" t="s">
        <v>107</v>
      </c>
      <c r="BS577" t="s">
        <v>11315</v>
      </c>
      <c r="BT577" t="str">
        <f>HYPERLINK("https%3A%2F%2Fwww.webofscience.com%2Fwos%2Fwoscc%2Ffull-record%2FWOS:001016048500001","View Full Record in Web of Science")</f>
        <v>View Full Record in Web of Science</v>
      </c>
    </row>
    <row r="578" spans="1:72" x14ac:dyDescent="0.15">
      <c r="A578" t="s">
        <v>72</v>
      </c>
      <c r="B578" t="s">
        <v>11316</v>
      </c>
      <c r="C578" t="s">
        <v>74</v>
      </c>
      <c r="D578" t="s">
        <v>74</v>
      </c>
      <c r="E578" t="s">
        <v>74</v>
      </c>
      <c r="F578" t="s">
        <v>11317</v>
      </c>
      <c r="G578" t="s">
        <v>74</v>
      </c>
      <c r="H578" t="s">
        <v>74</v>
      </c>
      <c r="I578" t="s">
        <v>11318</v>
      </c>
      <c r="J578" t="s">
        <v>6252</v>
      </c>
      <c r="K578" t="s">
        <v>74</v>
      </c>
      <c r="L578" t="s">
        <v>74</v>
      </c>
      <c r="M578" t="s">
        <v>78</v>
      </c>
      <c r="N578" t="s">
        <v>79</v>
      </c>
      <c r="O578" t="s">
        <v>74</v>
      </c>
      <c r="P578" t="s">
        <v>74</v>
      </c>
      <c r="Q578" t="s">
        <v>74</v>
      </c>
      <c r="R578" t="s">
        <v>74</v>
      </c>
      <c r="S578" t="s">
        <v>74</v>
      </c>
      <c r="T578" t="s">
        <v>11319</v>
      </c>
      <c r="U578" t="s">
        <v>11320</v>
      </c>
      <c r="V578" t="s">
        <v>11321</v>
      </c>
      <c r="W578" t="s">
        <v>11322</v>
      </c>
      <c r="X578" t="s">
        <v>11323</v>
      </c>
      <c r="Y578" t="s">
        <v>11324</v>
      </c>
      <c r="Z578" t="s">
        <v>11325</v>
      </c>
      <c r="AA578" t="s">
        <v>11326</v>
      </c>
      <c r="AB578" t="s">
        <v>74</v>
      </c>
      <c r="AC578" t="s">
        <v>11327</v>
      </c>
      <c r="AD578" t="s">
        <v>11328</v>
      </c>
      <c r="AE578" t="s">
        <v>11329</v>
      </c>
      <c r="AF578" t="s">
        <v>74</v>
      </c>
      <c r="AG578">
        <v>88</v>
      </c>
      <c r="AH578">
        <v>1</v>
      </c>
      <c r="AI578">
        <v>1</v>
      </c>
      <c r="AJ578">
        <v>6</v>
      </c>
      <c r="AK578">
        <v>9</v>
      </c>
      <c r="AL578" t="s">
        <v>298</v>
      </c>
      <c r="AM578" t="s">
        <v>3791</v>
      </c>
      <c r="AN578" t="s">
        <v>3792</v>
      </c>
      <c r="AO578" t="s">
        <v>6265</v>
      </c>
      <c r="AP578" t="s">
        <v>6266</v>
      </c>
      <c r="AQ578" t="s">
        <v>74</v>
      </c>
      <c r="AR578" t="s">
        <v>6267</v>
      </c>
      <c r="AS578" t="s">
        <v>6268</v>
      </c>
      <c r="AT578" t="s">
        <v>97</v>
      </c>
      <c r="AU578">
        <v>2023</v>
      </c>
      <c r="AV578">
        <v>157</v>
      </c>
      <c r="AW578" t="s">
        <v>11330</v>
      </c>
      <c r="AX578" t="s">
        <v>74</v>
      </c>
      <c r="AY578" t="s">
        <v>74</v>
      </c>
      <c r="AZ578" t="s">
        <v>74</v>
      </c>
      <c r="BA578" t="s">
        <v>74</v>
      </c>
      <c r="BB578">
        <v>65</v>
      </c>
      <c r="BC578">
        <v>84</v>
      </c>
      <c r="BD578" t="s">
        <v>74</v>
      </c>
      <c r="BE578" t="s">
        <v>11331</v>
      </c>
      <c r="BF578" t="str">
        <f>HYPERLINK("http://dx.doi.org/10.1007/s11120-023-01032-y","http://dx.doi.org/10.1007/s11120-023-01032-y")</f>
        <v>http://dx.doi.org/10.1007/s11120-023-01032-y</v>
      </c>
      <c r="BG578" t="s">
        <v>74</v>
      </c>
      <c r="BH578" t="s">
        <v>10102</v>
      </c>
      <c r="BI578">
        <v>20</v>
      </c>
      <c r="BJ578" t="s">
        <v>375</v>
      </c>
      <c r="BK578" t="s">
        <v>104</v>
      </c>
      <c r="BL578" t="s">
        <v>375</v>
      </c>
      <c r="BM578" t="s">
        <v>11332</v>
      </c>
      <c r="BN578">
        <v>37347385</v>
      </c>
      <c r="BO578" t="s">
        <v>11333</v>
      </c>
      <c r="BP578" t="s">
        <v>74</v>
      </c>
      <c r="BQ578" t="s">
        <v>74</v>
      </c>
      <c r="BR578" t="s">
        <v>107</v>
      </c>
      <c r="BS578" t="s">
        <v>11334</v>
      </c>
      <c r="BT578" t="str">
        <f>HYPERLINK("https%3A%2F%2Fwww.webofscience.com%2Fwos%2Fwoscc%2Ffull-record%2FWOS:001014448700001","View Full Record in Web of Science")</f>
        <v>View Full Record in Web of Science</v>
      </c>
    </row>
    <row r="579" spans="1:72" x14ac:dyDescent="0.15">
      <c r="A579" t="s">
        <v>72</v>
      </c>
      <c r="B579" t="s">
        <v>11335</v>
      </c>
      <c r="C579" t="s">
        <v>74</v>
      </c>
      <c r="D579" t="s">
        <v>74</v>
      </c>
      <c r="E579" t="s">
        <v>74</v>
      </c>
      <c r="F579" t="s">
        <v>11336</v>
      </c>
      <c r="G579" t="s">
        <v>74</v>
      </c>
      <c r="H579" t="s">
        <v>74</v>
      </c>
      <c r="I579" t="s">
        <v>11337</v>
      </c>
      <c r="J579" t="s">
        <v>11338</v>
      </c>
      <c r="K579" t="s">
        <v>74</v>
      </c>
      <c r="L579" t="s">
        <v>74</v>
      </c>
      <c r="M579" t="s">
        <v>78</v>
      </c>
      <c r="N579" t="s">
        <v>1911</v>
      </c>
      <c r="O579" t="s">
        <v>74</v>
      </c>
      <c r="P579" t="s">
        <v>74</v>
      </c>
      <c r="Q579" t="s">
        <v>74</v>
      </c>
      <c r="R579" t="s">
        <v>74</v>
      </c>
      <c r="S579" t="s">
        <v>74</v>
      </c>
      <c r="T579" t="s">
        <v>11339</v>
      </c>
      <c r="U579" t="s">
        <v>74</v>
      </c>
      <c r="V579" t="s">
        <v>11340</v>
      </c>
      <c r="W579" t="s">
        <v>11341</v>
      </c>
      <c r="X579" t="s">
        <v>11342</v>
      </c>
      <c r="Y579" t="s">
        <v>11343</v>
      </c>
      <c r="Z579" t="s">
        <v>11344</v>
      </c>
      <c r="AA579" t="s">
        <v>11345</v>
      </c>
      <c r="AB579" t="s">
        <v>11346</v>
      </c>
      <c r="AC579" t="s">
        <v>11347</v>
      </c>
      <c r="AD579" t="s">
        <v>11348</v>
      </c>
      <c r="AE579" t="s">
        <v>74</v>
      </c>
      <c r="AF579" t="s">
        <v>74</v>
      </c>
      <c r="AG579">
        <v>31</v>
      </c>
      <c r="AH579">
        <v>2</v>
      </c>
      <c r="AI579">
        <v>2</v>
      </c>
      <c r="AJ579">
        <v>1</v>
      </c>
      <c r="AK579">
        <v>3</v>
      </c>
      <c r="AL579" t="s">
        <v>298</v>
      </c>
      <c r="AM579" t="s">
        <v>299</v>
      </c>
      <c r="AN579" t="s">
        <v>300</v>
      </c>
      <c r="AO579" t="s">
        <v>11349</v>
      </c>
      <c r="AP579" t="s">
        <v>11350</v>
      </c>
      <c r="AQ579" t="s">
        <v>74</v>
      </c>
      <c r="AR579" t="s">
        <v>11351</v>
      </c>
      <c r="AS579" t="s">
        <v>11352</v>
      </c>
      <c r="AT579" t="s">
        <v>11215</v>
      </c>
      <c r="AU579">
        <v>2023</v>
      </c>
      <c r="AV579" t="s">
        <v>74</v>
      </c>
      <c r="AW579" t="s">
        <v>74</v>
      </c>
      <c r="AX579" t="s">
        <v>74</v>
      </c>
      <c r="AY579" t="s">
        <v>74</v>
      </c>
      <c r="AZ579" t="s">
        <v>74</v>
      </c>
      <c r="BA579" t="s">
        <v>74</v>
      </c>
      <c r="BB579" t="s">
        <v>74</v>
      </c>
      <c r="BC579" t="s">
        <v>74</v>
      </c>
      <c r="BD579" t="s">
        <v>74</v>
      </c>
      <c r="BE579" t="s">
        <v>11353</v>
      </c>
      <c r="BF579" t="str">
        <f>HYPERLINK("http://dx.doi.org/10.1007/s00362-023-01458-5","http://dx.doi.org/10.1007/s00362-023-01458-5")</f>
        <v>http://dx.doi.org/10.1007/s00362-023-01458-5</v>
      </c>
      <c r="BG579" t="s">
        <v>74</v>
      </c>
      <c r="BH579" t="s">
        <v>10102</v>
      </c>
      <c r="BI579">
        <v>31</v>
      </c>
      <c r="BJ579" t="s">
        <v>11354</v>
      </c>
      <c r="BK579" t="s">
        <v>104</v>
      </c>
      <c r="BL579" t="s">
        <v>3820</v>
      </c>
      <c r="BM579" t="s">
        <v>11355</v>
      </c>
      <c r="BN579" t="s">
        <v>74</v>
      </c>
      <c r="BO579" t="s">
        <v>10419</v>
      </c>
      <c r="BP579" t="s">
        <v>74</v>
      </c>
      <c r="BQ579" t="s">
        <v>74</v>
      </c>
      <c r="BR579" t="s">
        <v>107</v>
      </c>
      <c r="BS579" t="s">
        <v>11356</v>
      </c>
      <c r="BT579" t="str">
        <f>HYPERLINK("https%3A%2F%2Fwww.webofscience.com%2Fwos%2Fwoscc%2Ffull-record%2FWOS:001014463600001","View Full Record in Web of Science")</f>
        <v>View Full Record in Web of Science</v>
      </c>
    </row>
    <row r="580" spans="1:72" x14ac:dyDescent="0.15">
      <c r="A580" t="s">
        <v>72</v>
      </c>
      <c r="B580" t="s">
        <v>11357</v>
      </c>
      <c r="C580" t="s">
        <v>74</v>
      </c>
      <c r="D580" t="s">
        <v>74</v>
      </c>
      <c r="E580" t="s">
        <v>74</v>
      </c>
      <c r="F580" t="s">
        <v>11358</v>
      </c>
      <c r="G580" t="s">
        <v>74</v>
      </c>
      <c r="H580" t="s">
        <v>74</v>
      </c>
      <c r="I580" t="s">
        <v>11359</v>
      </c>
      <c r="J580" t="s">
        <v>6819</v>
      </c>
      <c r="K580" t="s">
        <v>74</v>
      </c>
      <c r="L580" t="s">
        <v>74</v>
      </c>
      <c r="M580" t="s">
        <v>78</v>
      </c>
      <c r="N580" t="s">
        <v>79</v>
      </c>
      <c r="O580" t="s">
        <v>74</v>
      </c>
      <c r="P580" t="s">
        <v>74</v>
      </c>
      <c r="Q580" t="s">
        <v>74</v>
      </c>
      <c r="R580" t="s">
        <v>74</v>
      </c>
      <c r="S580" t="s">
        <v>74</v>
      </c>
      <c r="T580" t="s">
        <v>11360</v>
      </c>
      <c r="U580" t="s">
        <v>11361</v>
      </c>
      <c r="V580" t="s">
        <v>11362</v>
      </c>
      <c r="W580" t="s">
        <v>11363</v>
      </c>
      <c r="X580" t="s">
        <v>11364</v>
      </c>
      <c r="Y580" t="s">
        <v>11365</v>
      </c>
      <c r="Z580" t="s">
        <v>11366</v>
      </c>
      <c r="AA580" t="s">
        <v>11367</v>
      </c>
      <c r="AB580" t="s">
        <v>11368</v>
      </c>
      <c r="AC580" t="s">
        <v>11369</v>
      </c>
      <c r="AD580" t="s">
        <v>11370</v>
      </c>
      <c r="AE580" t="s">
        <v>11371</v>
      </c>
      <c r="AF580" t="s">
        <v>74</v>
      </c>
      <c r="AG580">
        <v>58</v>
      </c>
      <c r="AH580">
        <v>0</v>
      </c>
      <c r="AI580">
        <v>0</v>
      </c>
      <c r="AJ580">
        <v>3</v>
      </c>
      <c r="AK580">
        <v>4</v>
      </c>
      <c r="AL580" t="s">
        <v>460</v>
      </c>
      <c r="AM580" t="s">
        <v>461</v>
      </c>
      <c r="AN580" t="s">
        <v>6832</v>
      </c>
      <c r="AO580" t="s">
        <v>74</v>
      </c>
      <c r="AP580" t="s">
        <v>6833</v>
      </c>
      <c r="AQ580" t="s">
        <v>74</v>
      </c>
      <c r="AR580" t="s">
        <v>6834</v>
      </c>
      <c r="AS580" t="s">
        <v>6835</v>
      </c>
      <c r="AT580" t="s">
        <v>1394</v>
      </c>
      <c r="AU580">
        <v>2023</v>
      </c>
      <c r="AV580">
        <v>9</v>
      </c>
      <c r="AW580">
        <v>6</v>
      </c>
      <c r="AX580" t="s">
        <v>74</v>
      </c>
      <c r="AY580" t="s">
        <v>74</v>
      </c>
      <c r="AZ580" t="s">
        <v>74</v>
      </c>
      <c r="BA580" t="s">
        <v>74</v>
      </c>
      <c r="BB580">
        <v>829</v>
      </c>
      <c r="BC580">
        <v>840</v>
      </c>
      <c r="BD580" t="s">
        <v>74</v>
      </c>
      <c r="BE580" t="s">
        <v>11372</v>
      </c>
      <c r="BF580" t="str">
        <f>HYPERLINK("http://dx.doi.org/10.1002/rse2.352","http://dx.doi.org/10.1002/rse2.352")</f>
        <v>http://dx.doi.org/10.1002/rse2.352</v>
      </c>
      <c r="BG580" t="s">
        <v>74</v>
      </c>
      <c r="BH580" t="s">
        <v>10102</v>
      </c>
      <c r="BI580">
        <v>12</v>
      </c>
      <c r="BJ580" t="s">
        <v>6837</v>
      </c>
      <c r="BK580" t="s">
        <v>104</v>
      </c>
      <c r="BL580" t="s">
        <v>6838</v>
      </c>
      <c r="BM580" t="s">
        <v>11373</v>
      </c>
      <c r="BN580" t="s">
        <v>74</v>
      </c>
      <c r="BO580" t="s">
        <v>4045</v>
      </c>
      <c r="BP580" t="s">
        <v>74</v>
      </c>
      <c r="BQ580" t="s">
        <v>74</v>
      </c>
      <c r="BR580" t="s">
        <v>107</v>
      </c>
      <c r="BS580" t="s">
        <v>11374</v>
      </c>
      <c r="BT580" t="str">
        <f>HYPERLINK("https%3A%2F%2Fwww.webofscience.com%2Fwos%2Fwoscc%2Ffull-record%2FWOS:001013988400001","View Full Record in Web of Science")</f>
        <v>View Full Record in Web of Science</v>
      </c>
    </row>
    <row r="581" spans="1:72" x14ac:dyDescent="0.15">
      <c r="A581" t="s">
        <v>72</v>
      </c>
      <c r="B581" t="s">
        <v>11375</v>
      </c>
      <c r="C581" t="s">
        <v>74</v>
      </c>
      <c r="D581" t="s">
        <v>74</v>
      </c>
      <c r="E581" t="s">
        <v>74</v>
      </c>
      <c r="F581" t="s">
        <v>11376</v>
      </c>
      <c r="G581" t="s">
        <v>74</v>
      </c>
      <c r="H581" t="s">
        <v>74</v>
      </c>
      <c r="I581" t="s">
        <v>11377</v>
      </c>
      <c r="J581" t="s">
        <v>8663</v>
      </c>
      <c r="K581" t="s">
        <v>74</v>
      </c>
      <c r="L581" t="s">
        <v>74</v>
      </c>
      <c r="M581" t="s">
        <v>78</v>
      </c>
      <c r="N581" t="s">
        <v>79</v>
      </c>
      <c r="O581" t="s">
        <v>74</v>
      </c>
      <c r="P581" t="s">
        <v>74</v>
      </c>
      <c r="Q581" t="s">
        <v>74</v>
      </c>
      <c r="R581" t="s">
        <v>74</v>
      </c>
      <c r="S581" t="s">
        <v>74</v>
      </c>
      <c r="T581" t="s">
        <v>74</v>
      </c>
      <c r="U581" t="s">
        <v>11378</v>
      </c>
      <c r="V581" t="s">
        <v>11379</v>
      </c>
      <c r="W581" t="s">
        <v>11380</v>
      </c>
      <c r="X581" t="s">
        <v>11381</v>
      </c>
      <c r="Y581" t="s">
        <v>11382</v>
      </c>
      <c r="Z581" t="s">
        <v>11383</v>
      </c>
      <c r="AA581" t="s">
        <v>11384</v>
      </c>
      <c r="AB581" t="s">
        <v>11385</v>
      </c>
      <c r="AC581" t="s">
        <v>11386</v>
      </c>
      <c r="AD581" t="s">
        <v>11387</v>
      </c>
      <c r="AE581" t="s">
        <v>11388</v>
      </c>
      <c r="AF581" t="s">
        <v>74</v>
      </c>
      <c r="AG581">
        <v>49</v>
      </c>
      <c r="AH581">
        <v>2</v>
      </c>
      <c r="AI581">
        <v>2</v>
      </c>
      <c r="AJ581">
        <v>4</v>
      </c>
      <c r="AK581">
        <v>6</v>
      </c>
      <c r="AL581" t="s">
        <v>1775</v>
      </c>
      <c r="AM581" t="s">
        <v>1776</v>
      </c>
      <c r="AN581" t="s">
        <v>1777</v>
      </c>
      <c r="AO581" t="s">
        <v>8675</v>
      </c>
      <c r="AP581" t="s">
        <v>8676</v>
      </c>
      <c r="AQ581" t="s">
        <v>74</v>
      </c>
      <c r="AR581" t="s">
        <v>8677</v>
      </c>
      <c r="AS581" t="s">
        <v>8678</v>
      </c>
      <c r="AT581" t="s">
        <v>11153</v>
      </c>
      <c r="AU581">
        <v>2023</v>
      </c>
      <c r="AV581">
        <v>19</v>
      </c>
      <c r="AW581">
        <v>3</v>
      </c>
      <c r="AX581" t="s">
        <v>74</v>
      </c>
      <c r="AY581" t="s">
        <v>74</v>
      </c>
      <c r="AZ581" t="s">
        <v>74</v>
      </c>
      <c r="BA581" t="s">
        <v>74</v>
      </c>
      <c r="BB581">
        <v>887</v>
      </c>
      <c r="BC581">
        <v>901</v>
      </c>
      <c r="BD581" t="s">
        <v>74</v>
      </c>
      <c r="BE581" t="s">
        <v>11389</v>
      </c>
      <c r="BF581" t="str">
        <f>HYPERLINK("http://dx.doi.org/10.5194/os-19-887-2023","http://dx.doi.org/10.5194/os-19-887-2023")</f>
        <v>http://dx.doi.org/10.5194/os-19-887-2023</v>
      </c>
      <c r="BG581" t="s">
        <v>74</v>
      </c>
      <c r="BH581" t="s">
        <v>74</v>
      </c>
      <c r="BI581">
        <v>15</v>
      </c>
      <c r="BJ581" t="s">
        <v>4321</v>
      </c>
      <c r="BK581" t="s">
        <v>104</v>
      </c>
      <c r="BL581" t="s">
        <v>4321</v>
      </c>
      <c r="BM581" t="s">
        <v>11390</v>
      </c>
      <c r="BN581" t="s">
        <v>74</v>
      </c>
      <c r="BO581" t="s">
        <v>771</v>
      </c>
      <c r="BP581" t="s">
        <v>74</v>
      </c>
      <c r="BQ581" t="s">
        <v>74</v>
      </c>
      <c r="BR581" t="s">
        <v>107</v>
      </c>
      <c r="BS581" t="s">
        <v>11391</v>
      </c>
      <c r="BT581" t="str">
        <f>HYPERLINK("https%3A%2F%2Fwww.webofscience.com%2Fwos%2Fwoscc%2Ffull-record%2FWOS:001010341300001","View Full Record in Web of Science")</f>
        <v>View Full Record in Web of Science</v>
      </c>
    </row>
    <row r="582" spans="1:72" x14ac:dyDescent="0.15">
      <c r="A582" t="s">
        <v>72</v>
      </c>
      <c r="B582" t="s">
        <v>11392</v>
      </c>
      <c r="C582" t="s">
        <v>74</v>
      </c>
      <c r="D582" t="s">
        <v>74</v>
      </c>
      <c r="E582" t="s">
        <v>74</v>
      </c>
      <c r="F582" t="s">
        <v>11393</v>
      </c>
      <c r="G582" t="s">
        <v>74</v>
      </c>
      <c r="H582" t="s">
        <v>74</v>
      </c>
      <c r="I582" t="s">
        <v>11394</v>
      </c>
      <c r="J582" t="s">
        <v>8168</v>
      </c>
      <c r="K582" t="s">
        <v>74</v>
      </c>
      <c r="L582" t="s">
        <v>74</v>
      </c>
      <c r="M582" t="s">
        <v>78</v>
      </c>
      <c r="N582" t="s">
        <v>79</v>
      </c>
      <c r="O582" t="s">
        <v>74</v>
      </c>
      <c r="P582" t="s">
        <v>74</v>
      </c>
      <c r="Q582" t="s">
        <v>74</v>
      </c>
      <c r="R582" t="s">
        <v>74</v>
      </c>
      <c r="S582" t="s">
        <v>74</v>
      </c>
      <c r="T582" t="s">
        <v>11395</v>
      </c>
      <c r="U582" t="s">
        <v>11396</v>
      </c>
      <c r="V582" t="s">
        <v>11397</v>
      </c>
      <c r="W582" t="s">
        <v>11398</v>
      </c>
      <c r="X582" t="s">
        <v>11399</v>
      </c>
      <c r="Y582" t="s">
        <v>11400</v>
      </c>
      <c r="Z582" t="s">
        <v>11401</v>
      </c>
      <c r="AA582" t="s">
        <v>74</v>
      </c>
      <c r="AB582" t="s">
        <v>11402</v>
      </c>
      <c r="AC582" t="s">
        <v>11403</v>
      </c>
      <c r="AD582" t="s">
        <v>11404</v>
      </c>
      <c r="AE582" t="s">
        <v>11405</v>
      </c>
      <c r="AF582" t="s">
        <v>74</v>
      </c>
      <c r="AG582">
        <v>91</v>
      </c>
      <c r="AH582">
        <v>1</v>
      </c>
      <c r="AI582">
        <v>1</v>
      </c>
      <c r="AJ582">
        <v>2</v>
      </c>
      <c r="AK582">
        <v>5</v>
      </c>
      <c r="AL582" t="s">
        <v>2305</v>
      </c>
      <c r="AM582" t="s">
        <v>538</v>
      </c>
      <c r="AN582" t="s">
        <v>2306</v>
      </c>
      <c r="AO582" t="s">
        <v>8181</v>
      </c>
      <c r="AP582" t="s">
        <v>8182</v>
      </c>
      <c r="AQ582" t="s">
        <v>74</v>
      </c>
      <c r="AR582" t="s">
        <v>8183</v>
      </c>
      <c r="AS582" t="s">
        <v>8184</v>
      </c>
      <c r="AT582" t="s">
        <v>4689</v>
      </c>
      <c r="AU582">
        <v>2023</v>
      </c>
      <c r="AV582">
        <v>128</v>
      </c>
      <c r="AW582" t="s">
        <v>74</v>
      </c>
      <c r="AX582" t="s">
        <v>74</v>
      </c>
      <c r="AY582" t="s">
        <v>74</v>
      </c>
      <c r="AZ582" t="s">
        <v>74</v>
      </c>
      <c r="BA582" t="s">
        <v>74</v>
      </c>
      <c r="BB582" t="s">
        <v>74</v>
      </c>
      <c r="BC582" t="s">
        <v>74</v>
      </c>
      <c r="BD582">
        <v>104455</v>
      </c>
      <c r="BE582" t="s">
        <v>11406</v>
      </c>
      <c r="BF582" t="str">
        <f>HYPERLINK("http://dx.doi.org/10.1016/j.jsames.2023.104455","http://dx.doi.org/10.1016/j.jsames.2023.104455")</f>
        <v>http://dx.doi.org/10.1016/j.jsames.2023.104455</v>
      </c>
      <c r="BG582" t="s">
        <v>74</v>
      </c>
      <c r="BH582" t="s">
        <v>10102</v>
      </c>
      <c r="BI582">
        <v>13</v>
      </c>
      <c r="BJ582" t="s">
        <v>155</v>
      </c>
      <c r="BK582" t="s">
        <v>104</v>
      </c>
      <c r="BL582" t="s">
        <v>156</v>
      </c>
      <c r="BM582" t="s">
        <v>11407</v>
      </c>
      <c r="BN582" t="s">
        <v>74</v>
      </c>
      <c r="BO582" t="s">
        <v>74</v>
      </c>
      <c r="BP582" t="s">
        <v>74</v>
      </c>
      <c r="BQ582" t="s">
        <v>74</v>
      </c>
      <c r="BR582" t="s">
        <v>107</v>
      </c>
      <c r="BS582" t="s">
        <v>11408</v>
      </c>
      <c r="BT582" t="str">
        <f>HYPERLINK("https%3A%2F%2Fwww.webofscience.com%2Fwos%2Fwoscc%2Ffull-record%2FWOS:001041187400001","View Full Record in Web of Science")</f>
        <v>View Full Record in Web of Science</v>
      </c>
    </row>
    <row r="583" spans="1:72" x14ac:dyDescent="0.15">
      <c r="A583" t="s">
        <v>72</v>
      </c>
      <c r="B583" t="s">
        <v>11409</v>
      </c>
      <c r="C583" t="s">
        <v>74</v>
      </c>
      <c r="D583" t="s">
        <v>74</v>
      </c>
      <c r="E583" t="s">
        <v>74</v>
      </c>
      <c r="F583" t="s">
        <v>11410</v>
      </c>
      <c r="G583" t="s">
        <v>74</v>
      </c>
      <c r="H583" t="s">
        <v>74</v>
      </c>
      <c r="I583" t="s">
        <v>11411</v>
      </c>
      <c r="J583" t="s">
        <v>3154</v>
      </c>
      <c r="K583" t="s">
        <v>74</v>
      </c>
      <c r="L583" t="s">
        <v>74</v>
      </c>
      <c r="M583" t="s">
        <v>78</v>
      </c>
      <c r="N583" t="s">
        <v>79</v>
      </c>
      <c r="O583" t="s">
        <v>74</v>
      </c>
      <c r="P583" t="s">
        <v>74</v>
      </c>
      <c r="Q583" t="s">
        <v>74</v>
      </c>
      <c r="R583" t="s">
        <v>74</v>
      </c>
      <c r="S583" t="s">
        <v>74</v>
      </c>
      <c r="T583" t="s">
        <v>11412</v>
      </c>
      <c r="U583" t="s">
        <v>11413</v>
      </c>
      <c r="V583" t="s">
        <v>11414</v>
      </c>
      <c r="W583" t="s">
        <v>11415</v>
      </c>
      <c r="X583" t="s">
        <v>11416</v>
      </c>
      <c r="Y583" t="s">
        <v>11417</v>
      </c>
      <c r="Z583" t="s">
        <v>11418</v>
      </c>
      <c r="AA583" t="s">
        <v>11419</v>
      </c>
      <c r="AB583" t="s">
        <v>11420</v>
      </c>
      <c r="AC583" t="s">
        <v>11421</v>
      </c>
      <c r="AD583" t="s">
        <v>11422</v>
      </c>
      <c r="AE583" t="s">
        <v>11423</v>
      </c>
      <c r="AF583" t="s">
        <v>74</v>
      </c>
      <c r="AG583">
        <v>84</v>
      </c>
      <c r="AH583">
        <v>2</v>
      </c>
      <c r="AI583">
        <v>2</v>
      </c>
      <c r="AJ583">
        <v>2</v>
      </c>
      <c r="AK583">
        <v>2</v>
      </c>
      <c r="AL583" t="s">
        <v>2305</v>
      </c>
      <c r="AM583" t="s">
        <v>538</v>
      </c>
      <c r="AN583" t="s">
        <v>2306</v>
      </c>
      <c r="AO583" t="s">
        <v>3167</v>
      </c>
      <c r="AP583" t="s">
        <v>3168</v>
      </c>
      <c r="AQ583" t="s">
        <v>74</v>
      </c>
      <c r="AR583" t="s">
        <v>3169</v>
      </c>
      <c r="AS583" t="s">
        <v>3170</v>
      </c>
      <c r="AT583" t="s">
        <v>5725</v>
      </c>
      <c r="AU583">
        <v>2023</v>
      </c>
      <c r="AV583">
        <v>354</v>
      </c>
      <c r="AW583" t="s">
        <v>74</v>
      </c>
      <c r="AX583" t="s">
        <v>74</v>
      </c>
      <c r="AY583" t="s">
        <v>74</v>
      </c>
      <c r="AZ583" t="s">
        <v>74</v>
      </c>
      <c r="BA583" t="s">
        <v>74</v>
      </c>
      <c r="BB583">
        <v>88</v>
      </c>
      <c r="BC583">
        <v>108</v>
      </c>
      <c r="BD583" t="s">
        <v>74</v>
      </c>
      <c r="BE583" t="s">
        <v>11424</v>
      </c>
      <c r="BF583" t="str">
        <f>HYPERLINK("http://dx.doi.org/10.1016/j.gca.2023.06.002","http://dx.doi.org/10.1016/j.gca.2023.06.002")</f>
        <v>http://dx.doi.org/10.1016/j.gca.2023.06.002</v>
      </c>
      <c r="BG583" t="s">
        <v>74</v>
      </c>
      <c r="BH583" t="s">
        <v>10102</v>
      </c>
      <c r="BI583">
        <v>21</v>
      </c>
      <c r="BJ583" t="s">
        <v>597</v>
      </c>
      <c r="BK583" t="s">
        <v>104</v>
      </c>
      <c r="BL583" t="s">
        <v>597</v>
      </c>
      <c r="BM583" t="s">
        <v>11425</v>
      </c>
      <c r="BN583" t="s">
        <v>74</v>
      </c>
      <c r="BO583" t="s">
        <v>549</v>
      </c>
      <c r="BP583" t="s">
        <v>74</v>
      </c>
      <c r="BQ583" t="s">
        <v>74</v>
      </c>
      <c r="BR583" t="s">
        <v>107</v>
      </c>
      <c r="BS583" t="s">
        <v>11426</v>
      </c>
      <c r="BT583" t="str">
        <f>HYPERLINK("https%3A%2F%2Fwww.webofscience.com%2Fwos%2Fwoscc%2Ffull-record%2FWOS:001035152600001","View Full Record in Web of Science")</f>
        <v>View Full Record in Web of Science</v>
      </c>
    </row>
    <row r="584" spans="1:72" x14ac:dyDescent="0.15">
      <c r="A584" t="s">
        <v>72</v>
      </c>
      <c r="B584" t="s">
        <v>11427</v>
      </c>
      <c r="C584" t="s">
        <v>74</v>
      </c>
      <c r="D584" t="s">
        <v>74</v>
      </c>
      <c r="E584" t="s">
        <v>74</v>
      </c>
      <c r="F584" t="s">
        <v>11428</v>
      </c>
      <c r="G584" t="s">
        <v>74</v>
      </c>
      <c r="H584" t="s">
        <v>74</v>
      </c>
      <c r="I584" t="s">
        <v>11429</v>
      </c>
      <c r="J584" t="s">
        <v>2292</v>
      </c>
      <c r="K584" t="s">
        <v>74</v>
      </c>
      <c r="L584" t="s">
        <v>74</v>
      </c>
      <c r="M584" t="s">
        <v>78</v>
      </c>
      <c r="N584" t="s">
        <v>79</v>
      </c>
      <c r="O584" t="s">
        <v>74</v>
      </c>
      <c r="P584" t="s">
        <v>74</v>
      </c>
      <c r="Q584" t="s">
        <v>74</v>
      </c>
      <c r="R584" t="s">
        <v>74</v>
      </c>
      <c r="S584" t="s">
        <v>74</v>
      </c>
      <c r="T584" t="s">
        <v>11430</v>
      </c>
      <c r="U584" t="s">
        <v>11431</v>
      </c>
      <c r="V584" t="s">
        <v>11432</v>
      </c>
      <c r="W584" t="s">
        <v>11433</v>
      </c>
      <c r="X584" t="s">
        <v>11434</v>
      </c>
      <c r="Y584" t="s">
        <v>11435</v>
      </c>
      <c r="Z584" t="s">
        <v>11436</v>
      </c>
      <c r="AA584" t="s">
        <v>74</v>
      </c>
      <c r="AB584" t="s">
        <v>11437</v>
      </c>
      <c r="AC584" t="s">
        <v>279</v>
      </c>
      <c r="AD584" t="s">
        <v>280</v>
      </c>
      <c r="AE584" t="s">
        <v>11438</v>
      </c>
      <c r="AF584" t="s">
        <v>74</v>
      </c>
      <c r="AG584">
        <v>40</v>
      </c>
      <c r="AH584">
        <v>1</v>
      </c>
      <c r="AI584">
        <v>1</v>
      </c>
      <c r="AJ584">
        <v>11</v>
      </c>
      <c r="AK584">
        <v>15</v>
      </c>
      <c r="AL584" t="s">
        <v>2305</v>
      </c>
      <c r="AM584" t="s">
        <v>538</v>
      </c>
      <c r="AN584" t="s">
        <v>2306</v>
      </c>
      <c r="AO584" t="s">
        <v>2307</v>
      </c>
      <c r="AP584" t="s">
        <v>2308</v>
      </c>
      <c r="AQ584" t="s">
        <v>74</v>
      </c>
      <c r="AR584" t="s">
        <v>2309</v>
      </c>
      <c r="AS584" t="s">
        <v>2310</v>
      </c>
      <c r="AT584" t="s">
        <v>4689</v>
      </c>
      <c r="AU584">
        <v>2023</v>
      </c>
      <c r="AV584">
        <v>193</v>
      </c>
      <c r="AW584" t="s">
        <v>74</v>
      </c>
      <c r="AX584" t="s">
        <v>74</v>
      </c>
      <c r="AY584" t="s">
        <v>74</v>
      </c>
      <c r="AZ584" t="s">
        <v>74</v>
      </c>
      <c r="BA584" t="s">
        <v>74</v>
      </c>
      <c r="BB584" t="s">
        <v>74</v>
      </c>
      <c r="BC584" t="s">
        <v>74</v>
      </c>
      <c r="BD584">
        <v>115188</v>
      </c>
      <c r="BE584" t="s">
        <v>11439</v>
      </c>
      <c r="BF584" t="str">
        <f>HYPERLINK("http://dx.doi.org/10.1016/j.marpolbul.2023.115188","http://dx.doi.org/10.1016/j.marpolbul.2023.115188")</f>
        <v>http://dx.doi.org/10.1016/j.marpolbul.2023.115188</v>
      </c>
      <c r="BG584" t="s">
        <v>74</v>
      </c>
      <c r="BH584" t="s">
        <v>10102</v>
      </c>
      <c r="BI584">
        <v>6</v>
      </c>
      <c r="BJ584" t="s">
        <v>1001</v>
      </c>
      <c r="BK584" t="s">
        <v>104</v>
      </c>
      <c r="BL584" t="s">
        <v>1002</v>
      </c>
      <c r="BM584" t="s">
        <v>11440</v>
      </c>
      <c r="BN584">
        <v>37348279</v>
      </c>
      <c r="BO584" t="s">
        <v>74</v>
      </c>
      <c r="BP584" t="s">
        <v>74</v>
      </c>
      <c r="BQ584" t="s">
        <v>74</v>
      </c>
      <c r="BR584" t="s">
        <v>107</v>
      </c>
      <c r="BS584" t="s">
        <v>11441</v>
      </c>
      <c r="BT584" t="str">
        <f>HYPERLINK("https%3A%2F%2Fwww.webofscience.com%2Fwos%2Fwoscc%2Ffull-record%2FWOS:001034160400001","View Full Record in Web of Science")</f>
        <v>View Full Record in Web of Science</v>
      </c>
    </row>
    <row r="585" spans="1:72" x14ac:dyDescent="0.15">
      <c r="A585" t="s">
        <v>72</v>
      </c>
      <c r="B585" t="s">
        <v>11442</v>
      </c>
      <c r="C585" t="s">
        <v>74</v>
      </c>
      <c r="D585" t="s">
        <v>74</v>
      </c>
      <c r="E585" t="s">
        <v>74</v>
      </c>
      <c r="F585" t="s">
        <v>11443</v>
      </c>
      <c r="G585" t="s">
        <v>74</v>
      </c>
      <c r="H585" t="s">
        <v>74</v>
      </c>
      <c r="I585" t="s">
        <v>11444</v>
      </c>
      <c r="J585" t="s">
        <v>983</v>
      </c>
      <c r="K585" t="s">
        <v>74</v>
      </c>
      <c r="L585" t="s">
        <v>74</v>
      </c>
      <c r="M585" t="s">
        <v>78</v>
      </c>
      <c r="N585" t="s">
        <v>79</v>
      </c>
      <c r="O585" t="s">
        <v>74</v>
      </c>
      <c r="P585" t="s">
        <v>74</v>
      </c>
      <c r="Q585" t="s">
        <v>74</v>
      </c>
      <c r="R585" t="s">
        <v>74</v>
      </c>
      <c r="S585" t="s">
        <v>74</v>
      </c>
      <c r="T585" t="s">
        <v>11445</v>
      </c>
      <c r="U585" t="s">
        <v>11446</v>
      </c>
      <c r="V585" t="s">
        <v>11447</v>
      </c>
      <c r="W585" t="s">
        <v>11448</v>
      </c>
      <c r="X585" t="s">
        <v>11449</v>
      </c>
      <c r="Y585" t="s">
        <v>11450</v>
      </c>
      <c r="Z585" t="s">
        <v>11451</v>
      </c>
      <c r="AA585" t="s">
        <v>11452</v>
      </c>
      <c r="AB585" t="s">
        <v>11453</v>
      </c>
      <c r="AC585" t="s">
        <v>11454</v>
      </c>
      <c r="AD585" t="s">
        <v>11455</v>
      </c>
      <c r="AE585" t="s">
        <v>11456</v>
      </c>
      <c r="AF585" t="s">
        <v>74</v>
      </c>
      <c r="AG585">
        <v>52</v>
      </c>
      <c r="AH585">
        <v>0</v>
      </c>
      <c r="AI585">
        <v>0</v>
      </c>
      <c r="AJ585">
        <v>2</v>
      </c>
      <c r="AK585">
        <v>8</v>
      </c>
      <c r="AL585" t="s">
        <v>994</v>
      </c>
      <c r="AM585" t="s">
        <v>995</v>
      </c>
      <c r="AN585" t="s">
        <v>996</v>
      </c>
      <c r="AO585" t="s">
        <v>74</v>
      </c>
      <c r="AP585" t="s">
        <v>997</v>
      </c>
      <c r="AQ585" t="s">
        <v>74</v>
      </c>
      <c r="AR585" t="s">
        <v>998</v>
      </c>
      <c r="AS585" t="s">
        <v>999</v>
      </c>
      <c r="AT585" t="s">
        <v>11457</v>
      </c>
      <c r="AU585">
        <v>2023</v>
      </c>
      <c r="AV585">
        <v>10</v>
      </c>
      <c r="AW585" t="s">
        <v>74</v>
      </c>
      <c r="AX585" t="s">
        <v>74</v>
      </c>
      <c r="AY585" t="s">
        <v>74</v>
      </c>
      <c r="AZ585" t="s">
        <v>74</v>
      </c>
      <c r="BA585" t="s">
        <v>74</v>
      </c>
      <c r="BB585" t="s">
        <v>74</v>
      </c>
      <c r="BC585" t="s">
        <v>74</v>
      </c>
      <c r="BD585">
        <v>1150603</v>
      </c>
      <c r="BE585" t="s">
        <v>11458</v>
      </c>
      <c r="BF585" t="str">
        <f>HYPERLINK("http://dx.doi.org/10.3389/fmars.2023.1150603","http://dx.doi.org/10.3389/fmars.2023.1150603")</f>
        <v>http://dx.doi.org/10.3389/fmars.2023.1150603</v>
      </c>
      <c r="BG585" t="s">
        <v>74</v>
      </c>
      <c r="BH585" t="s">
        <v>74</v>
      </c>
      <c r="BI585">
        <v>13</v>
      </c>
      <c r="BJ585" t="s">
        <v>1001</v>
      </c>
      <c r="BK585" t="s">
        <v>104</v>
      </c>
      <c r="BL585" t="s">
        <v>1002</v>
      </c>
      <c r="BM585" t="s">
        <v>11459</v>
      </c>
      <c r="BN585" t="s">
        <v>74</v>
      </c>
      <c r="BO585" t="s">
        <v>2390</v>
      </c>
      <c r="BP585" t="s">
        <v>74</v>
      </c>
      <c r="BQ585" t="s">
        <v>74</v>
      </c>
      <c r="BR585" t="s">
        <v>107</v>
      </c>
      <c r="BS585" t="s">
        <v>11460</v>
      </c>
      <c r="BT585" t="str">
        <f>HYPERLINK("https%3A%2F%2Fwww.webofscience.com%2Fwos%2Fwoscc%2Ffull-record%2FWOS:001022931100001","View Full Record in Web of Science")</f>
        <v>View Full Record in Web of Science</v>
      </c>
    </row>
    <row r="586" spans="1:72" x14ac:dyDescent="0.15">
      <c r="A586" t="s">
        <v>72</v>
      </c>
      <c r="B586" t="s">
        <v>11461</v>
      </c>
      <c r="C586" t="s">
        <v>74</v>
      </c>
      <c r="D586" t="s">
        <v>74</v>
      </c>
      <c r="E586" t="s">
        <v>74</v>
      </c>
      <c r="F586" t="s">
        <v>11462</v>
      </c>
      <c r="G586" t="s">
        <v>74</v>
      </c>
      <c r="H586" t="s">
        <v>74</v>
      </c>
      <c r="I586" t="s">
        <v>11463</v>
      </c>
      <c r="J586" t="s">
        <v>8462</v>
      </c>
      <c r="K586" t="s">
        <v>74</v>
      </c>
      <c r="L586" t="s">
        <v>74</v>
      </c>
      <c r="M586" t="s">
        <v>78</v>
      </c>
      <c r="N586" t="s">
        <v>79</v>
      </c>
      <c r="O586" t="s">
        <v>74</v>
      </c>
      <c r="P586" t="s">
        <v>74</v>
      </c>
      <c r="Q586" t="s">
        <v>74</v>
      </c>
      <c r="R586" t="s">
        <v>74</v>
      </c>
      <c r="S586" t="s">
        <v>74</v>
      </c>
      <c r="T586" t="s">
        <v>11464</v>
      </c>
      <c r="U586" t="s">
        <v>11465</v>
      </c>
      <c r="V586" t="s">
        <v>11466</v>
      </c>
      <c r="W586" t="s">
        <v>11467</v>
      </c>
      <c r="X586" t="s">
        <v>11468</v>
      </c>
      <c r="Y586" t="s">
        <v>11469</v>
      </c>
      <c r="Z586" t="s">
        <v>11470</v>
      </c>
      <c r="AA586" t="s">
        <v>11471</v>
      </c>
      <c r="AB586" t="s">
        <v>11472</v>
      </c>
      <c r="AC586" t="s">
        <v>11473</v>
      </c>
      <c r="AD586" t="s">
        <v>11473</v>
      </c>
      <c r="AE586" t="s">
        <v>11474</v>
      </c>
      <c r="AF586" t="s">
        <v>74</v>
      </c>
      <c r="AG586">
        <v>92</v>
      </c>
      <c r="AH586">
        <v>0</v>
      </c>
      <c r="AI586">
        <v>0</v>
      </c>
      <c r="AJ586">
        <v>1</v>
      </c>
      <c r="AK586">
        <v>3</v>
      </c>
      <c r="AL586" t="s">
        <v>994</v>
      </c>
      <c r="AM586" t="s">
        <v>995</v>
      </c>
      <c r="AN586" t="s">
        <v>996</v>
      </c>
      <c r="AO586" t="s">
        <v>8472</v>
      </c>
      <c r="AP586" t="s">
        <v>74</v>
      </c>
      <c r="AQ586" t="s">
        <v>74</v>
      </c>
      <c r="AR586" t="s">
        <v>8473</v>
      </c>
      <c r="AS586" t="s">
        <v>8474</v>
      </c>
      <c r="AT586" t="s">
        <v>11457</v>
      </c>
      <c r="AU586">
        <v>2023</v>
      </c>
      <c r="AV586">
        <v>11</v>
      </c>
      <c r="AW586" t="s">
        <v>74</v>
      </c>
      <c r="AX586" t="s">
        <v>74</v>
      </c>
      <c r="AY586" t="s">
        <v>74</v>
      </c>
      <c r="AZ586" t="s">
        <v>74</v>
      </c>
      <c r="BA586" t="s">
        <v>74</v>
      </c>
      <c r="BB586" t="s">
        <v>74</v>
      </c>
      <c r="BC586" t="s">
        <v>74</v>
      </c>
      <c r="BD586">
        <v>1113357</v>
      </c>
      <c r="BE586" t="s">
        <v>11475</v>
      </c>
      <c r="BF586" t="str">
        <f>HYPERLINK("http://dx.doi.org/10.3389/fevo.2023.1113357","http://dx.doi.org/10.3389/fevo.2023.1113357")</f>
        <v>http://dx.doi.org/10.3389/fevo.2023.1113357</v>
      </c>
      <c r="BG586" t="s">
        <v>74</v>
      </c>
      <c r="BH586" t="s">
        <v>74</v>
      </c>
      <c r="BI586">
        <v>15</v>
      </c>
      <c r="BJ586" t="s">
        <v>1534</v>
      </c>
      <c r="BK586" t="s">
        <v>104</v>
      </c>
      <c r="BL586" t="s">
        <v>1535</v>
      </c>
      <c r="BM586" t="s">
        <v>11476</v>
      </c>
      <c r="BN586" t="s">
        <v>74</v>
      </c>
      <c r="BO586" t="s">
        <v>2390</v>
      </c>
      <c r="BP586" t="s">
        <v>74</v>
      </c>
      <c r="BQ586" t="s">
        <v>74</v>
      </c>
      <c r="BR586" t="s">
        <v>107</v>
      </c>
      <c r="BS586" t="s">
        <v>11477</v>
      </c>
      <c r="BT586" t="str">
        <f>HYPERLINK("https%3A%2F%2Fwww.webofscience.com%2Fwos%2Fwoscc%2Ffull-record%2FWOS:001022052700001","View Full Record in Web of Science")</f>
        <v>View Full Record in Web of Science</v>
      </c>
    </row>
    <row r="587" spans="1:72" x14ac:dyDescent="0.15">
      <c r="A587" t="s">
        <v>72</v>
      </c>
      <c r="B587" t="s">
        <v>11478</v>
      </c>
      <c r="C587" t="s">
        <v>74</v>
      </c>
      <c r="D587" t="s">
        <v>74</v>
      </c>
      <c r="E587" t="s">
        <v>74</v>
      </c>
      <c r="F587" t="s">
        <v>11479</v>
      </c>
      <c r="G587" t="s">
        <v>74</v>
      </c>
      <c r="H587" t="s">
        <v>74</v>
      </c>
      <c r="I587" t="s">
        <v>11480</v>
      </c>
      <c r="J587" t="s">
        <v>11481</v>
      </c>
      <c r="K587" t="s">
        <v>74</v>
      </c>
      <c r="L587" t="s">
        <v>74</v>
      </c>
      <c r="M587" t="s">
        <v>78</v>
      </c>
      <c r="N587" t="s">
        <v>79</v>
      </c>
      <c r="O587" t="s">
        <v>74</v>
      </c>
      <c r="P587" t="s">
        <v>74</v>
      </c>
      <c r="Q587" t="s">
        <v>74</v>
      </c>
      <c r="R587" t="s">
        <v>74</v>
      </c>
      <c r="S587" t="s">
        <v>74</v>
      </c>
      <c r="T587" t="s">
        <v>11482</v>
      </c>
      <c r="U587" t="s">
        <v>11483</v>
      </c>
      <c r="V587" t="s">
        <v>11484</v>
      </c>
      <c r="W587" t="s">
        <v>11485</v>
      </c>
      <c r="X587" t="s">
        <v>11486</v>
      </c>
      <c r="Y587" t="s">
        <v>11487</v>
      </c>
      <c r="Z587" t="s">
        <v>11488</v>
      </c>
      <c r="AA587" t="s">
        <v>11489</v>
      </c>
      <c r="AB587" t="s">
        <v>11490</v>
      </c>
      <c r="AC587" t="s">
        <v>11491</v>
      </c>
      <c r="AD587" t="s">
        <v>11492</v>
      </c>
      <c r="AE587" t="s">
        <v>11493</v>
      </c>
      <c r="AF587" t="s">
        <v>74</v>
      </c>
      <c r="AG587">
        <v>29</v>
      </c>
      <c r="AH587">
        <v>0</v>
      </c>
      <c r="AI587">
        <v>0</v>
      </c>
      <c r="AJ587">
        <v>0</v>
      </c>
      <c r="AK587">
        <v>0</v>
      </c>
      <c r="AL587" t="s">
        <v>2762</v>
      </c>
      <c r="AM587" t="s">
        <v>2763</v>
      </c>
      <c r="AN587" t="s">
        <v>2764</v>
      </c>
      <c r="AO587" t="s">
        <v>11494</v>
      </c>
      <c r="AP587" t="s">
        <v>11495</v>
      </c>
      <c r="AQ587" t="s">
        <v>74</v>
      </c>
      <c r="AR587" t="s">
        <v>11496</v>
      </c>
      <c r="AS587" t="s">
        <v>11497</v>
      </c>
      <c r="AT587" t="s">
        <v>11498</v>
      </c>
      <c r="AU587">
        <v>2024</v>
      </c>
      <c r="AV587">
        <v>51</v>
      </c>
      <c r="AW587">
        <v>1</v>
      </c>
      <c r="AX587" t="s">
        <v>74</v>
      </c>
      <c r="AY587" t="s">
        <v>74</v>
      </c>
      <c r="AZ587" t="s">
        <v>74</v>
      </c>
      <c r="BA587" t="s">
        <v>74</v>
      </c>
      <c r="BB587">
        <v>77</v>
      </c>
      <c r="BC587">
        <v>87</v>
      </c>
      <c r="BD587" t="s">
        <v>74</v>
      </c>
      <c r="BE587" t="s">
        <v>11499</v>
      </c>
      <c r="BF587" t="str">
        <f>HYPERLINK("http://dx.doi.org/10.1080/03014223.2023.2224580","http://dx.doi.org/10.1080/03014223.2023.2224580")</f>
        <v>http://dx.doi.org/10.1080/03014223.2023.2224580</v>
      </c>
      <c r="BG587" t="s">
        <v>74</v>
      </c>
      <c r="BH587" t="s">
        <v>10102</v>
      </c>
      <c r="BI587">
        <v>11</v>
      </c>
      <c r="BJ587" t="s">
        <v>620</v>
      </c>
      <c r="BK587" t="s">
        <v>104</v>
      </c>
      <c r="BL587" t="s">
        <v>620</v>
      </c>
      <c r="BM587" t="s">
        <v>11500</v>
      </c>
      <c r="BN587" t="s">
        <v>74</v>
      </c>
      <c r="BO587" t="s">
        <v>4746</v>
      </c>
      <c r="BP587" t="s">
        <v>74</v>
      </c>
      <c r="BQ587" t="s">
        <v>74</v>
      </c>
      <c r="BR587" t="s">
        <v>107</v>
      </c>
      <c r="BS587" t="s">
        <v>11501</v>
      </c>
      <c r="BT587" t="str">
        <f>HYPERLINK("https%3A%2F%2Fwww.webofscience.com%2Fwos%2Fwoscc%2Ffull-record%2FWOS:001014602200001","View Full Record in Web of Science")</f>
        <v>View Full Record in Web of Science</v>
      </c>
    </row>
    <row r="588" spans="1:72" x14ac:dyDescent="0.15">
      <c r="A588" t="s">
        <v>72</v>
      </c>
      <c r="B588" t="s">
        <v>11502</v>
      </c>
      <c r="C588" t="s">
        <v>74</v>
      </c>
      <c r="D588" t="s">
        <v>74</v>
      </c>
      <c r="E588" t="s">
        <v>74</v>
      </c>
      <c r="F588" t="s">
        <v>11503</v>
      </c>
      <c r="G588" t="s">
        <v>74</v>
      </c>
      <c r="H588" t="s">
        <v>74</v>
      </c>
      <c r="I588" t="s">
        <v>11504</v>
      </c>
      <c r="J588" t="s">
        <v>3756</v>
      </c>
      <c r="K588" t="s">
        <v>74</v>
      </c>
      <c r="L588" t="s">
        <v>74</v>
      </c>
      <c r="M588" t="s">
        <v>78</v>
      </c>
      <c r="N588" t="s">
        <v>79</v>
      </c>
      <c r="O588" t="s">
        <v>74</v>
      </c>
      <c r="P588" t="s">
        <v>74</v>
      </c>
      <c r="Q588" t="s">
        <v>74</v>
      </c>
      <c r="R588" t="s">
        <v>74</v>
      </c>
      <c r="S588" t="s">
        <v>74</v>
      </c>
      <c r="T588" t="s">
        <v>11505</v>
      </c>
      <c r="U588" t="s">
        <v>74</v>
      </c>
      <c r="V588" t="s">
        <v>11506</v>
      </c>
      <c r="W588" t="s">
        <v>11507</v>
      </c>
      <c r="X588" t="s">
        <v>11508</v>
      </c>
      <c r="Y588" t="s">
        <v>11509</v>
      </c>
      <c r="Z588" t="s">
        <v>11510</v>
      </c>
      <c r="AA588" t="s">
        <v>11511</v>
      </c>
      <c r="AB588" t="s">
        <v>11512</v>
      </c>
      <c r="AC588" t="s">
        <v>11513</v>
      </c>
      <c r="AD588" t="s">
        <v>11514</v>
      </c>
      <c r="AE588" t="s">
        <v>11515</v>
      </c>
      <c r="AF588" t="s">
        <v>74</v>
      </c>
      <c r="AG588">
        <v>33</v>
      </c>
      <c r="AH588">
        <v>0</v>
      </c>
      <c r="AI588">
        <v>0</v>
      </c>
      <c r="AJ588">
        <v>1</v>
      </c>
      <c r="AK588">
        <v>2</v>
      </c>
      <c r="AL588" t="s">
        <v>298</v>
      </c>
      <c r="AM588" t="s">
        <v>299</v>
      </c>
      <c r="AN588" t="s">
        <v>300</v>
      </c>
      <c r="AO588" t="s">
        <v>3767</v>
      </c>
      <c r="AP588" t="s">
        <v>3768</v>
      </c>
      <c r="AQ588" t="s">
        <v>74</v>
      </c>
      <c r="AR588" t="s">
        <v>3769</v>
      </c>
      <c r="AS588" t="s">
        <v>3770</v>
      </c>
      <c r="AT588" t="s">
        <v>4689</v>
      </c>
      <c r="AU588">
        <v>2023</v>
      </c>
      <c r="AV588">
        <v>46</v>
      </c>
      <c r="AW588">
        <v>8</v>
      </c>
      <c r="AX588" t="s">
        <v>74</v>
      </c>
      <c r="AY588" t="s">
        <v>74</v>
      </c>
      <c r="AZ588" t="s">
        <v>74</v>
      </c>
      <c r="BA588" t="s">
        <v>74</v>
      </c>
      <c r="BB588">
        <v>759</v>
      </c>
      <c r="BC588">
        <v>772</v>
      </c>
      <c r="BD588" t="s">
        <v>74</v>
      </c>
      <c r="BE588" t="s">
        <v>11516</v>
      </c>
      <c r="BF588" t="str">
        <f>HYPERLINK("http://dx.doi.org/10.1007/s00300-023-03160-6","http://dx.doi.org/10.1007/s00300-023-03160-6")</f>
        <v>http://dx.doi.org/10.1007/s00300-023-03160-6</v>
      </c>
      <c r="BG588" t="s">
        <v>74</v>
      </c>
      <c r="BH588" t="s">
        <v>10102</v>
      </c>
      <c r="BI588">
        <v>14</v>
      </c>
      <c r="BJ588" t="s">
        <v>3772</v>
      </c>
      <c r="BK588" t="s">
        <v>104</v>
      </c>
      <c r="BL588" t="s">
        <v>1905</v>
      </c>
      <c r="BM588" t="s">
        <v>11295</v>
      </c>
      <c r="BN588" t="s">
        <v>74</v>
      </c>
      <c r="BO588" t="s">
        <v>9804</v>
      </c>
      <c r="BP588" t="s">
        <v>74</v>
      </c>
      <c r="BQ588" t="s">
        <v>74</v>
      </c>
      <c r="BR588" t="s">
        <v>107</v>
      </c>
      <c r="BS588" t="s">
        <v>11517</v>
      </c>
      <c r="BT588" t="str">
        <f>HYPERLINK("https%3A%2F%2Fwww.webofscience.com%2Fwos%2Fwoscc%2Ffull-record%2FWOS:001013729400001","View Full Record in Web of Science")</f>
        <v>View Full Record in Web of Science</v>
      </c>
    </row>
    <row r="589" spans="1:72" x14ac:dyDescent="0.15">
      <c r="A589" t="s">
        <v>72</v>
      </c>
      <c r="B589" t="s">
        <v>11518</v>
      </c>
      <c r="C589" t="s">
        <v>74</v>
      </c>
      <c r="D589" t="s">
        <v>74</v>
      </c>
      <c r="E589" t="s">
        <v>74</v>
      </c>
      <c r="F589" t="s">
        <v>11519</v>
      </c>
      <c r="G589" t="s">
        <v>74</v>
      </c>
      <c r="H589" t="s">
        <v>74</v>
      </c>
      <c r="I589" t="s">
        <v>11520</v>
      </c>
      <c r="J589" t="s">
        <v>11521</v>
      </c>
      <c r="K589" t="s">
        <v>74</v>
      </c>
      <c r="L589" t="s">
        <v>74</v>
      </c>
      <c r="M589" t="s">
        <v>78</v>
      </c>
      <c r="N589" t="s">
        <v>79</v>
      </c>
      <c r="O589" t="s">
        <v>74</v>
      </c>
      <c r="P589" t="s">
        <v>74</v>
      </c>
      <c r="Q589" t="s">
        <v>74</v>
      </c>
      <c r="R589" t="s">
        <v>74</v>
      </c>
      <c r="S589" t="s">
        <v>74</v>
      </c>
      <c r="T589" t="s">
        <v>74</v>
      </c>
      <c r="U589" t="s">
        <v>11522</v>
      </c>
      <c r="V589" t="s">
        <v>11523</v>
      </c>
      <c r="W589" t="s">
        <v>11524</v>
      </c>
      <c r="X589" t="s">
        <v>11525</v>
      </c>
      <c r="Y589" t="s">
        <v>11526</v>
      </c>
      <c r="Z589" t="s">
        <v>11527</v>
      </c>
      <c r="AA589" t="s">
        <v>11528</v>
      </c>
      <c r="AB589" t="s">
        <v>11529</v>
      </c>
      <c r="AC589" t="s">
        <v>11530</v>
      </c>
      <c r="AD589" t="s">
        <v>11531</v>
      </c>
      <c r="AE589" t="s">
        <v>11532</v>
      </c>
      <c r="AF589" t="s">
        <v>74</v>
      </c>
      <c r="AG589">
        <v>11</v>
      </c>
      <c r="AH589">
        <v>0</v>
      </c>
      <c r="AI589">
        <v>0</v>
      </c>
      <c r="AJ589">
        <v>3</v>
      </c>
      <c r="AK589">
        <v>3</v>
      </c>
      <c r="AL589" t="s">
        <v>11533</v>
      </c>
      <c r="AM589" t="s">
        <v>589</v>
      </c>
      <c r="AN589" t="s">
        <v>11534</v>
      </c>
      <c r="AO589" t="s">
        <v>11535</v>
      </c>
      <c r="AP589" t="s">
        <v>74</v>
      </c>
      <c r="AQ589" t="s">
        <v>74</v>
      </c>
      <c r="AR589" t="s">
        <v>11536</v>
      </c>
      <c r="AS589" t="s">
        <v>11537</v>
      </c>
      <c r="AT589" t="s">
        <v>7411</v>
      </c>
      <c r="AU589">
        <v>2023</v>
      </c>
      <c r="AV589">
        <v>12</v>
      </c>
      <c r="AW589">
        <v>7</v>
      </c>
      <c r="AX589" t="s">
        <v>74</v>
      </c>
      <c r="AY589" t="s">
        <v>74</v>
      </c>
      <c r="AZ589" t="s">
        <v>74</v>
      </c>
      <c r="BA589" t="s">
        <v>74</v>
      </c>
      <c r="BB589" t="s">
        <v>74</v>
      </c>
      <c r="BC589" t="s">
        <v>74</v>
      </c>
      <c r="BD589" t="s">
        <v>74</v>
      </c>
      <c r="BE589" t="s">
        <v>11538</v>
      </c>
      <c r="BF589" t="str">
        <f>HYPERLINK("http://dx.doi.org/10.1128/mra.00146-23","http://dx.doi.org/10.1128/mra.00146-23")</f>
        <v>http://dx.doi.org/10.1128/mra.00146-23</v>
      </c>
      <c r="BG589" t="s">
        <v>74</v>
      </c>
      <c r="BH589" t="s">
        <v>10102</v>
      </c>
      <c r="BI589">
        <v>2</v>
      </c>
      <c r="BJ589" t="s">
        <v>702</v>
      </c>
      <c r="BK589" t="s">
        <v>518</v>
      </c>
      <c r="BL589" t="s">
        <v>702</v>
      </c>
      <c r="BM589" t="s">
        <v>11539</v>
      </c>
      <c r="BN589">
        <v>37341614</v>
      </c>
      <c r="BO589" t="s">
        <v>821</v>
      </c>
      <c r="BP589" t="s">
        <v>74</v>
      </c>
      <c r="BQ589" t="s">
        <v>74</v>
      </c>
      <c r="BR589" t="s">
        <v>107</v>
      </c>
      <c r="BS589" t="s">
        <v>11540</v>
      </c>
      <c r="BT589" t="str">
        <f>HYPERLINK("https%3A%2F%2Fwww.webofscience.com%2Fwos%2Fwoscc%2Ffull-record%2FWOS:001012251400001","View Full Record in Web of Science")</f>
        <v>View Full Record in Web of Science</v>
      </c>
    </row>
    <row r="590" spans="1:72" x14ac:dyDescent="0.15">
      <c r="A590" t="s">
        <v>72</v>
      </c>
      <c r="B590" t="s">
        <v>11541</v>
      </c>
      <c r="C590" t="s">
        <v>74</v>
      </c>
      <c r="D590" t="s">
        <v>74</v>
      </c>
      <c r="E590" t="s">
        <v>74</v>
      </c>
      <c r="F590" t="s">
        <v>11542</v>
      </c>
      <c r="G590" t="s">
        <v>74</v>
      </c>
      <c r="H590" t="s">
        <v>74</v>
      </c>
      <c r="I590" t="s">
        <v>11543</v>
      </c>
      <c r="J590" t="s">
        <v>2470</v>
      </c>
      <c r="K590" t="s">
        <v>74</v>
      </c>
      <c r="L590" t="s">
        <v>74</v>
      </c>
      <c r="M590" t="s">
        <v>78</v>
      </c>
      <c r="N590" t="s">
        <v>79</v>
      </c>
      <c r="O590" t="s">
        <v>74</v>
      </c>
      <c r="P590" t="s">
        <v>74</v>
      </c>
      <c r="Q590" t="s">
        <v>74</v>
      </c>
      <c r="R590" t="s">
        <v>74</v>
      </c>
      <c r="S590" t="s">
        <v>74</v>
      </c>
      <c r="T590" t="s">
        <v>11544</v>
      </c>
      <c r="U590" t="s">
        <v>11545</v>
      </c>
      <c r="V590" t="s">
        <v>11546</v>
      </c>
      <c r="W590" t="s">
        <v>11547</v>
      </c>
      <c r="X590" t="s">
        <v>11548</v>
      </c>
      <c r="Y590" t="s">
        <v>11549</v>
      </c>
      <c r="Z590" t="s">
        <v>11550</v>
      </c>
      <c r="AA590" t="s">
        <v>11551</v>
      </c>
      <c r="AB590" t="s">
        <v>11552</v>
      </c>
      <c r="AC590" t="s">
        <v>11553</v>
      </c>
      <c r="AD590" t="s">
        <v>11554</v>
      </c>
      <c r="AE590" t="s">
        <v>11555</v>
      </c>
      <c r="AF590" t="s">
        <v>74</v>
      </c>
      <c r="AG590">
        <v>81</v>
      </c>
      <c r="AH590">
        <v>1</v>
      </c>
      <c r="AI590">
        <v>1</v>
      </c>
      <c r="AJ590">
        <v>9</v>
      </c>
      <c r="AK590">
        <v>11</v>
      </c>
      <c r="AL590" t="s">
        <v>2305</v>
      </c>
      <c r="AM590" t="s">
        <v>538</v>
      </c>
      <c r="AN590" t="s">
        <v>2306</v>
      </c>
      <c r="AO590" t="s">
        <v>2482</v>
      </c>
      <c r="AP590" t="s">
        <v>2483</v>
      </c>
      <c r="AQ590" t="s">
        <v>74</v>
      </c>
      <c r="AR590" t="s">
        <v>2484</v>
      </c>
      <c r="AS590" t="s">
        <v>2485</v>
      </c>
      <c r="AT590" t="s">
        <v>7247</v>
      </c>
      <c r="AU590">
        <v>2023</v>
      </c>
      <c r="AV590">
        <v>312</v>
      </c>
      <c r="AW590" t="s">
        <v>74</v>
      </c>
      <c r="AX590" t="s">
        <v>74</v>
      </c>
      <c r="AY590" t="s">
        <v>74</v>
      </c>
      <c r="AZ590" t="s">
        <v>74</v>
      </c>
      <c r="BA590" t="s">
        <v>74</v>
      </c>
      <c r="BB590" t="s">
        <v>74</v>
      </c>
      <c r="BC590" t="s">
        <v>74</v>
      </c>
      <c r="BD590">
        <v>108162</v>
      </c>
      <c r="BE590" t="s">
        <v>11556</v>
      </c>
      <c r="BF590" t="str">
        <f>HYPERLINK("http://dx.doi.org/10.1016/j.quascirev.2023.108162","http://dx.doi.org/10.1016/j.quascirev.2023.108162")</f>
        <v>http://dx.doi.org/10.1016/j.quascirev.2023.108162</v>
      </c>
      <c r="BG590" t="s">
        <v>74</v>
      </c>
      <c r="BH590" t="s">
        <v>10102</v>
      </c>
      <c r="BI590">
        <v>10</v>
      </c>
      <c r="BJ590" t="s">
        <v>1783</v>
      </c>
      <c r="BK590" t="s">
        <v>104</v>
      </c>
      <c r="BL590" t="s">
        <v>1784</v>
      </c>
      <c r="BM590" t="s">
        <v>11557</v>
      </c>
      <c r="BN590" t="s">
        <v>74</v>
      </c>
      <c r="BO590" t="s">
        <v>2894</v>
      </c>
      <c r="BP590" t="s">
        <v>74</v>
      </c>
      <c r="BQ590" t="s">
        <v>74</v>
      </c>
      <c r="BR590" t="s">
        <v>107</v>
      </c>
      <c r="BS590" t="s">
        <v>11558</v>
      </c>
      <c r="BT590" t="str">
        <f>HYPERLINK("https%3A%2F%2Fwww.webofscience.com%2Fwos%2Fwoscc%2Ffull-record%2FWOS:001034860900001","View Full Record in Web of Science")</f>
        <v>View Full Record in Web of Science</v>
      </c>
    </row>
    <row r="591" spans="1:72" x14ac:dyDescent="0.15">
      <c r="A591" t="s">
        <v>72</v>
      </c>
      <c r="B591" t="s">
        <v>11559</v>
      </c>
      <c r="C591" t="s">
        <v>74</v>
      </c>
      <c r="D591" t="s">
        <v>74</v>
      </c>
      <c r="E591" t="s">
        <v>74</v>
      </c>
      <c r="F591" t="s">
        <v>11560</v>
      </c>
      <c r="G591" t="s">
        <v>74</v>
      </c>
      <c r="H591" t="s">
        <v>74</v>
      </c>
      <c r="I591" t="s">
        <v>11561</v>
      </c>
      <c r="J591" t="s">
        <v>6635</v>
      </c>
      <c r="K591" t="s">
        <v>74</v>
      </c>
      <c r="L591" t="s">
        <v>74</v>
      </c>
      <c r="M591" t="s">
        <v>78</v>
      </c>
      <c r="N591" t="s">
        <v>79</v>
      </c>
      <c r="O591" t="s">
        <v>74</v>
      </c>
      <c r="P591" t="s">
        <v>74</v>
      </c>
      <c r="Q591" t="s">
        <v>74</v>
      </c>
      <c r="R591" t="s">
        <v>74</v>
      </c>
      <c r="S591" t="s">
        <v>74</v>
      </c>
      <c r="T591" t="s">
        <v>11562</v>
      </c>
      <c r="U591" t="s">
        <v>11563</v>
      </c>
      <c r="V591" t="s">
        <v>11564</v>
      </c>
      <c r="W591" t="s">
        <v>11565</v>
      </c>
      <c r="X591" t="s">
        <v>11566</v>
      </c>
      <c r="Y591" t="s">
        <v>11567</v>
      </c>
      <c r="Z591" t="s">
        <v>11568</v>
      </c>
      <c r="AA591" t="s">
        <v>11569</v>
      </c>
      <c r="AB591" t="s">
        <v>11570</v>
      </c>
      <c r="AC591" t="s">
        <v>11571</v>
      </c>
      <c r="AD591" t="s">
        <v>11572</v>
      </c>
      <c r="AE591" t="s">
        <v>11573</v>
      </c>
      <c r="AF591" t="s">
        <v>74</v>
      </c>
      <c r="AG591">
        <v>47</v>
      </c>
      <c r="AH591">
        <v>0</v>
      </c>
      <c r="AI591">
        <v>0</v>
      </c>
      <c r="AJ591">
        <v>6</v>
      </c>
      <c r="AK591">
        <v>13</v>
      </c>
      <c r="AL591" t="s">
        <v>6648</v>
      </c>
      <c r="AM591" t="s">
        <v>589</v>
      </c>
      <c r="AN591" t="s">
        <v>6649</v>
      </c>
      <c r="AO591" t="s">
        <v>6650</v>
      </c>
      <c r="AP591" t="s">
        <v>6651</v>
      </c>
      <c r="AQ591" t="s">
        <v>74</v>
      </c>
      <c r="AR591" t="s">
        <v>6652</v>
      </c>
      <c r="AS591" t="s">
        <v>6653</v>
      </c>
      <c r="AT591" t="s">
        <v>8596</v>
      </c>
      <c r="AU591">
        <v>2023</v>
      </c>
      <c r="AV591">
        <v>120</v>
      </c>
      <c r="AW591">
        <v>25</v>
      </c>
      <c r="AX591" t="s">
        <v>74</v>
      </c>
      <c r="AY591" t="s">
        <v>74</v>
      </c>
      <c r="AZ591" t="s">
        <v>74</v>
      </c>
      <c r="BA591" t="s">
        <v>74</v>
      </c>
      <c r="BB591" t="s">
        <v>74</v>
      </c>
      <c r="BC591" t="s">
        <v>74</v>
      </c>
      <c r="BD591" t="s">
        <v>11574</v>
      </c>
      <c r="BE591" t="s">
        <v>11575</v>
      </c>
      <c r="BF591" t="str">
        <f>HYPERLINK("http://dx.doi.org/10.1073/pnas.2218127120","http://dx.doi.org/10.1073/pnas.2218127120")</f>
        <v>http://dx.doi.org/10.1073/pnas.2218127120</v>
      </c>
      <c r="BG591" t="s">
        <v>74</v>
      </c>
      <c r="BH591" t="s">
        <v>74</v>
      </c>
      <c r="BI591">
        <v>7</v>
      </c>
      <c r="BJ591" t="s">
        <v>1881</v>
      </c>
      <c r="BK591" t="s">
        <v>104</v>
      </c>
      <c r="BL591" t="s">
        <v>1882</v>
      </c>
      <c r="BM591" t="s">
        <v>11576</v>
      </c>
      <c r="BN591">
        <v>37314935</v>
      </c>
      <c r="BO591" t="s">
        <v>2894</v>
      </c>
      <c r="BP591" t="s">
        <v>74</v>
      </c>
      <c r="BQ591" t="s">
        <v>74</v>
      </c>
      <c r="BR591" t="s">
        <v>107</v>
      </c>
      <c r="BS591" t="s">
        <v>11577</v>
      </c>
      <c r="BT591" t="str">
        <f>HYPERLINK("https%3A%2F%2Fwww.webofscience.com%2Fwos%2Fwoscc%2Ffull-record%2FWOS:001039194300001","View Full Record in Web of Science")</f>
        <v>View Full Record in Web of Science</v>
      </c>
    </row>
    <row r="592" spans="1:72" x14ac:dyDescent="0.15">
      <c r="A592" t="s">
        <v>72</v>
      </c>
      <c r="B592" t="s">
        <v>11578</v>
      </c>
      <c r="C592" t="s">
        <v>74</v>
      </c>
      <c r="D592" t="s">
        <v>74</v>
      </c>
      <c r="E592" t="s">
        <v>74</v>
      </c>
      <c r="F592" t="s">
        <v>11579</v>
      </c>
      <c r="G592" t="s">
        <v>74</v>
      </c>
      <c r="H592" t="s">
        <v>74</v>
      </c>
      <c r="I592" t="s">
        <v>11580</v>
      </c>
      <c r="J592" t="s">
        <v>11581</v>
      </c>
      <c r="K592" t="s">
        <v>74</v>
      </c>
      <c r="L592" t="s">
        <v>74</v>
      </c>
      <c r="M592" t="s">
        <v>78</v>
      </c>
      <c r="N592" t="s">
        <v>79</v>
      </c>
      <c r="O592" t="s">
        <v>74</v>
      </c>
      <c r="P592" t="s">
        <v>74</v>
      </c>
      <c r="Q592" t="s">
        <v>74</v>
      </c>
      <c r="R592" t="s">
        <v>74</v>
      </c>
      <c r="S592" t="s">
        <v>74</v>
      </c>
      <c r="T592" t="s">
        <v>11582</v>
      </c>
      <c r="U592" t="s">
        <v>11583</v>
      </c>
      <c r="V592" t="s">
        <v>11584</v>
      </c>
      <c r="W592" t="s">
        <v>11585</v>
      </c>
      <c r="X592" t="s">
        <v>6622</v>
      </c>
      <c r="Y592" t="s">
        <v>6623</v>
      </c>
      <c r="Z592" t="s">
        <v>6624</v>
      </c>
      <c r="AA592" t="s">
        <v>74</v>
      </c>
      <c r="AB592" t="s">
        <v>6625</v>
      </c>
      <c r="AC592" t="s">
        <v>11586</v>
      </c>
      <c r="AD592" t="s">
        <v>11587</v>
      </c>
      <c r="AE592" t="s">
        <v>11588</v>
      </c>
      <c r="AF592" t="s">
        <v>74</v>
      </c>
      <c r="AG592">
        <v>141</v>
      </c>
      <c r="AH592">
        <v>0</v>
      </c>
      <c r="AI592">
        <v>0</v>
      </c>
      <c r="AJ592">
        <v>4</v>
      </c>
      <c r="AK592">
        <v>11</v>
      </c>
      <c r="AL592" t="s">
        <v>2305</v>
      </c>
      <c r="AM592" t="s">
        <v>538</v>
      </c>
      <c r="AN592" t="s">
        <v>2306</v>
      </c>
      <c r="AO592" t="s">
        <v>11589</v>
      </c>
      <c r="AP592" t="s">
        <v>11590</v>
      </c>
      <c r="AQ592" t="s">
        <v>74</v>
      </c>
      <c r="AR592" t="s">
        <v>11591</v>
      </c>
      <c r="AS592" t="s">
        <v>11592</v>
      </c>
      <c r="AT592" t="s">
        <v>9434</v>
      </c>
      <c r="AU592">
        <v>2023</v>
      </c>
      <c r="AV592">
        <v>263</v>
      </c>
      <c r="AW592" t="s">
        <v>74</v>
      </c>
      <c r="AX592" t="s">
        <v>74</v>
      </c>
      <c r="AY592" t="s">
        <v>74</v>
      </c>
      <c r="AZ592" t="s">
        <v>74</v>
      </c>
      <c r="BA592" t="s">
        <v>74</v>
      </c>
      <c r="BB592" t="s">
        <v>74</v>
      </c>
      <c r="BC592" t="s">
        <v>74</v>
      </c>
      <c r="BD592">
        <v>105043</v>
      </c>
      <c r="BE592" t="s">
        <v>11593</v>
      </c>
      <c r="BF592" t="str">
        <f>HYPERLINK("http://dx.doi.org/10.1016/j.csr.2023.105043","http://dx.doi.org/10.1016/j.csr.2023.105043")</f>
        <v>http://dx.doi.org/10.1016/j.csr.2023.105043</v>
      </c>
      <c r="BG592" t="s">
        <v>74</v>
      </c>
      <c r="BH592" t="s">
        <v>10102</v>
      </c>
      <c r="BI592">
        <v>16</v>
      </c>
      <c r="BJ592" t="s">
        <v>306</v>
      </c>
      <c r="BK592" t="s">
        <v>104</v>
      </c>
      <c r="BL592" t="s">
        <v>306</v>
      </c>
      <c r="BM592" t="s">
        <v>11594</v>
      </c>
      <c r="BN592" t="s">
        <v>74</v>
      </c>
      <c r="BO592" t="s">
        <v>74</v>
      </c>
      <c r="BP592" t="s">
        <v>74</v>
      </c>
      <c r="BQ592" t="s">
        <v>74</v>
      </c>
      <c r="BR592" t="s">
        <v>107</v>
      </c>
      <c r="BS592" t="s">
        <v>11595</v>
      </c>
      <c r="BT592" t="str">
        <f>HYPERLINK("https%3A%2F%2Fwww.webofscience.com%2Fwos%2Fwoscc%2Ffull-record%2FWOS:001034182300001","View Full Record in Web of Science")</f>
        <v>View Full Record in Web of Science</v>
      </c>
    </row>
    <row r="593" spans="1:72" x14ac:dyDescent="0.15">
      <c r="A593" t="s">
        <v>72</v>
      </c>
      <c r="B593" t="s">
        <v>11596</v>
      </c>
      <c r="C593" t="s">
        <v>74</v>
      </c>
      <c r="D593" t="s">
        <v>74</v>
      </c>
      <c r="E593" t="s">
        <v>74</v>
      </c>
      <c r="F593" t="s">
        <v>11597</v>
      </c>
      <c r="G593" t="s">
        <v>74</v>
      </c>
      <c r="H593" t="s">
        <v>74</v>
      </c>
      <c r="I593" t="s">
        <v>11598</v>
      </c>
      <c r="J593" t="s">
        <v>3574</v>
      </c>
      <c r="K593" t="s">
        <v>74</v>
      </c>
      <c r="L593" t="s">
        <v>74</v>
      </c>
      <c r="M593" t="s">
        <v>78</v>
      </c>
      <c r="N593" t="s">
        <v>79</v>
      </c>
      <c r="O593" t="s">
        <v>74</v>
      </c>
      <c r="P593" t="s">
        <v>74</v>
      </c>
      <c r="Q593" t="s">
        <v>74</v>
      </c>
      <c r="R593" t="s">
        <v>74</v>
      </c>
      <c r="S593" t="s">
        <v>74</v>
      </c>
      <c r="T593" t="s">
        <v>11599</v>
      </c>
      <c r="U593" t="s">
        <v>11600</v>
      </c>
      <c r="V593" t="s">
        <v>11601</v>
      </c>
      <c r="W593" t="s">
        <v>11602</v>
      </c>
      <c r="X593" t="s">
        <v>11603</v>
      </c>
      <c r="Y593" t="s">
        <v>11604</v>
      </c>
      <c r="Z593" t="s">
        <v>11605</v>
      </c>
      <c r="AA593" t="s">
        <v>74</v>
      </c>
      <c r="AB593" t="s">
        <v>74</v>
      </c>
      <c r="AC593" t="s">
        <v>74</v>
      </c>
      <c r="AD593" t="s">
        <v>74</v>
      </c>
      <c r="AE593" t="s">
        <v>74</v>
      </c>
      <c r="AF593" t="s">
        <v>74</v>
      </c>
      <c r="AG593">
        <v>108</v>
      </c>
      <c r="AH593">
        <v>0</v>
      </c>
      <c r="AI593">
        <v>0</v>
      </c>
      <c r="AJ593">
        <v>1</v>
      </c>
      <c r="AK593">
        <v>3</v>
      </c>
      <c r="AL593" t="s">
        <v>2305</v>
      </c>
      <c r="AM593" t="s">
        <v>538</v>
      </c>
      <c r="AN593" t="s">
        <v>2306</v>
      </c>
      <c r="AO593" t="s">
        <v>3585</v>
      </c>
      <c r="AP593" t="s">
        <v>3586</v>
      </c>
      <c r="AQ593" t="s">
        <v>74</v>
      </c>
      <c r="AR593" t="s">
        <v>3587</v>
      </c>
      <c r="AS593" t="s">
        <v>3588</v>
      </c>
      <c r="AT593" t="s">
        <v>1810</v>
      </c>
      <c r="AU593">
        <v>2023</v>
      </c>
      <c r="AV593">
        <v>211</v>
      </c>
      <c r="AW593" t="s">
        <v>74</v>
      </c>
      <c r="AX593" t="s">
        <v>74</v>
      </c>
      <c r="AY593" t="s">
        <v>74</v>
      </c>
      <c r="AZ593" t="s">
        <v>74</v>
      </c>
      <c r="BA593" t="s">
        <v>74</v>
      </c>
      <c r="BB593">
        <v>229</v>
      </c>
      <c r="BC593">
        <v>237</v>
      </c>
      <c r="BD593" t="s">
        <v>74</v>
      </c>
      <c r="BE593" t="s">
        <v>11606</v>
      </c>
      <c r="BF593" t="str">
        <f>HYPERLINK("http://dx.doi.org/10.1016/j.actaastro.2023.06.017","http://dx.doi.org/10.1016/j.actaastro.2023.06.017")</f>
        <v>http://dx.doi.org/10.1016/j.actaastro.2023.06.017</v>
      </c>
      <c r="BG593" t="s">
        <v>74</v>
      </c>
      <c r="BH593" t="s">
        <v>10102</v>
      </c>
      <c r="BI593">
        <v>9</v>
      </c>
      <c r="BJ593" t="s">
        <v>3590</v>
      </c>
      <c r="BK593" t="s">
        <v>104</v>
      </c>
      <c r="BL593" t="s">
        <v>325</v>
      </c>
      <c r="BM593" t="s">
        <v>11607</v>
      </c>
      <c r="BN593" t="s">
        <v>74</v>
      </c>
      <c r="BO593" t="s">
        <v>74</v>
      </c>
      <c r="BP593" t="s">
        <v>74</v>
      </c>
      <c r="BQ593" t="s">
        <v>74</v>
      </c>
      <c r="BR593" t="s">
        <v>107</v>
      </c>
      <c r="BS593" t="s">
        <v>11608</v>
      </c>
      <c r="BT593" t="str">
        <f>HYPERLINK("https%3A%2F%2Fwww.webofscience.com%2Fwos%2Fwoscc%2Ffull-record%2FWOS:001033608200001","View Full Record in Web of Science")</f>
        <v>View Full Record in Web of Science</v>
      </c>
    </row>
    <row r="594" spans="1:72" x14ac:dyDescent="0.15">
      <c r="A594" t="s">
        <v>72</v>
      </c>
      <c r="B594" t="s">
        <v>11609</v>
      </c>
      <c r="C594" t="s">
        <v>74</v>
      </c>
      <c r="D594" t="s">
        <v>74</v>
      </c>
      <c r="E594" t="s">
        <v>74</v>
      </c>
      <c r="F594" t="s">
        <v>11610</v>
      </c>
      <c r="G594" t="s">
        <v>74</v>
      </c>
      <c r="H594" t="s">
        <v>74</v>
      </c>
      <c r="I594" t="s">
        <v>11611</v>
      </c>
      <c r="J594" t="s">
        <v>11612</v>
      </c>
      <c r="K594" t="s">
        <v>74</v>
      </c>
      <c r="L594" t="s">
        <v>74</v>
      </c>
      <c r="M594" t="s">
        <v>78</v>
      </c>
      <c r="N594" t="s">
        <v>79</v>
      </c>
      <c r="O594" t="s">
        <v>74</v>
      </c>
      <c r="P594" t="s">
        <v>74</v>
      </c>
      <c r="Q594" t="s">
        <v>74</v>
      </c>
      <c r="R594" t="s">
        <v>74</v>
      </c>
      <c r="S594" t="s">
        <v>74</v>
      </c>
      <c r="T594" t="s">
        <v>11613</v>
      </c>
      <c r="U594" t="s">
        <v>11614</v>
      </c>
      <c r="V594" t="s">
        <v>11615</v>
      </c>
      <c r="W594" t="s">
        <v>11616</v>
      </c>
      <c r="X594" t="s">
        <v>11617</v>
      </c>
      <c r="Y594" t="s">
        <v>11618</v>
      </c>
      <c r="Z594" t="s">
        <v>11619</v>
      </c>
      <c r="AA594" t="s">
        <v>74</v>
      </c>
      <c r="AB594" t="s">
        <v>11620</v>
      </c>
      <c r="AC594" t="s">
        <v>11621</v>
      </c>
      <c r="AD594" t="s">
        <v>11622</v>
      </c>
      <c r="AE594" t="s">
        <v>11623</v>
      </c>
      <c r="AF594" t="s">
        <v>74</v>
      </c>
      <c r="AG594">
        <v>49</v>
      </c>
      <c r="AH594">
        <v>4</v>
      </c>
      <c r="AI594">
        <v>4</v>
      </c>
      <c r="AJ594">
        <v>19</v>
      </c>
      <c r="AK594">
        <v>30</v>
      </c>
      <c r="AL594" t="s">
        <v>3672</v>
      </c>
      <c r="AM594" t="s">
        <v>538</v>
      </c>
      <c r="AN594" t="s">
        <v>3673</v>
      </c>
      <c r="AO594" t="s">
        <v>11624</v>
      </c>
      <c r="AP594" t="s">
        <v>11625</v>
      </c>
      <c r="AQ594" t="s">
        <v>74</v>
      </c>
      <c r="AR594" t="s">
        <v>11626</v>
      </c>
      <c r="AS594" t="s">
        <v>11627</v>
      </c>
      <c r="AT594" t="s">
        <v>4689</v>
      </c>
      <c r="AU594">
        <v>2023</v>
      </c>
      <c r="AV594">
        <v>284</v>
      </c>
      <c r="AW594" t="s">
        <v>74</v>
      </c>
      <c r="AX594" t="s">
        <v>74</v>
      </c>
      <c r="AY594" t="s">
        <v>74</v>
      </c>
      <c r="AZ594" t="s">
        <v>74</v>
      </c>
      <c r="BA594" t="s">
        <v>74</v>
      </c>
      <c r="BB594" t="s">
        <v>74</v>
      </c>
      <c r="BC594" t="s">
        <v>74</v>
      </c>
      <c r="BD594">
        <v>110166</v>
      </c>
      <c r="BE594" t="s">
        <v>11628</v>
      </c>
      <c r="BF594" t="str">
        <f>HYPERLINK("http://dx.doi.org/10.1016/j.biocon.2023.110166","http://dx.doi.org/10.1016/j.biocon.2023.110166")</f>
        <v>http://dx.doi.org/10.1016/j.biocon.2023.110166</v>
      </c>
      <c r="BG594" t="s">
        <v>74</v>
      </c>
      <c r="BH594" t="s">
        <v>10102</v>
      </c>
      <c r="BI594">
        <v>9</v>
      </c>
      <c r="BJ594" t="s">
        <v>10349</v>
      </c>
      <c r="BK594" t="s">
        <v>104</v>
      </c>
      <c r="BL594" t="s">
        <v>1905</v>
      </c>
      <c r="BM594" t="s">
        <v>11629</v>
      </c>
      <c r="BN594" t="s">
        <v>74</v>
      </c>
      <c r="BO594" t="s">
        <v>1217</v>
      </c>
      <c r="BP594" t="s">
        <v>74</v>
      </c>
      <c r="BQ594" t="s">
        <v>74</v>
      </c>
      <c r="BR594" t="s">
        <v>107</v>
      </c>
      <c r="BS594" t="s">
        <v>11630</v>
      </c>
      <c r="BT594" t="str">
        <f>HYPERLINK("https%3A%2F%2Fwww.webofscience.com%2Fwos%2Fwoscc%2Ffull-record%2FWOS:001032859100001","View Full Record in Web of Science")</f>
        <v>View Full Record in Web of Science</v>
      </c>
    </row>
    <row r="595" spans="1:72" x14ac:dyDescent="0.15">
      <c r="A595" t="s">
        <v>72</v>
      </c>
      <c r="B595" t="s">
        <v>11631</v>
      </c>
      <c r="C595" t="s">
        <v>74</v>
      </c>
      <c r="D595" t="s">
        <v>74</v>
      </c>
      <c r="E595" t="s">
        <v>74</v>
      </c>
      <c r="F595" t="s">
        <v>11632</v>
      </c>
      <c r="G595" t="s">
        <v>74</v>
      </c>
      <c r="H595" t="s">
        <v>74</v>
      </c>
      <c r="I595" t="s">
        <v>11633</v>
      </c>
      <c r="J595" t="s">
        <v>11634</v>
      </c>
      <c r="K595" t="s">
        <v>74</v>
      </c>
      <c r="L595" t="s">
        <v>74</v>
      </c>
      <c r="M595" t="s">
        <v>78</v>
      </c>
      <c r="N595" t="s">
        <v>6276</v>
      </c>
      <c r="O595" t="s">
        <v>74</v>
      </c>
      <c r="P595" t="s">
        <v>74</v>
      </c>
      <c r="Q595" t="s">
        <v>74</v>
      </c>
      <c r="R595" t="s">
        <v>74</v>
      </c>
      <c r="S595" t="s">
        <v>74</v>
      </c>
      <c r="T595" t="s">
        <v>74</v>
      </c>
      <c r="U595" t="s">
        <v>11635</v>
      </c>
      <c r="V595" t="s">
        <v>11636</v>
      </c>
      <c r="W595" t="s">
        <v>11637</v>
      </c>
      <c r="X595" t="s">
        <v>11638</v>
      </c>
      <c r="Y595" t="s">
        <v>11639</v>
      </c>
      <c r="Z595" t="s">
        <v>11640</v>
      </c>
      <c r="AA595" t="s">
        <v>11641</v>
      </c>
      <c r="AB595" t="s">
        <v>11642</v>
      </c>
      <c r="AC595" t="s">
        <v>11643</v>
      </c>
      <c r="AD595" t="s">
        <v>11644</v>
      </c>
      <c r="AE595" t="s">
        <v>11645</v>
      </c>
      <c r="AF595" t="s">
        <v>74</v>
      </c>
      <c r="AG595">
        <v>80</v>
      </c>
      <c r="AH595">
        <v>0</v>
      </c>
      <c r="AI595">
        <v>0</v>
      </c>
      <c r="AJ595">
        <v>1</v>
      </c>
      <c r="AK595">
        <v>5</v>
      </c>
      <c r="AL595" t="s">
        <v>460</v>
      </c>
      <c r="AM595" t="s">
        <v>461</v>
      </c>
      <c r="AN595" t="s">
        <v>462</v>
      </c>
      <c r="AO595" t="s">
        <v>74</v>
      </c>
      <c r="AP595" t="s">
        <v>11646</v>
      </c>
      <c r="AQ595" t="s">
        <v>74</v>
      </c>
      <c r="AR595" t="s">
        <v>11647</v>
      </c>
      <c r="AS595" t="s">
        <v>11648</v>
      </c>
      <c r="AT595" t="s">
        <v>1810</v>
      </c>
      <c r="AU595">
        <v>2023</v>
      </c>
      <c r="AV595">
        <v>8</v>
      </c>
      <c r="AW595">
        <v>5</v>
      </c>
      <c r="AX595" t="s">
        <v>74</v>
      </c>
      <c r="AY595" t="s">
        <v>74</v>
      </c>
      <c r="AZ595" t="s">
        <v>74</v>
      </c>
      <c r="BA595" t="s">
        <v>74</v>
      </c>
      <c r="BB595">
        <v>770</v>
      </c>
      <c r="BC595">
        <v>780</v>
      </c>
      <c r="BD595" t="s">
        <v>74</v>
      </c>
      <c r="BE595" t="s">
        <v>11649</v>
      </c>
      <c r="BF595" t="str">
        <f>HYPERLINK("http://dx.doi.org/10.1002/lol2.10337","http://dx.doi.org/10.1002/lol2.10337")</f>
        <v>http://dx.doi.org/10.1002/lol2.10337</v>
      </c>
      <c r="BG595" t="s">
        <v>74</v>
      </c>
      <c r="BH595" t="s">
        <v>10102</v>
      </c>
      <c r="BI595">
        <v>11</v>
      </c>
      <c r="BJ595" t="s">
        <v>11650</v>
      </c>
      <c r="BK595" t="s">
        <v>104</v>
      </c>
      <c r="BL595" t="s">
        <v>569</v>
      </c>
      <c r="BM595" t="s">
        <v>11651</v>
      </c>
      <c r="BN595" t="s">
        <v>74</v>
      </c>
      <c r="BO595" t="s">
        <v>206</v>
      </c>
      <c r="BP595" t="s">
        <v>74</v>
      </c>
      <c r="BQ595" t="s">
        <v>74</v>
      </c>
      <c r="BR595" t="s">
        <v>107</v>
      </c>
      <c r="BS595" t="s">
        <v>11652</v>
      </c>
      <c r="BT595" t="str">
        <f>HYPERLINK("https%3A%2F%2Fwww.webofscience.com%2Fwos%2Fwoscc%2Ffull-record%2FWOS:001015499700001","View Full Record in Web of Science")</f>
        <v>View Full Record in Web of Science</v>
      </c>
    </row>
    <row r="596" spans="1:72" x14ac:dyDescent="0.15">
      <c r="A596" t="s">
        <v>72</v>
      </c>
      <c r="B596" t="s">
        <v>11653</v>
      </c>
      <c r="C596" t="s">
        <v>74</v>
      </c>
      <c r="D596" t="s">
        <v>74</v>
      </c>
      <c r="E596" t="s">
        <v>74</v>
      </c>
      <c r="F596" t="s">
        <v>11654</v>
      </c>
      <c r="G596" t="s">
        <v>74</v>
      </c>
      <c r="H596" t="s">
        <v>74</v>
      </c>
      <c r="I596" t="s">
        <v>11655</v>
      </c>
      <c r="J596" t="s">
        <v>4120</v>
      </c>
      <c r="K596" t="s">
        <v>74</v>
      </c>
      <c r="L596" t="s">
        <v>74</v>
      </c>
      <c r="M596" t="s">
        <v>78</v>
      </c>
      <c r="N596" t="s">
        <v>3197</v>
      </c>
      <c r="O596" t="s">
        <v>74</v>
      </c>
      <c r="P596" t="s">
        <v>74</v>
      </c>
      <c r="Q596" t="s">
        <v>74</v>
      </c>
      <c r="R596" t="s">
        <v>74</v>
      </c>
      <c r="S596" t="s">
        <v>74</v>
      </c>
      <c r="T596" t="s">
        <v>74</v>
      </c>
      <c r="U596" t="s">
        <v>11656</v>
      </c>
      <c r="V596" t="s">
        <v>11657</v>
      </c>
      <c r="W596" t="s">
        <v>11658</v>
      </c>
      <c r="X596" t="s">
        <v>11659</v>
      </c>
      <c r="Y596" t="s">
        <v>11660</v>
      </c>
      <c r="Z596" t="s">
        <v>11661</v>
      </c>
      <c r="AA596" t="s">
        <v>11662</v>
      </c>
      <c r="AB596" t="s">
        <v>11663</v>
      </c>
      <c r="AC596" t="s">
        <v>11664</v>
      </c>
      <c r="AD596" t="s">
        <v>11665</v>
      </c>
      <c r="AE596" t="s">
        <v>11666</v>
      </c>
      <c r="AF596" t="s">
        <v>74</v>
      </c>
      <c r="AG596">
        <v>66</v>
      </c>
      <c r="AH596">
        <v>1</v>
      </c>
      <c r="AI596">
        <v>1</v>
      </c>
      <c r="AJ596">
        <v>3</v>
      </c>
      <c r="AK596">
        <v>7</v>
      </c>
      <c r="AL596" t="s">
        <v>1775</v>
      </c>
      <c r="AM596" t="s">
        <v>1776</v>
      </c>
      <c r="AN596" t="s">
        <v>1777</v>
      </c>
      <c r="AO596" t="s">
        <v>4132</v>
      </c>
      <c r="AP596" t="s">
        <v>4133</v>
      </c>
      <c r="AQ596" t="s">
        <v>74</v>
      </c>
      <c r="AR596" t="s">
        <v>4134</v>
      </c>
      <c r="AS596" t="s">
        <v>4135</v>
      </c>
      <c r="AT596" t="s">
        <v>8596</v>
      </c>
      <c r="AU596">
        <v>2023</v>
      </c>
      <c r="AV596">
        <v>15</v>
      </c>
      <c r="AW596">
        <v>6</v>
      </c>
      <c r="AX596" t="s">
        <v>74</v>
      </c>
      <c r="AY596" t="s">
        <v>74</v>
      </c>
      <c r="AZ596" t="s">
        <v>74</v>
      </c>
      <c r="BA596" t="s">
        <v>74</v>
      </c>
      <c r="BB596">
        <v>2517</v>
      </c>
      <c r="BC596">
        <v>2532</v>
      </c>
      <c r="BD596" t="s">
        <v>74</v>
      </c>
      <c r="BE596" t="s">
        <v>11667</v>
      </c>
      <c r="BF596" t="str">
        <f>HYPERLINK("http://dx.doi.org/10.5194/essd-15-2517-2023","http://dx.doi.org/10.5194/essd-15-2517-2023")</f>
        <v>http://dx.doi.org/10.5194/essd-15-2517-2023</v>
      </c>
      <c r="BG596" t="s">
        <v>74</v>
      </c>
      <c r="BH596" t="s">
        <v>74</v>
      </c>
      <c r="BI596">
        <v>16</v>
      </c>
      <c r="BJ596" t="s">
        <v>3351</v>
      </c>
      <c r="BK596" t="s">
        <v>104</v>
      </c>
      <c r="BL596" t="s">
        <v>3352</v>
      </c>
      <c r="BM596" t="s">
        <v>11668</v>
      </c>
      <c r="BN596" t="s">
        <v>74</v>
      </c>
      <c r="BO596" t="s">
        <v>11669</v>
      </c>
      <c r="BP596" t="s">
        <v>74</v>
      </c>
      <c r="BQ596" t="s">
        <v>74</v>
      </c>
      <c r="BR596" t="s">
        <v>107</v>
      </c>
      <c r="BS596" t="s">
        <v>11670</v>
      </c>
      <c r="BT596" t="str">
        <f>HYPERLINK("https%3A%2F%2Fwww.webofscience.com%2Fwos%2Fwoscc%2Ffull-record%2FWOS:001015089400001","View Full Record in Web of Science")</f>
        <v>View Full Record in Web of Science</v>
      </c>
    </row>
    <row r="597" spans="1:72" x14ac:dyDescent="0.15">
      <c r="A597" t="s">
        <v>72</v>
      </c>
      <c r="B597" t="s">
        <v>11671</v>
      </c>
      <c r="C597" t="s">
        <v>74</v>
      </c>
      <c r="D597" t="s">
        <v>74</v>
      </c>
      <c r="E597" t="s">
        <v>74</v>
      </c>
      <c r="F597" t="s">
        <v>11672</v>
      </c>
      <c r="G597" t="s">
        <v>74</v>
      </c>
      <c r="H597" t="s">
        <v>74</v>
      </c>
      <c r="I597" t="s">
        <v>11673</v>
      </c>
      <c r="J597" t="s">
        <v>11674</v>
      </c>
      <c r="K597" t="s">
        <v>74</v>
      </c>
      <c r="L597" t="s">
        <v>74</v>
      </c>
      <c r="M597" t="s">
        <v>78</v>
      </c>
      <c r="N597" t="s">
        <v>79</v>
      </c>
      <c r="O597" t="s">
        <v>74</v>
      </c>
      <c r="P597" t="s">
        <v>74</v>
      </c>
      <c r="Q597" t="s">
        <v>74</v>
      </c>
      <c r="R597" t="s">
        <v>74</v>
      </c>
      <c r="S597" t="s">
        <v>74</v>
      </c>
      <c r="T597" t="s">
        <v>11675</v>
      </c>
      <c r="U597" t="s">
        <v>11676</v>
      </c>
      <c r="V597" t="s">
        <v>11677</v>
      </c>
      <c r="W597" t="s">
        <v>11678</v>
      </c>
      <c r="X597" t="s">
        <v>11679</v>
      </c>
      <c r="Y597" t="s">
        <v>11680</v>
      </c>
      <c r="Z597" t="s">
        <v>11681</v>
      </c>
      <c r="AA597" t="s">
        <v>74</v>
      </c>
      <c r="AB597" t="s">
        <v>74</v>
      </c>
      <c r="AC597" t="s">
        <v>11682</v>
      </c>
      <c r="AD597" t="s">
        <v>11683</v>
      </c>
      <c r="AE597" t="s">
        <v>11684</v>
      </c>
      <c r="AF597" t="s">
        <v>74</v>
      </c>
      <c r="AG597">
        <v>101</v>
      </c>
      <c r="AH597">
        <v>0</v>
      </c>
      <c r="AI597">
        <v>0</v>
      </c>
      <c r="AJ597">
        <v>4</v>
      </c>
      <c r="AK597">
        <v>9</v>
      </c>
      <c r="AL597" t="s">
        <v>298</v>
      </c>
      <c r="AM597" t="s">
        <v>3791</v>
      </c>
      <c r="AN597" t="s">
        <v>3792</v>
      </c>
      <c r="AO597" t="s">
        <v>11685</v>
      </c>
      <c r="AP597" t="s">
        <v>11686</v>
      </c>
      <c r="AQ597" t="s">
        <v>74</v>
      </c>
      <c r="AR597" t="s">
        <v>11674</v>
      </c>
      <c r="AS597" t="s">
        <v>11687</v>
      </c>
      <c r="AT597" t="s">
        <v>3612</v>
      </c>
      <c r="AU597">
        <v>2023</v>
      </c>
      <c r="AV597">
        <v>164</v>
      </c>
      <c r="AW597">
        <v>3</v>
      </c>
      <c r="AX597" t="s">
        <v>74</v>
      </c>
      <c r="AY597" t="s">
        <v>74</v>
      </c>
      <c r="AZ597" t="s">
        <v>74</v>
      </c>
      <c r="BA597" t="s">
        <v>74</v>
      </c>
      <c r="BB597">
        <v>555</v>
      </c>
      <c r="BC597">
        <v>575</v>
      </c>
      <c r="BD597" t="s">
        <v>74</v>
      </c>
      <c r="BE597" t="s">
        <v>11688</v>
      </c>
      <c r="BF597" t="str">
        <f>HYPERLINK("http://dx.doi.org/10.1007/s10533-023-01053-8","http://dx.doi.org/10.1007/s10533-023-01053-8")</f>
        <v>http://dx.doi.org/10.1007/s10533-023-01053-8</v>
      </c>
      <c r="BG597" t="s">
        <v>74</v>
      </c>
      <c r="BH597" t="s">
        <v>10102</v>
      </c>
      <c r="BI597">
        <v>21</v>
      </c>
      <c r="BJ597" t="s">
        <v>1171</v>
      </c>
      <c r="BK597" t="s">
        <v>104</v>
      </c>
      <c r="BL597" t="s">
        <v>248</v>
      </c>
      <c r="BM597" t="s">
        <v>11689</v>
      </c>
      <c r="BN597" t="s">
        <v>74</v>
      </c>
      <c r="BO597" t="s">
        <v>74</v>
      </c>
      <c r="BP597" t="s">
        <v>74</v>
      </c>
      <c r="BQ597" t="s">
        <v>74</v>
      </c>
      <c r="BR597" t="s">
        <v>107</v>
      </c>
      <c r="BS597" t="s">
        <v>11690</v>
      </c>
      <c r="BT597" t="str">
        <f>HYPERLINK("https%3A%2F%2Fwww.webofscience.com%2Fwos%2Fwoscc%2Ffull-record%2FWOS:001011692000001","View Full Record in Web of Science")</f>
        <v>View Full Record in Web of Science</v>
      </c>
    </row>
    <row r="598" spans="1:72" x14ac:dyDescent="0.15">
      <c r="A598" t="s">
        <v>72</v>
      </c>
      <c r="B598" t="s">
        <v>11691</v>
      </c>
      <c r="C598" t="s">
        <v>74</v>
      </c>
      <c r="D598" t="s">
        <v>74</v>
      </c>
      <c r="E598" t="s">
        <v>74</v>
      </c>
      <c r="F598" t="s">
        <v>11692</v>
      </c>
      <c r="G598" t="s">
        <v>74</v>
      </c>
      <c r="H598" t="s">
        <v>74</v>
      </c>
      <c r="I598" t="s">
        <v>11693</v>
      </c>
      <c r="J598" t="s">
        <v>11694</v>
      </c>
      <c r="K598" t="s">
        <v>74</v>
      </c>
      <c r="L598" t="s">
        <v>74</v>
      </c>
      <c r="M598" t="s">
        <v>78</v>
      </c>
      <c r="N598" t="s">
        <v>79</v>
      </c>
      <c r="O598" t="s">
        <v>74</v>
      </c>
      <c r="P598" t="s">
        <v>74</v>
      </c>
      <c r="Q598" t="s">
        <v>74</v>
      </c>
      <c r="R598" t="s">
        <v>74</v>
      </c>
      <c r="S598" t="s">
        <v>74</v>
      </c>
      <c r="T598" t="s">
        <v>11695</v>
      </c>
      <c r="U598" t="s">
        <v>11696</v>
      </c>
      <c r="V598" t="s">
        <v>11697</v>
      </c>
      <c r="W598" t="s">
        <v>11698</v>
      </c>
      <c r="X598" t="s">
        <v>74</v>
      </c>
      <c r="Y598" t="s">
        <v>11699</v>
      </c>
      <c r="Z598" t="s">
        <v>11700</v>
      </c>
      <c r="AA598" t="s">
        <v>74</v>
      </c>
      <c r="AB598" t="s">
        <v>74</v>
      </c>
      <c r="AC598" t="s">
        <v>74</v>
      </c>
      <c r="AD598" t="s">
        <v>74</v>
      </c>
      <c r="AE598" t="s">
        <v>74</v>
      </c>
      <c r="AF598" t="s">
        <v>74</v>
      </c>
      <c r="AG598">
        <v>57</v>
      </c>
      <c r="AH598">
        <v>0</v>
      </c>
      <c r="AI598">
        <v>0</v>
      </c>
      <c r="AJ598">
        <v>1</v>
      </c>
      <c r="AK598">
        <v>1</v>
      </c>
      <c r="AL598" t="s">
        <v>7633</v>
      </c>
      <c r="AM598" t="s">
        <v>2763</v>
      </c>
      <c r="AN598" t="s">
        <v>7634</v>
      </c>
      <c r="AO598" t="s">
        <v>11701</v>
      </c>
      <c r="AP598" t="s">
        <v>11702</v>
      </c>
      <c r="AQ598" t="s">
        <v>74</v>
      </c>
      <c r="AR598" t="s">
        <v>11703</v>
      </c>
      <c r="AS598" t="s">
        <v>11704</v>
      </c>
      <c r="AT598" t="s">
        <v>11705</v>
      </c>
      <c r="AU598">
        <v>2023</v>
      </c>
      <c r="AV598">
        <v>32</v>
      </c>
      <c r="AW598">
        <v>2</v>
      </c>
      <c r="AX598" t="s">
        <v>74</v>
      </c>
      <c r="AY598" t="s">
        <v>74</v>
      </c>
      <c r="AZ598" t="s">
        <v>74</v>
      </c>
      <c r="BA598" t="s">
        <v>74</v>
      </c>
      <c r="BB598">
        <v>175</v>
      </c>
      <c r="BC598">
        <v>189</v>
      </c>
      <c r="BD598" t="s">
        <v>74</v>
      </c>
      <c r="BE598" t="s">
        <v>11706</v>
      </c>
      <c r="BF598" t="str">
        <f>HYPERLINK("http://dx.doi.org/10.1080/10383441.2023.2223481","http://dx.doi.org/10.1080/10383441.2023.2223481")</f>
        <v>http://dx.doi.org/10.1080/10383441.2023.2223481</v>
      </c>
      <c r="BG598" t="s">
        <v>74</v>
      </c>
      <c r="BH598" t="s">
        <v>10102</v>
      </c>
      <c r="BI598">
        <v>15</v>
      </c>
      <c r="BJ598" t="s">
        <v>11707</v>
      </c>
      <c r="BK598" t="s">
        <v>518</v>
      </c>
      <c r="BL598" t="s">
        <v>11708</v>
      </c>
      <c r="BM598" t="s">
        <v>11709</v>
      </c>
      <c r="BN598" t="s">
        <v>74</v>
      </c>
      <c r="BO598" t="s">
        <v>549</v>
      </c>
      <c r="BP598" t="s">
        <v>74</v>
      </c>
      <c r="BQ598" t="s">
        <v>74</v>
      </c>
      <c r="BR598" t="s">
        <v>107</v>
      </c>
      <c r="BS598" t="s">
        <v>11710</v>
      </c>
      <c r="BT598" t="str">
        <f>HYPERLINK("https%3A%2F%2Fwww.webofscience.com%2Fwos%2Fwoscc%2Ffull-record%2FWOS:001010005100001","View Full Record in Web of Science")</f>
        <v>View Full Record in Web of Science</v>
      </c>
    </row>
    <row r="599" spans="1:72" x14ac:dyDescent="0.15">
      <c r="A599" t="s">
        <v>72</v>
      </c>
      <c r="B599" t="s">
        <v>11711</v>
      </c>
      <c r="C599" t="s">
        <v>74</v>
      </c>
      <c r="D599" t="s">
        <v>74</v>
      </c>
      <c r="E599" t="s">
        <v>74</v>
      </c>
      <c r="F599" t="s">
        <v>11712</v>
      </c>
      <c r="G599" t="s">
        <v>74</v>
      </c>
      <c r="H599" t="s">
        <v>74</v>
      </c>
      <c r="I599" t="s">
        <v>11713</v>
      </c>
      <c r="J599" t="s">
        <v>2353</v>
      </c>
      <c r="K599" t="s">
        <v>74</v>
      </c>
      <c r="L599" t="s">
        <v>74</v>
      </c>
      <c r="M599" t="s">
        <v>78</v>
      </c>
      <c r="N599" t="s">
        <v>424</v>
      </c>
      <c r="O599" t="s">
        <v>74</v>
      </c>
      <c r="P599" t="s">
        <v>74</v>
      </c>
      <c r="Q599" t="s">
        <v>74</v>
      </c>
      <c r="R599" t="s">
        <v>74</v>
      </c>
      <c r="S599" t="s">
        <v>74</v>
      </c>
      <c r="T599" t="s">
        <v>74</v>
      </c>
      <c r="U599" t="s">
        <v>11714</v>
      </c>
      <c r="V599" t="s">
        <v>11715</v>
      </c>
      <c r="W599" t="s">
        <v>11716</v>
      </c>
      <c r="X599" t="s">
        <v>11717</v>
      </c>
      <c r="Y599" t="s">
        <v>11718</v>
      </c>
      <c r="Z599" t="s">
        <v>11719</v>
      </c>
      <c r="AA599" t="s">
        <v>11720</v>
      </c>
      <c r="AB599" t="s">
        <v>11721</v>
      </c>
      <c r="AC599" t="s">
        <v>11722</v>
      </c>
      <c r="AD599" t="s">
        <v>11723</v>
      </c>
      <c r="AE599" t="s">
        <v>11724</v>
      </c>
      <c r="AF599" t="s">
        <v>74</v>
      </c>
      <c r="AG599">
        <v>97</v>
      </c>
      <c r="AH599">
        <v>4</v>
      </c>
      <c r="AI599">
        <v>5</v>
      </c>
      <c r="AJ599">
        <v>11</v>
      </c>
      <c r="AK599">
        <v>20</v>
      </c>
      <c r="AL599" t="s">
        <v>146</v>
      </c>
      <c r="AM599" t="s">
        <v>147</v>
      </c>
      <c r="AN599" t="s">
        <v>148</v>
      </c>
      <c r="AO599" t="s">
        <v>2365</v>
      </c>
      <c r="AP599" t="s">
        <v>2366</v>
      </c>
      <c r="AQ599" t="s">
        <v>74</v>
      </c>
      <c r="AR599" t="s">
        <v>2367</v>
      </c>
      <c r="AS599" t="s">
        <v>2368</v>
      </c>
      <c r="AT599" t="s">
        <v>3612</v>
      </c>
      <c r="AU599">
        <v>2023</v>
      </c>
      <c r="AV599">
        <v>13</v>
      </c>
      <c r="AW599">
        <v>7</v>
      </c>
      <c r="AX599" t="s">
        <v>74</v>
      </c>
      <c r="AY599" t="s">
        <v>74</v>
      </c>
      <c r="AZ599" t="s">
        <v>74</v>
      </c>
      <c r="BA599" t="s">
        <v>74</v>
      </c>
      <c r="BB599">
        <v>648</v>
      </c>
      <c r="BC599">
        <v>660</v>
      </c>
      <c r="BD599" t="s">
        <v>74</v>
      </c>
      <c r="BE599" t="s">
        <v>11725</v>
      </c>
      <c r="BF599" t="str">
        <f>HYPERLINK("http://dx.doi.org/10.1038/s41558-023-01691-8","http://dx.doi.org/10.1038/s41558-023-01691-8")</f>
        <v>http://dx.doi.org/10.1038/s41558-023-01691-8</v>
      </c>
      <c r="BG599" t="s">
        <v>74</v>
      </c>
      <c r="BH599" t="s">
        <v>10102</v>
      </c>
      <c r="BI599">
        <v>13</v>
      </c>
      <c r="BJ599" t="s">
        <v>2371</v>
      </c>
      <c r="BK599" t="s">
        <v>881</v>
      </c>
      <c r="BL599" t="s">
        <v>2372</v>
      </c>
      <c r="BM599" t="s">
        <v>11726</v>
      </c>
      <c r="BN599" t="s">
        <v>74</v>
      </c>
      <c r="BO599" t="s">
        <v>418</v>
      </c>
      <c r="BP599" t="s">
        <v>74</v>
      </c>
      <c r="BQ599" t="s">
        <v>74</v>
      </c>
      <c r="BR599" t="s">
        <v>107</v>
      </c>
      <c r="BS599" t="s">
        <v>11727</v>
      </c>
      <c r="BT599" t="str">
        <f>HYPERLINK("https%3A%2F%2Fwww.webofscience.com%2Fwos%2Fwoscc%2Ffull-record%2FWOS:001010701300004","View Full Record in Web of Science")</f>
        <v>View Full Record in Web of Science</v>
      </c>
    </row>
    <row r="600" spans="1:72" x14ac:dyDescent="0.15">
      <c r="A600" t="s">
        <v>72</v>
      </c>
      <c r="B600" t="s">
        <v>11728</v>
      </c>
      <c r="C600" t="s">
        <v>74</v>
      </c>
      <c r="D600" t="s">
        <v>74</v>
      </c>
      <c r="E600" t="s">
        <v>74</v>
      </c>
      <c r="F600" t="s">
        <v>11729</v>
      </c>
      <c r="G600" t="s">
        <v>74</v>
      </c>
      <c r="H600" t="s">
        <v>74</v>
      </c>
      <c r="I600" t="s">
        <v>11730</v>
      </c>
      <c r="J600" t="s">
        <v>11731</v>
      </c>
      <c r="K600" t="s">
        <v>74</v>
      </c>
      <c r="L600" t="s">
        <v>74</v>
      </c>
      <c r="M600" t="s">
        <v>78</v>
      </c>
      <c r="N600" t="s">
        <v>79</v>
      </c>
      <c r="O600" t="s">
        <v>74</v>
      </c>
      <c r="P600" t="s">
        <v>74</v>
      </c>
      <c r="Q600" t="s">
        <v>74</v>
      </c>
      <c r="R600" t="s">
        <v>74</v>
      </c>
      <c r="S600" t="s">
        <v>74</v>
      </c>
      <c r="T600" t="s">
        <v>11732</v>
      </c>
      <c r="U600" t="s">
        <v>11733</v>
      </c>
      <c r="V600" t="s">
        <v>11734</v>
      </c>
      <c r="W600" t="s">
        <v>11735</v>
      </c>
      <c r="X600" t="s">
        <v>11736</v>
      </c>
      <c r="Y600" t="s">
        <v>11737</v>
      </c>
      <c r="Z600" t="s">
        <v>11738</v>
      </c>
      <c r="AA600" t="s">
        <v>74</v>
      </c>
      <c r="AB600" t="s">
        <v>74</v>
      </c>
      <c r="AC600" t="s">
        <v>11739</v>
      </c>
      <c r="AD600" t="s">
        <v>11740</v>
      </c>
      <c r="AE600" t="s">
        <v>11741</v>
      </c>
      <c r="AF600" t="s">
        <v>74</v>
      </c>
      <c r="AG600">
        <v>104</v>
      </c>
      <c r="AH600">
        <v>1</v>
      </c>
      <c r="AI600">
        <v>1</v>
      </c>
      <c r="AJ600">
        <v>8</v>
      </c>
      <c r="AK600">
        <v>9</v>
      </c>
      <c r="AL600" t="s">
        <v>3672</v>
      </c>
      <c r="AM600" t="s">
        <v>538</v>
      </c>
      <c r="AN600" t="s">
        <v>3673</v>
      </c>
      <c r="AO600" t="s">
        <v>11742</v>
      </c>
      <c r="AP600" t="s">
        <v>11743</v>
      </c>
      <c r="AQ600" t="s">
        <v>74</v>
      </c>
      <c r="AR600" t="s">
        <v>11744</v>
      </c>
      <c r="AS600" t="s">
        <v>11745</v>
      </c>
      <c r="AT600" t="s">
        <v>4689</v>
      </c>
      <c r="AU600">
        <v>2023</v>
      </c>
      <c r="AV600">
        <v>184</v>
      </c>
      <c r="AW600" t="s">
        <v>74</v>
      </c>
      <c r="AX600" t="s">
        <v>74</v>
      </c>
      <c r="AY600" t="s">
        <v>74</v>
      </c>
      <c r="AZ600" t="s">
        <v>74</v>
      </c>
      <c r="BA600" t="s">
        <v>74</v>
      </c>
      <c r="BB600" t="s">
        <v>74</v>
      </c>
      <c r="BC600" t="s">
        <v>74</v>
      </c>
      <c r="BD600">
        <v>102227</v>
      </c>
      <c r="BE600" t="s">
        <v>11746</v>
      </c>
      <c r="BF600" t="str">
        <f>HYPERLINK("http://dx.doi.org/10.1016/j.ocemod.2023.102227","http://dx.doi.org/10.1016/j.ocemod.2023.102227")</f>
        <v>http://dx.doi.org/10.1016/j.ocemod.2023.102227</v>
      </c>
      <c r="BG600" t="s">
        <v>74</v>
      </c>
      <c r="BH600" t="s">
        <v>10102</v>
      </c>
      <c r="BI600">
        <v>25</v>
      </c>
      <c r="BJ600" t="s">
        <v>4321</v>
      </c>
      <c r="BK600" t="s">
        <v>104</v>
      </c>
      <c r="BL600" t="s">
        <v>4321</v>
      </c>
      <c r="BM600" t="s">
        <v>11747</v>
      </c>
      <c r="BN600" t="s">
        <v>74</v>
      </c>
      <c r="BO600" t="s">
        <v>74</v>
      </c>
      <c r="BP600" t="s">
        <v>74</v>
      </c>
      <c r="BQ600" t="s">
        <v>74</v>
      </c>
      <c r="BR600" t="s">
        <v>107</v>
      </c>
      <c r="BS600" t="s">
        <v>11748</v>
      </c>
      <c r="BT600" t="str">
        <f>HYPERLINK("https%3A%2F%2Fwww.webofscience.com%2Fwos%2Fwoscc%2Ffull-record%2FWOS:001025772000001","View Full Record in Web of Science")</f>
        <v>View Full Record in Web of Science</v>
      </c>
    </row>
    <row r="601" spans="1:72" x14ac:dyDescent="0.15">
      <c r="A601" t="s">
        <v>72</v>
      </c>
      <c r="B601" t="s">
        <v>11749</v>
      </c>
      <c r="C601" t="s">
        <v>74</v>
      </c>
      <c r="D601" t="s">
        <v>74</v>
      </c>
      <c r="E601" t="s">
        <v>74</v>
      </c>
      <c r="F601" t="s">
        <v>11750</v>
      </c>
      <c r="G601" t="s">
        <v>74</v>
      </c>
      <c r="H601" t="s">
        <v>74</v>
      </c>
      <c r="I601" t="s">
        <v>11751</v>
      </c>
      <c r="J601" t="s">
        <v>2610</v>
      </c>
      <c r="K601" t="s">
        <v>74</v>
      </c>
      <c r="L601" t="s">
        <v>74</v>
      </c>
      <c r="M601" t="s">
        <v>78</v>
      </c>
      <c r="N601" t="s">
        <v>79</v>
      </c>
      <c r="O601" t="s">
        <v>74</v>
      </c>
      <c r="P601" t="s">
        <v>74</v>
      </c>
      <c r="Q601" t="s">
        <v>74</v>
      </c>
      <c r="R601" t="s">
        <v>74</v>
      </c>
      <c r="S601" t="s">
        <v>74</v>
      </c>
      <c r="T601" t="s">
        <v>74</v>
      </c>
      <c r="U601" t="s">
        <v>11752</v>
      </c>
      <c r="V601" t="s">
        <v>11753</v>
      </c>
      <c r="W601" t="s">
        <v>11754</v>
      </c>
      <c r="X601" t="s">
        <v>11755</v>
      </c>
      <c r="Y601" t="s">
        <v>11756</v>
      </c>
      <c r="Z601" t="s">
        <v>11757</v>
      </c>
      <c r="AA601" t="s">
        <v>11758</v>
      </c>
      <c r="AB601" t="s">
        <v>11759</v>
      </c>
      <c r="AC601" t="s">
        <v>11760</v>
      </c>
      <c r="AD601" t="s">
        <v>11761</v>
      </c>
      <c r="AE601" t="s">
        <v>11762</v>
      </c>
      <c r="AF601" t="s">
        <v>74</v>
      </c>
      <c r="AG601">
        <v>74</v>
      </c>
      <c r="AH601">
        <v>5</v>
      </c>
      <c r="AI601">
        <v>5</v>
      </c>
      <c r="AJ601">
        <v>18</v>
      </c>
      <c r="AK601">
        <v>26</v>
      </c>
      <c r="AL601" t="s">
        <v>2617</v>
      </c>
      <c r="AM601" t="s">
        <v>1528</v>
      </c>
      <c r="AN601" t="s">
        <v>2618</v>
      </c>
      <c r="AO601" t="s">
        <v>74</v>
      </c>
      <c r="AP601" t="s">
        <v>2619</v>
      </c>
      <c r="AQ601" t="s">
        <v>74</v>
      </c>
      <c r="AR601" t="s">
        <v>2620</v>
      </c>
      <c r="AS601" t="s">
        <v>2621</v>
      </c>
      <c r="AT601" t="s">
        <v>11763</v>
      </c>
      <c r="AU601">
        <v>2023</v>
      </c>
      <c r="AV601">
        <v>4</v>
      </c>
      <c r="AW601">
        <v>1</v>
      </c>
      <c r="AX601" t="s">
        <v>74</v>
      </c>
      <c r="AY601" t="s">
        <v>74</v>
      </c>
      <c r="AZ601" t="s">
        <v>74</v>
      </c>
      <c r="BA601" t="s">
        <v>74</v>
      </c>
      <c r="BB601" t="s">
        <v>74</v>
      </c>
      <c r="BC601" t="s">
        <v>74</v>
      </c>
      <c r="BD601">
        <v>218</v>
      </c>
      <c r="BE601" t="s">
        <v>11764</v>
      </c>
      <c r="BF601" t="str">
        <f>HYPERLINK("http://dx.doi.org/10.1038/s43247-023-00863-w","http://dx.doi.org/10.1038/s43247-023-00863-w")</f>
        <v>http://dx.doi.org/10.1038/s43247-023-00863-w</v>
      </c>
      <c r="BG601" t="s">
        <v>74</v>
      </c>
      <c r="BH601" t="s">
        <v>74</v>
      </c>
      <c r="BI601">
        <v>9</v>
      </c>
      <c r="BJ601" t="s">
        <v>1214</v>
      </c>
      <c r="BK601" t="s">
        <v>104</v>
      </c>
      <c r="BL601" t="s">
        <v>1215</v>
      </c>
      <c r="BM601" t="s">
        <v>11765</v>
      </c>
      <c r="BN601" t="s">
        <v>74</v>
      </c>
      <c r="BO601" t="s">
        <v>206</v>
      </c>
      <c r="BP601" t="s">
        <v>74</v>
      </c>
      <c r="BQ601" t="s">
        <v>74</v>
      </c>
      <c r="BR601" t="s">
        <v>107</v>
      </c>
      <c r="BS601" t="s">
        <v>11766</v>
      </c>
      <c r="BT601" t="str">
        <f>HYPERLINK("https%3A%2F%2Fwww.webofscience.com%2Fwos%2Fwoscc%2Ffull-record%2FWOS:001010812200002","View Full Record in Web of Science")</f>
        <v>View Full Record in Web of Science</v>
      </c>
    </row>
    <row r="602" spans="1:72" x14ac:dyDescent="0.15">
      <c r="A602" t="s">
        <v>72</v>
      </c>
      <c r="B602" t="s">
        <v>11767</v>
      </c>
      <c r="C602" t="s">
        <v>74</v>
      </c>
      <c r="D602" t="s">
        <v>74</v>
      </c>
      <c r="E602" t="s">
        <v>74</v>
      </c>
      <c r="F602" t="s">
        <v>11768</v>
      </c>
      <c r="G602" t="s">
        <v>74</v>
      </c>
      <c r="H602" t="s">
        <v>74</v>
      </c>
      <c r="I602" t="s">
        <v>11769</v>
      </c>
      <c r="J602" t="s">
        <v>11770</v>
      </c>
      <c r="K602" t="s">
        <v>74</v>
      </c>
      <c r="L602" t="s">
        <v>74</v>
      </c>
      <c r="M602" t="s">
        <v>78</v>
      </c>
      <c r="N602" t="s">
        <v>79</v>
      </c>
      <c r="O602" t="s">
        <v>74</v>
      </c>
      <c r="P602" t="s">
        <v>74</v>
      </c>
      <c r="Q602" t="s">
        <v>74</v>
      </c>
      <c r="R602" t="s">
        <v>74</v>
      </c>
      <c r="S602" t="s">
        <v>74</v>
      </c>
      <c r="T602" t="s">
        <v>11771</v>
      </c>
      <c r="U602" t="s">
        <v>11772</v>
      </c>
      <c r="V602" t="s">
        <v>11773</v>
      </c>
      <c r="W602" t="s">
        <v>11774</v>
      </c>
      <c r="X602" t="s">
        <v>11775</v>
      </c>
      <c r="Y602" t="s">
        <v>11776</v>
      </c>
      <c r="Z602" t="s">
        <v>11777</v>
      </c>
      <c r="AA602" t="s">
        <v>11778</v>
      </c>
      <c r="AB602" t="s">
        <v>11779</v>
      </c>
      <c r="AC602" t="s">
        <v>11780</v>
      </c>
      <c r="AD602" t="s">
        <v>11781</v>
      </c>
      <c r="AE602" t="s">
        <v>11782</v>
      </c>
      <c r="AF602" t="s">
        <v>74</v>
      </c>
      <c r="AG602">
        <v>75</v>
      </c>
      <c r="AH602">
        <v>0</v>
      </c>
      <c r="AI602">
        <v>0</v>
      </c>
      <c r="AJ602">
        <v>3</v>
      </c>
      <c r="AK602">
        <v>5</v>
      </c>
      <c r="AL602" t="s">
        <v>2762</v>
      </c>
      <c r="AM602" t="s">
        <v>2763</v>
      </c>
      <c r="AN602" t="s">
        <v>2764</v>
      </c>
      <c r="AO602" t="s">
        <v>11783</v>
      </c>
      <c r="AP602" t="s">
        <v>11784</v>
      </c>
      <c r="AQ602" t="s">
        <v>74</v>
      </c>
      <c r="AR602" t="s">
        <v>11770</v>
      </c>
      <c r="AS602" t="s">
        <v>11785</v>
      </c>
      <c r="AT602" t="s">
        <v>3928</v>
      </c>
      <c r="AU602">
        <v>2023</v>
      </c>
      <c r="AV602">
        <v>7</v>
      </c>
      <c r="AW602">
        <v>4</v>
      </c>
      <c r="AX602" t="s">
        <v>74</v>
      </c>
      <c r="AY602" t="s">
        <v>74</v>
      </c>
      <c r="AZ602" t="s">
        <v>99</v>
      </c>
      <c r="BA602" t="s">
        <v>74</v>
      </c>
      <c r="BB602">
        <v>1094</v>
      </c>
      <c r="BC602">
        <v>1119</v>
      </c>
      <c r="BD602" t="s">
        <v>74</v>
      </c>
      <c r="BE602" t="s">
        <v>11786</v>
      </c>
      <c r="BF602" t="str">
        <f>HYPERLINK("http://dx.doi.org/10.1080/20964471.2023.2222940","http://dx.doi.org/10.1080/20964471.2023.2222940")</f>
        <v>http://dx.doi.org/10.1080/20964471.2023.2222940</v>
      </c>
      <c r="BG602" t="s">
        <v>74</v>
      </c>
      <c r="BH602" t="s">
        <v>10102</v>
      </c>
      <c r="BI602">
        <v>26</v>
      </c>
      <c r="BJ602" t="s">
        <v>11787</v>
      </c>
      <c r="BK602" t="s">
        <v>518</v>
      </c>
      <c r="BL602" t="s">
        <v>11788</v>
      </c>
      <c r="BM602" t="s">
        <v>11789</v>
      </c>
      <c r="BN602" t="s">
        <v>74</v>
      </c>
      <c r="BO602" t="s">
        <v>206</v>
      </c>
      <c r="BP602" t="s">
        <v>74</v>
      </c>
      <c r="BQ602" t="s">
        <v>74</v>
      </c>
      <c r="BR602" t="s">
        <v>107</v>
      </c>
      <c r="BS602" t="s">
        <v>11790</v>
      </c>
      <c r="BT602" t="str">
        <f>HYPERLINK("https%3A%2F%2Fwww.webofscience.com%2Fwos%2Fwoscc%2Ffull-record%2FWOS:001047095300001","View Full Record in Web of Science")</f>
        <v>View Full Record in Web of Science</v>
      </c>
    </row>
    <row r="603" spans="1:72" x14ac:dyDescent="0.15">
      <c r="A603" t="s">
        <v>72</v>
      </c>
      <c r="B603" t="s">
        <v>11791</v>
      </c>
      <c r="C603" t="s">
        <v>74</v>
      </c>
      <c r="D603" t="s">
        <v>74</v>
      </c>
      <c r="E603" t="s">
        <v>74</v>
      </c>
      <c r="F603" t="s">
        <v>11792</v>
      </c>
      <c r="G603" t="s">
        <v>74</v>
      </c>
      <c r="H603" t="s">
        <v>74</v>
      </c>
      <c r="I603" t="s">
        <v>11793</v>
      </c>
      <c r="J603" t="s">
        <v>4066</v>
      </c>
      <c r="K603" t="s">
        <v>74</v>
      </c>
      <c r="L603" t="s">
        <v>74</v>
      </c>
      <c r="M603" t="s">
        <v>78</v>
      </c>
      <c r="N603" t="s">
        <v>424</v>
      </c>
      <c r="O603" t="s">
        <v>74</v>
      </c>
      <c r="P603" t="s">
        <v>74</v>
      </c>
      <c r="Q603" t="s">
        <v>74</v>
      </c>
      <c r="R603" t="s">
        <v>74</v>
      </c>
      <c r="S603" t="s">
        <v>74</v>
      </c>
      <c r="T603" t="s">
        <v>11794</v>
      </c>
      <c r="U603" t="s">
        <v>11795</v>
      </c>
      <c r="V603" t="s">
        <v>11796</v>
      </c>
      <c r="W603" t="s">
        <v>11797</v>
      </c>
      <c r="X603" t="s">
        <v>11798</v>
      </c>
      <c r="Y603" t="s">
        <v>11799</v>
      </c>
      <c r="Z603" t="s">
        <v>11800</v>
      </c>
      <c r="AA603" t="s">
        <v>11801</v>
      </c>
      <c r="AB603" t="s">
        <v>11802</v>
      </c>
      <c r="AC603" t="s">
        <v>11803</v>
      </c>
      <c r="AD603" t="s">
        <v>11804</v>
      </c>
      <c r="AE603" t="s">
        <v>11805</v>
      </c>
      <c r="AF603" t="s">
        <v>74</v>
      </c>
      <c r="AG603">
        <v>65</v>
      </c>
      <c r="AH603">
        <v>1</v>
      </c>
      <c r="AI603">
        <v>1</v>
      </c>
      <c r="AJ603">
        <v>9</v>
      </c>
      <c r="AK603">
        <v>14</v>
      </c>
      <c r="AL603" t="s">
        <v>2305</v>
      </c>
      <c r="AM603" t="s">
        <v>538</v>
      </c>
      <c r="AN603" t="s">
        <v>2306</v>
      </c>
      <c r="AO603" t="s">
        <v>4078</v>
      </c>
      <c r="AP603" t="s">
        <v>4079</v>
      </c>
      <c r="AQ603" t="s">
        <v>74</v>
      </c>
      <c r="AR603" t="s">
        <v>4080</v>
      </c>
      <c r="AS603" t="s">
        <v>4081</v>
      </c>
      <c r="AT603" t="s">
        <v>4689</v>
      </c>
      <c r="AU603">
        <v>2023</v>
      </c>
      <c r="AV603">
        <v>216</v>
      </c>
      <c r="AW603" t="s">
        <v>74</v>
      </c>
      <c r="AX603" t="s">
        <v>74</v>
      </c>
      <c r="AY603" t="s">
        <v>74</v>
      </c>
      <c r="AZ603" t="s">
        <v>74</v>
      </c>
      <c r="BA603" t="s">
        <v>74</v>
      </c>
      <c r="BB603" t="s">
        <v>74</v>
      </c>
      <c r="BC603" t="s">
        <v>74</v>
      </c>
      <c r="BD603">
        <v>103072</v>
      </c>
      <c r="BE603" t="s">
        <v>11806</v>
      </c>
      <c r="BF603" t="str">
        <f>HYPERLINK("http://dx.doi.org/10.1016/j.pocean.2023.103072","http://dx.doi.org/10.1016/j.pocean.2023.103072")</f>
        <v>http://dx.doi.org/10.1016/j.pocean.2023.103072</v>
      </c>
      <c r="BG603" t="s">
        <v>74</v>
      </c>
      <c r="BH603" t="s">
        <v>10102</v>
      </c>
      <c r="BI603">
        <v>15</v>
      </c>
      <c r="BJ603" t="s">
        <v>306</v>
      </c>
      <c r="BK603" t="s">
        <v>104</v>
      </c>
      <c r="BL603" t="s">
        <v>306</v>
      </c>
      <c r="BM603" t="s">
        <v>11807</v>
      </c>
      <c r="BN603" t="s">
        <v>74</v>
      </c>
      <c r="BO603" t="s">
        <v>74</v>
      </c>
      <c r="BP603" t="s">
        <v>74</v>
      </c>
      <c r="BQ603" t="s">
        <v>74</v>
      </c>
      <c r="BR603" t="s">
        <v>107</v>
      </c>
      <c r="BS603" t="s">
        <v>11808</v>
      </c>
      <c r="BT603" t="str">
        <f>HYPERLINK("https%3A%2F%2Fwww.webofscience.com%2Fwos%2Fwoscc%2Ffull-record%2FWOS:001032663700001","View Full Record in Web of Science")</f>
        <v>View Full Record in Web of Science</v>
      </c>
    </row>
    <row r="604" spans="1:72" x14ac:dyDescent="0.15">
      <c r="A604" t="s">
        <v>72</v>
      </c>
      <c r="B604" t="s">
        <v>11809</v>
      </c>
      <c r="C604" t="s">
        <v>74</v>
      </c>
      <c r="D604" t="s">
        <v>74</v>
      </c>
      <c r="E604" t="s">
        <v>74</v>
      </c>
      <c r="F604" t="s">
        <v>11810</v>
      </c>
      <c r="G604" t="s">
        <v>74</v>
      </c>
      <c r="H604" t="s">
        <v>74</v>
      </c>
      <c r="I604" t="s">
        <v>11811</v>
      </c>
      <c r="J604" t="s">
        <v>11812</v>
      </c>
      <c r="K604" t="s">
        <v>74</v>
      </c>
      <c r="L604" t="s">
        <v>74</v>
      </c>
      <c r="M604" t="s">
        <v>78</v>
      </c>
      <c r="N604" t="s">
        <v>79</v>
      </c>
      <c r="O604" t="s">
        <v>74</v>
      </c>
      <c r="P604" t="s">
        <v>74</v>
      </c>
      <c r="Q604" t="s">
        <v>74</v>
      </c>
      <c r="R604" t="s">
        <v>74</v>
      </c>
      <c r="S604" t="s">
        <v>74</v>
      </c>
      <c r="T604" t="s">
        <v>11813</v>
      </c>
      <c r="U604" t="s">
        <v>11814</v>
      </c>
      <c r="V604" t="s">
        <v>11815</v>
      </c>
      <c r="W604" t="s">
        <v>11816</v>
      </c>
      <c r="X604" t="s">
        <v>11817</v>
      </c>
      <c r="Y604" t="s">
        <v>11818</v>
      </c>
      <c r="Z604" t="s">
        <v>11819</v>
      </c>
      <c r="AA604" t="s">
        <v>11820</v>
      </c>
      <c r="AB604" t="s">
        <v>11821</v>
      </c>
      <c r="AC604" t="s">
        <v>11822</v>
      </c>
      <c r="AD604" t="s">
        <v>11823</v>
      </c>
      <c r="AE604" t="s">
        <v>11824</v>
      </c>
      <c r="AF604" t="s">
        <v>74</v>
      </c>
      <c r="AG604">
        <v>64</v>
      </c>
      <c r="AH604">
        <v>3</v>
      </c>
      <c r="AI604">
        <v>3</v>
      </c>
      <c r="AJ604">
        <v>4</v>
      </c>
      <c r="AK604">
        <v>5</v>
      </c>
      <c r="AL604" t="s">
        <v>172</v>
      </c>
      <c r="AM604" t="s">
        <v>173</v>
      </c>
      <c r="AN604" t="s">
        <v>174</v>
      </c>
      <c r="AO604" t="s">
        <v>11825</v>
      </c>
      <c r="AP604" t="s">
        <v>11826</v>
      </c>
      <c r="AQ604" t="s">
        <v>74</v>
      </c>
      <c r="AR604" t="s">
        <v>11827</v>
      </c>
      <c r="AS604" t="s">
        <v>11828</v>
      </c>
      <c r="AT604" t="s">
        <v>3612</v>
      </c>
      <c r="AU604">
        <v>2023</v>
      </c>
      <c r="AV604">
        <v>439</v>
      </c>
      <c r="AW604" t="s">
        <v>74</v>
      </c>
      <c r="AX604" t="s">
        <v>74</v>
      </c>
      <c r="AY604" t="s">
        <v>74</v>
      </c>
      <c r="AZ604" t="s">
        <v>74</v>
      </c>
      <c r="BA604" t="s">
        <v>74</v>
      </c>
      <c r="BB604" t="s">
        <v>74</v>
      </c>
      <c r="BC604" t="s">
        <v>74</v>
      </c>
      <c r="BD604">
        <v>107832</v>
      </c>
      <c r="BE604" t="s">
        <v>11829</v>
      </c>
      <c r="BF604" t="str">
        <f>HYPERLINK("http://dx.doi.org/10.1016/j.jvolgeores.2023.107832","http://dx.doi.org/10.1016/j.jvolgeores.2023.107832")</f>
        <v>http://dx.doi.org/10.1016/j.jvolgeores.2023.107832</v>
      </c>
      <c r="BG604" t="s">
        <v>74</v>
      </c>
      <c r="BH604" t="s">
        <v>10102</v>
      </c>
      <c r="BI604">
        <v>11</v>
      </c>
      <c r="BJ604" t="s">
        <v>155</v>
      </c>
      <c r="BK604" t="s">
        <v>104</v>
      </c>
      <c r="BL604" t="s">
        <v>156</v>
      </c>
      <c r="BM604" t="s">
        <v>11830</v>
      </c>
      <c r="BN604" t="s">
        <v>74</v>
      </c>
      <c r="BO604" t="s">
        <v>74</v>
      </c>
      <c r="BP604" t="s">
        <v>74</v>
      </c>
      <c r="BQ604" t="s">
        <v>74</v>
      </c>
      <c r="BR604" t="s">
        <v>107</v>
      </c>
      <c r="BS604" t="s">
        <v>11831</v>
      </c>
      <c r="BT604" t="str">
        <f>HYPERLINK("https%3A%2F%2Fwww.webofscience.com%2Fwos%2Fwoscc%2Ffull-record%2FWOS:001037275100001","View Full Record in Web of Science")</f>
        <v>View Full Record in Web of Science</v>
      </c>
    </row>
    <row r="605" spans="1:72" x14ac:dyDescent="0.15">
      <c r="A605" t="s">
        <v>72</v>
      </c>
      <c r="B605" t="s">
        <v>11832</v>
      </c>
      <c r="C605" t="s">
        <v>74</v>
      </c>
      <c r="D605" t="s">
        <v>74</v>
      </c>
      <c r="E605" t="s">
        <v>74</v>
      </c>
      <c r="F605" t="s">
        <v>11833</v>
      </c>
      <c r="G605" t="s">
        <v>74</v>
      </c>
      <c r="H605" t="s">
        <v>74</v>
      </c>
      <c r="I605" t="s">
        <v>11834</v>
      </c>
      <c r="J605" t="s">
        <v>2292</v>
      </c>
      <c r="K605" t="s">
        <v>74</v>
      </c>
      <c r="L605" t="s">
        <v>74</v>
      </c>
      <c r="M605" t="s">
        <v>78</v>
      </c>
      <c r="N605" t="s">
        <v>79</v>
      </c>
      <c r="O605" t="s">
        <v>74</v>
      </c>
      <c r="P605" t="s">
        <v>74</v>
      </c>
      <c r="Q605" t="s">
        <v>74</v>
      </c>
      <c r="R605" t="s">
        <v>74</v>
      </c>
      <c r="S605" t="s">
        <v>74</v>
      </c>
      <c r="T605" t="s">
        <v>11835</v>
      </c>
      <c r="U605" t="s">
        <v>11836</v>
      </c>
      <c r="V605" t="s">
        <v>11837</v>
      </c>
      <c r="W605" t="s">
        <v>11838</v>
      </c>
      <c r="X605" t="s">
        <v>11839</v>
      </c>
      <c r="Y605" t="s">
        <v>11840</v>
      </c>
      <c r="Z605" t="s">
        <v>11841</v>
      </c>
      <c r="AA605" t="s">
        <v>74</v>
      </c>
      <c r="AB605" t="s">
        <v>74</v>
      </c>
      <c r="AC605" t="s">
        <v>11842</v>
      </c>
      <c r="AD605" t="s">
        <v>11842</v>
      </c>
      <c r="AE605" t="s">
        <v>11843</v>
      </c>
      <c r="AF605" t="s">
        <v>74</v>
      </c>
      <c r="AG605">
        <v>44</v>
      </c>
      <c r="AH605">
        <v>1</v>
      </c>
      <c r="AI605">
        <v>2</v>
      </c>
      <c r="AJ605">
        <v>13</v>
      </c>
      <c r="AK605">
        <v>22</v>
      </c>
      <c r="AL605" t="s">
        <v>2305</v>
      </c>
      <c r="AM605" t="s">
        <v>538</v>
      </c>
      <c r="AN605" t="s">
        <v>2306</v>
      </c>
      <c r="AO605" t="s">
        <v>2307</v>
      </c>
      <c r="AP605" t="s">
        <v>2308</v>
      </c>
      <c r="AQ605" t="s">
        <v>74</v>
      </c>
      <c r="AR605" t="s">
        <v>2309</v>
      </c>
      <c r="AS605" t="s">
        <v>2310</v>
      </c>
      <c r="AT605" t="s">
        <v>4689</v>
      </c>
      <c r="AU605">
        <v>2023</v>
      </c>
      <c r="AV605">
        <v>193</v>
      </c>
      <c r="AW605" t="s">
        <v>74</v>
      </c>
      <c r="AX605" t="s">
        <v>74</v>
      </c>
      <c r="AY605" t="s">
        <v>74</v>
      </c>
      <c r="AZ605" t="s">
        <v>74</v>
      </c>
      <c r="BA605" t="s">
        <v>74</v>
      </c>
      <c r="BB605" t="s">
        <v>74</v>
      </c>
      <c r="BC605" t="s">
        <v>74</v>
      </c>
      <c r="BD605">
        <v>115144</v>
      </c>
      <c r="BE605" t="s">
        <v>11844</v>
      </c>
      <c r="BF605" t="str">
        <f>HYPERLINK("http://dx.doi.org/10.1016/j.marpolbul.2023.115144","http://dx.doi.org/10.1016/j.marpolbul.2023.115144")</f>
        <v>http://dx.doi.org/10.1016/j.marpolbul.2023.115144</v>
      </c>
      <c r="BG605" t="s">
        <v>74</v>
      </c>
      <c r="BH605" t="s">
        <v>10102</v>
      </c>
      <c r="BI605">
        <v>15</v>
      </c>
      <c r="BJ605" t="s">
        <v>1001</v>
      </c>
      <c r="BK605" t="s">
        <v>104</v>
      </c>
      <c r="BL605" t="s">
        <v>1002</v>
      </c>
      <c r="BM605" t="s">
        <v>11845</v>
      </c>
      <c r="BN605">
        <v>37331274</v>
      </c>
      <c r="BO605" t="s">
        <v>74</v>
      </c>
      <c r="BP605" t="s">
        <v>74</v>
      </c>
      <c r="BQ605" t="s">
        <v>74</v>
      </c>
      <c r="BR605" t="s">
        <v>107</v>
      </c>
      <c r="BS605" t="s">
        <v>11846</v>
      </c>
      <c r="BT605" t="str">
        <f>HYPERLINK("https%3A%2F%2Fwww.webofscience.com%2Fwos%2Fwoscc%2Ffull-record%2FWOS:001028937400001","View Full Record in Web of Science")</f>
        <v>View Full Record in Web of Science</v>
      </c>
    </row>
    <row r="606" spans="1:72" x14ac:dyDescent="0.15">
      <c r="A606" t="s">
        <v>72</v>
      </c>
      <c r="B606" t="s">
        <v>11847</v>
      </c>
      <c r="C606" t="s">
        <v>74</v>
      </c>
      <c r="D606" t="s">
        <v>74</v>
      </c>
      <c r="E606" t="s">
        <v>74</v>
      </c>
      <c r="F606" t="s">
        <v>11848</v>
      </c>
      <c r="G606" t="s">
        <v>74</v>
      </c>
      <c r="H606" t="s">
        <v>74</v>
      </c>
      <c r="I606" t="s">
        <v>11849</v>
      </c>
      <c r="J606" t="s">
        <v>11850</v>
      </c>
      <c r="K606" t="s">
        <v>74</v>
      </c>
      <c r="L606" t="s">
        <v>74</v>
      </c>
      <c r="M606" t="s">
        <v>78</v>
      </c>
      <c r="N606" t="s">
        <v>79</v>
      </c>
      <c r="O606" t="s">
        <v>74</v>
      </c>
      <c r="P606" t="s">
        <v>74</v>
      </c>
      <c r="Q606" t="s">
        <v>74</v>
      </c>
      <c r="R606" t="s">
        <v>74</v>
      </c>
      <c r="S606" t="s">
        <v>74</v>
      </c>
      <c r="T606" t="s">
        <v>74</v>
      </c>
      <c r="U606" t="s">
        <v>74</v>
      </c>
      <c r="V606" t="s">
        <v>11851</v>
      </c>
      <c r="W606" t="s">
        <v>11852</v>
      </c>
      <c r="X606" t="s">
        <v>11853</v>
      </c>
      <c r="Y606" t="s">
        <v>11854</v>
      </c>
      <c r="Z606" t="s">
        <v>11855</v>
      </c>
      <c r="AA606" t="s">
        <v>11856</v>
      </c>
      <c r="AB606" t="s">
        <v>11857</v>
      </c>
      <c r="AC606" t="s">
        <v>11858</v>
      </c>
      <c r="AD606" t="s">
        <v>11858</v>
      </c>
      <c r="AE606" t="s">
        <v>11859</v>
      </c>
      <c r="AF606" t="s">
        <v>74</v>
      </c>
      <c r="AG606">
        <v>27</v>
      </c>
      <c r="AH606">
        <v>10</v>
      </c>
      <c r="AI606">
        <v>10</v>
      </c>
      <c r="AJ606">
        <v>29</v>
      </c>
      <c r="AK606">
        <v>45</v>
      </c>
      <c r="AL606" t="s">
        <v>5530</v>
      </c>
      <c r="AM606" t="s">
        <v>589</v>
      </c>
      <c r="AN606" t="s">
        <v>5531</v>
      </c>
      <c r="AO606" t="s">
        <v>11860</v>
      </c>
      <c r="AP606" t="s">
        <v>11861</v>
      </c>
      <c r="AQ606" t="s">
        <v>74</v>
      </c>
      <c r="AR606" t="s">
        <v>11850</v>
      </c>
      <c r="AS606" t="s">
        <v>11862</v>
      </c>
      <c r="AT606" t="s">
        <v>11863</v>
      </c>
      <c r="AU606">
        <v>2023</v>
      </c>
      <c r="AV606">
        <v>380</v>
      </c>
      <c r="AW606">
        <v>6650</v>
      </c>
      <c r="AX606" t="s">
        <v>74</v>
      </c>
      <c r="AY606" t="s">
        <v>74</v>
      </c>
      <c r="AZ606" t="s">
        <v>74</v>
      </c>
      <c r="BA606" t="s">
        <v>74</v>
      </c>
      <c r="BB606">
        <v>1155</v>
      </c>
      <c r="BC606">
        <v>1160</v>
      </c>
      <c r="BD606" t="s">
        <v>74</v>
      </c>
      <c r="BE606" t="s">
        <v>11864</v>
      </c>
      <c r="BF606" t="str">
        <f>HYPERLINK("http://dx.doi.org/10.1126/science.ade4884","http://dx.doi.org/10.1126/science.ade4884")</f>
        <v>http://dx.doi.org/10.1126/science.ade4884</v>
      </c>
      <c r="BG606" t="s">
        <v>74</v>
      </c>
      <c r="BH606" t="s">
        <v>74</v>
      </c>
      <c r="BI606">
        <v>6</v>
      </c>
      <c r="BJ606" t="s">
        <v>1881</v>
      </c>
      <c r="BK606" t="s">
        <v>104</v>
      </c>
      <c r="BL606" t="s">
        <v>1882</v>
      </c>
      <c r="BM606" t="s">
        <v>11865</v>
      </c>
      <c r="BN606">
        <v>37319199</v>
      </c>
      <c r="BO606" t="s">
        <v>1641</v>
      </c>
      <c r="BP606" t="s">
        <v>74</v>
      </c>
      <c r="BQ606" t="s">
        <v>74</v>
      </c>
      <c r="BR606" t="s">
        <v>107</v>
      </c>
      <c r="BS606" t="s">
        <v>11866</v>
      </c>
      <c r="BT606" t="str">
        <f>HYPERLINK("https%3A%2F%2Fwww.webofscience.com%2Fwos%2Fwoscc%2Ffull-record%2FWOS:001010846100004","View Full Record in Web of Science")</f>
        <v>View Full Record in Web of Science</v>
      </c>
    </row>
    <row r="607" spans="1:72" x14ac:dyDescent="0.15">
      <c r="A607" t="s">
        <v>72</v>
      </c>
      <c r="B607" t="s">
        <v>11867</v>
      </c>
      <c r="C607" t="s">
        <v>74</v>
      </c>
      <c r="D607" t="s">
        <v>74</v>
      </c>
      <c r="E607" t="s">
        <v>74</v>
      </c>
      <c r="F607" t="s">
        <v>11868</v>
      </c>
      <c r="G607" t="s">
        <v>74</v>
      </c>
      <c r="H607" t="s">
        <v>74</v>
      </c>
      <c r="I607" t="s">
        <v>11869</v>
      </c>
      <c r="J607" t="s">
        <v>5519</v>
      </c>
      <c r="K607" t="s">
        <v>74</v>
      </c>
      <c r="L607" t="s">
        <v>74</v>
      </c>
      <c r="M607" t="s">
        <v>78</v>
      </c>
      <c r="N607" t="s">
        <v>79</v>
      </c>
      <c r="O607" t="s">
        <v>74</v>
      </c>
      <c r="P607" t="s">
        <v>74</v>
      </c>
      <c r="Q607" t="s">
        <v>74</v>
      </c>
      <c r="R607" t="s">
        <v>74</v>
      </c>
      <c r="S607" t="s">
        <v>74</v>
      </c>
      <c r="T607" t="s">
        <v>74</v>
      </c>
      <c r="U607" t="s">
        <v>11870</v>
      </c>
      <c r="V607" t="s">
        <v>11871</v>
      </c>
      <c r="W607" t="s">
        <v>11872</v>
      </c>
      <c r="X607" t="s">
        <v>11873</v>
      </c>
      <c r="Y607" t="s">
        <v>11874</v>
      </c>
      <c r="Z607" t="s">
        <v>11875</v>
      </c>
      <c r="AA607" t="s">
        <v>11876</v>
      </c>
      <c r="AB607" t="s">
        <v>11877</v>
      </c>
      <c r="AC607" t="s">
        <v>11878</v>
      </c>
      <c r="AD607" t="s">
        <v>11879</v>
      </c>
      <c r="AE607" t="s">
        <v>11880</v>
      </c>
      <c r="AF607" t="s">
        <v>74</v>
      </c>
      <c r="AG607">
        <v>166</v>
      </c>
      <c r="AH607">
        <v>2</v>
      </c>
      <c r="AI607">
        <v>2</v>
      </c>
      <c r="AJ607">
        <v>7</v>
      </c>
      <c r="AK607">
        <v>13</v>
      </c>
      <c r="AL607" t="s">
        <v>5530</v>
      </c>
      <c r="AM607" t="s">
        <v>589</v>
      </c>
      <c r="AN607" t="s">
        <v>5531</v>
      </c>
      <c r="AO607" t="s">
        <v>5532</v>
      </c>
      <c r="AP607" t="s">
        <v>74</v>
      </c>
      <c r="AQ607" t="s">
        <v>74</v>
      </c>
      <c r="AR607" t="s">
        <v>5533</v>
      </c>
      <c r="AS607" t="s">
        <v>5534</v>
      </c>
      <c r="AT607" t="s">
        <v>11863</v>
      </c>
      <c r="AU607">
        <v>2023</v>
      </c>
      <c r="AV607">
        <v>9</v>
      </c>
      <c r="AW607">
        <v>24</v>
      </c>
      <c r="AX607" t="s">
        <v>74</v>
      </c>
      <c r="AY607" t="s">
        <v>74</v>
      </c>
      <c r="AZ607" t="s">
        <v>74</v>
      </c>
      <c r="BA607" t="s">
        <v>74</v>
      </c>
      <c r="BB607" t="s">
        <v>74</v>
      </c>
      <c r="BC607" t="s">
        <v>74</v>
      </c>
      <c r="BD607" t="s">
        <v>74</v>
      </c>
      <c r="BE607" t="s">
        <v>11881</v>
      </c>
      <c r="BF607" t="str">
        <f>HYPERLINK("http://dx.doi.org/10.1126/sciadv.adg2456","http://dx.doi.org/10.1126/sciadv.adg2456")</f>
        <v>http://dx.doi.org/10.1126/sciadv.adg2456</v>
      </c>
      <c r="BG607" t="s">
        <v>74</v>
      </c>
      <c r="BH607" t="s">
        <v>74</v>
      </c>
      <c r="BI607">
        <v>18</v>
      </c>
      <c r="BJ607" t="s">
        <v>1881</v>
      </c>
      <c r="BK607" t="s">
        <v>104</v>
      </c>
      <c r="BL607" t="s">
        <v>1882</v>
      </c>
      <c r="BM607" t="s">
        <v>11882</v>
      </c>
      <c r="BN607">
        <v>37327335</v>
      </c>
      <c r="BO607" t="s">
        <v>11883</v>
      </c>
      <c r="BP607" t="s">
        <v>74</v>
      </c>
      <c r="BQ607" t="s">
        <v>74</v>
      </c>
      <c r="BR607" t="s">
        <v>107</v>
      </c>
      <c r="BS607" t="s">
        <v>11884</v>
      </c>
      <c r="BT607" t="str">
        <f>HYPERLINK("https%3A%2F%2Fwww.webofscience.com%2Fwos%2Fwoscc%2Ffull-record%2FWOS:001012158900004","View Full Record in Web of Science")</f>
        <v>View Full Record in Web of Science</v>
      </c>
    </row>
    <row r="608" spans="1:72" x14ac:dyDescent="0.15">
      <c r="A608" t="s">
        <v>72</v>
      </c>
      <c r="B608" t="s">
        <v>11885</v>
      </c>
      <c r="C608" t="s">
        <v>74</v>
      </c>
      <c r="D608" t="s">
        <v>74</v>
      </c>
      <c r="E608" t="s">
        <v>74</v>
      </c>
      <c r="F608" t="s">
        <v>11886</v>
      </c>
      <c r="G608" t="s">
        <v>74</v>
      </c>
      <c r="H608" t="s">
        <v>74</v>
      </c>
      <c r="I608" t="s">
        <v>11887</v>
      </c>
      <c r="J608" t="s">
        <v>2292</v>
      </c>
      <c r="K608" t="s">
        <v>74</v>
      </c>
      <c r="L608" t="s">
        <v>74</v>
      </c>
      <c r="M608" t="s">
        <v>78</v>
      </c>
      <c r="N608" t="s">
        <v>79</v>
      </c>
      <c r="O608" t="s">
        <v>74</v>
      </c>
      <c r="P608" t="s">
        <v>74</v>
      </c>
      <c r="Q608" t="s">
        <v>74</v>
      </c>
      <c r="R608" t="s">
        <v>74</v>
      </c>
      <c r="S608" t="s">
        <v>74</v>
      </c>
      <c r="T608" t="s">
        <v>11888</v>
      </c>
      <c r="U608" t="s">
        <v>11889</v>
      </c>
      <c r="V608" t="s">
        <v>11890</v>
      </c>
      <c r="W608" t="s">
        <v>11891</v>
      </c>
      <c r="X608" t="s">
        <v>11892</v>
      </c>
      <c r="Y608" t="s">
        <v>11893</v>
      </c>
      <c r="Z608" t="s">
        <v>11894</v>
      </c>
      <c r="AA608" t="s">
        <v>74</v>
      </c>
      <c r="AB608" t="s">
        <v>11895</v>
      </c>
      <c r="AC608" t="s">
        <v>11896</v>
      </c>
      <c r="AD608" t="s">
        <v>11897</v>
      </c>
      <c r="AE608" t="s">
        <v>11898</v>
      </c>
      <c r="AF608" t="s">
        <v>74</v>
      </c>
      <c r="AG608">
        <v>75</v>
      </c>
      <c r="AH608">
        <v>3</v>
      </c>
      <c r="AI608">
        <v>3</v>
      </c>
      <c r="AJ608">
        <v>12</v>
      </c>
      <c r="AK608">
        <v>22</v>
      </c>
      <c r="AL608" t="s">
        <v>2305</v>
      </c>
      <c r="AM608" t="s">
        <v>538</v>
      </c>
      <c r="AN608" t="s">
        <v>2306</v>
      </c>
      <c r="AO608" t="s">
        <v>2307</v>
      </c>
      <c r="AP608" t="s">
        <v>2308</v>
      </c>
      <c r="AQ608" t="s">
        <v>74</v>
      </c>
      <c r="AR608" t="s">
        <v>2309</v>
      </c>
      <c r="AS608" t="s">
        <v>2310</v>
      </c>
      <c r="AT608" t="s">
        <v>4689</v>
      </c>
      <c r="AU608">
        <v>2023</v>
      </c>
      <c r="AV608">
        <v>193</v>
      </c>
      <c r="AW608" t="s">
        <v>74</v>
      </c>
      <c r="AX608" t="s">
        <v>74</v>
      </c>
      <c r="AY608" t="s">
        <v>74</v>
      </c>
      <c r="AZ608" t="s">
        <v>74</v>
      </c>
      <c r="BA608" t="s">
        <v>74</v>
      </c>
      <c r="BB608" t="s">
        <v>74</v>
      </c>
      <c r="BC608" t="s">
        <v>74</v>
      </c>
      <c r="BD608">
        <v>115117</v>
      </c>
      <c r="BE608" t="s">
        <v>11899</v>
      </c>
      <c r="BF608" t="str">
        <f>HYPERLINK("http://dx.doi.org/10.1016/j.marpolbul.2023.115117","http://dx.doi.org/10.1016/j.marpolbul.2023.115117")</f>
        <v>http://dx.doi.org/10.1016/j.marpolbul.2023.115117</v>
      </c>
      <c r="BG608" t="s">
        <v>74</v>
      </c>
      <c r="BH608" t="s">
        <v>10102</v>
      </c>
      <c r="BI608">
        <v>12</v>
      </c>
      <c r="BJ608" t="s">
        <v>1001</v>
      </c>
      <c r="BK608" t="s">
        <v>104</v>
      </c>
      <c r="BL608" t="s">
        <v>1002</v>
      </c>
      <c r="BM608" t="s">
        <v>11900</v>
      </c>
      <c r="BN608">
        <v>37331275</v>
      </c>
      <c r="BO608" t="s">
        <v>2670</v>
      </c>
      <c r="BP608" t="s">
        <v>74</v>
      </c>
      <c r="BQ608" t="s">
        <v>74</v>
      </c>
      <c r="BR608" t="s">
        <v>107</v>
      </c>
      <c r="BS608" t="s">
        <v>11901</v>
      </c>
      <c r="BT608" t="str">
        <f>HYPERLINK("https%3A%2F%2Fwww.webofscience.com%2Fwos%2Fwoscc%2Ffull-record%2FWOS:001028092400001","View Full Record in Web of Science")</f>
        <v>View Full Record in Web of Science</v>
      </c>
    </row>
    <row r="609" spans="1:72" x14ac:dyDescent="0.15">
      <c r="A609" t="s">
        <v>72</v>
      </c>
      <c r="B609" t="s">
        <v>11902</v>
      </c>
      <c r="C609" t="s">
        <v>74</v>
      </c>
      <c r="D609" t="s">
        <v>74</v>
      </c>
      <c r="E609" t="s">
        <v>74</v>
      </c>
      <c r="F609" t="s">
        <v>11903</v>
      </c>
      <c r="G609" t="s">
        <v>74</v>
      </c>
      <c r="H609" t="s">
        <v>74</v>
      </c>
      <c r="I609" t="s">
        <v>11904</v>
      </c>
      <c r="J609" t="s">
        <v>11905</v>
      </c>
      <c r="K609" t="s">
        <v>74</v>
      </c>
      <c r="L609" t="s">
        <v>74</v>
      </c>
      <c r="M609" t="s">
        <v>78</v>
      </c>
      <c r="N609" t="s">
        <v>79</v>
      </c>
      <c r="O609" t="s">
        <v>74</v>
      </c>
      <c r="P609" t="s">
        <v>74</v>
      </c>
      <c r="Q609" t="s">
        <v>74</v>
      </c>
      <c r="R609" t="s">
        <v>74</v>
      </c>
      <c r="S609" t="s">
        <v>74</v>
      </c>
      <c r="T609" t="s">
        <v>11906</v>
      </c>
      <c r="U609" t="s">
        <v>11907</v>
      </c>
      <c r="V609" t="s">
        <v>11908</v>
      </c>
      <c r="W609" t="s">
        <v>11909</v>
      </c>
      <c r="X609" t="s">
        <v>11910</v>
      </c>
      <c r="Y609" t="s">
        <v>11911</v>
      </c>
      <c r="Z609" t="s">
        <v>11912</v>
      </c>
      <c r="AA609" t="s">
        <v>74</v>
      </c>
      <c r="AB609" t="s">
        <v>10027</v>
      </c>
      <c r="AC609" t="s">
        <v>74</v>
      </c>
      <c r="AD609" t="s">
        <v>74</v>
      </c>
      <c r="AE609" t="s">
        <v>74</v>
      </c>
      <c r="AF609" t="s">
        <v>74</v>
      </c>
      <c r="AG609">
        <v>40</v>
      </c>
      <c r="AH609">
        <v>1</v>
      </c>
      <c r="AI609">
        <v>1</v>
      </c>
      <c r="AJ609">
        <v>1</v>
      </c>
      <c r="AK609">
        <v>4</v>
      </c>
      <c r="AL609" t="s">
        <v>172</v>
      </c>
      <c r="AM609" t="s">
        <v>173</v>
      </c>
      <c r="AN609" t="s">
        <v>174</v>
      </c>
      <c r="AO609" t="s">
        <v>11913</v>
      </c>
      <c r="AP609" t="s">
        <v>11914</v>
      </c>
      <c r="AQ609" t="s">
        <v>74</v>
      </c>
      <c r="AR609" t="s">
        <v>11915</v>
      </c>
      <c r="AS609" t="s">
        <v>11916</v>
      </c>
      <c r="AT609" t="s">
        <v>11917</v>
      </c>
      <c r="AU609">
        <v>2024</v>
      </c>
      <c r="AV609">
        <v>436</v>
      </c>
      <c r="AW609" t="s">
        <v>74</v>
      </c>
      <c r="AX609" t="s">
        <v>74</v>
      </c>
      <c r="AY609" t="s">
        <v>74</v>
      </c>
      <c r="AZ609" t="s">
        <v>74</v>
      </c>
      <c r="BA609" t="s">
        <v>74</v>
      </c>
      <c r="BB609" t="s">
        <v>74</v>
      </c>
      <c r="BC609" t="s">
        <v>74</v>
      </c>
      <c r="BD609">
        <v>115361</v>
      </c>
      <c r="BE609" t="s">
        <v>11918</v>
      </c>
      <c r="BF609" t="str">
        <f>HYPERLINK("http://dx.doi.org/10.1016/j.cam.2023.115361","http://dx.doi.org/10.1016/j.cam.2023.115361")</f>
        <v>http://dx.doi.org/10.1016/j.cam.2023.115361</v>
      </c>
      <c r="BG609" t="s">
        <v>74</v>
      </c>
      <c r="BH609" t="s">
        <v>10102</v>
      </c>
      <c r="BI609">
        <v>20</v>
      </c>
      <c r="BJ609" t="s">
        <v>11919</v>
      </c>
      <c r="BK609" t="s">
        <v>104</v>
      </c>
      <c r="BL609" t="s">
        <v>3820</v>
      </c>
      <c r="BM609" t="s">
        <v>11920</v>
      </c>
      <c r="BN609" t="s">
        <v>74</v>
      </c>
      <c r="BO609" t="s">
        <v>1217</v>
      </c>
      <c r="BP609" t="s">
        <v>74</v>
      </c>
      <c r="BQ609" t="s">
        <v>74</v>
      </c>
      <c r="BR609" t="s">
        <v>107</v>
      </c>
      <c r="BS609" t="s">
        <v>11921</v>
      </c>
      <c r="BT609" t="str">
        <f>HYPERLINK("https%3A%2F%2Fwww.webofscience.com%2Fwos%2Fwoscc%2Ffull-record%2FWOS:001026795800001","View Full Record in Web of Science")</f>
        <v>View Full Record in Web of Science</v>
      </c>
    </row>
    <row r="610" spans="1:72" x14ac:dyDescent="0.15">
      <c r="A610" t="s">
        <v>72</v>
      </c>
      <c r="B610" t="s">
        <v>11922</v>
      </c>
      <c r="C610" t="s">
        <v>74</v>
      </c>
      <c r="D610" t="s">
        <v>74</v>
      </c>
      <c r="E610" t="s">
        <v>74</v>
      </c>
      <c r="F610" t="s">
        <v>11923</v>
      </c>
      <c r="G610" t="s">
        <v>74</v>
      </c>
      <c r="H610" t="s">
        <v>74</v>
      </c>
      <c r="I610" t="s">
        <v>11924</v>
      </c>
      <c r="J610" t="s">
        <v>2413</v>
      </c>
      <c r="K610" t="s">
        <v>74</v>
      </c>
      <c r="L610" t="s">
        <v>74</v>
      </c>
      <c r="M610" t="s">
        <v>78</v>
      </c>
      <c r="N610" t="s">
        <v>79</v>
      </c>
      <c r="O610" t="s">
        <v>74</v>
      </c>
      <c r="P610" t="s">
        <v>74</v>
      </c>
      <c r="Q610" t="s">
        <v>74</v>
      </c>
      <c r="R610" t="s">
        <v>74</v>
      </c>
      <c r="S610" t="s">
        <v>74</v>
      </c>
      <c r="T610" t="s">
        <v>11925</v>
      </c>
      <c r="U610" t="s">
        <v>11926</v>
      </c>
      <c r="V610" t="s">
        <v>11927</v>
      </c>
      <c r="W610" t="s">
        <v>11928</v>
      </c>
      <c r="X610" t="s">
        <v>11929</v>
      </c>
      <c r="Y610" t="s">
        <v>11930</v>
      </c>
      <c r="Z610" t="s">
        <v>11931</v>
      </c>
      <c r="AA610" t="s">
        <v>11932</v>
      </c>
      <c r="AB610" t="s">
        <v>11933</v>
      </c>
      <c r="AC610" t="s">
        <v>11934</v>
      </c>
      <c r="AD610" t="s">
        <v>11935</v>
      </c>
      <c r="AE610" t="s">
        <v>11936</v>
      </c>
      <c r="AF610" t="s">
        <v>74</v>
      </c>
      <c r="AG610">
        <v>124</v>
      </c>
      <c r="AH610">
        <v>1</v>
      </c>
      <c r="AI610">
        <v>1</v>
      </c>
      <c r="AJ610">
        <v>6</v>
      </c>
      <c r="AK610">
        <v>9</v>
      </c>
      <c r="AL610" t="s">
        <v>588</v>
      </c>
      <c r="AM610" t="s">
        <v>589</v>
      </c>
      <c r="AN610" t="s">
        <v>590</v>
      </c>
      <c r="AO610" t="s">
        <v>2426</v>
      </c>
      <c r="AP610" t="s">
        <v>2427</v>
      </c>
      <c r="AQ610" t="s">
        <v>74</v>
      </c>
      <c r="AR610" t="s">
        <v>2428</v>
      </c>
      <c r="AS610" t="s">
        <v>2429</v>
      </c>
      <c r="AT610" t="s">
        <v>11863</v>
      </c>
      <c r="AU610">
        <v>2023</v>
      </c>
      <c r="AV610">
        <v>128</v>
      </c>
      <c r="AW610">
        <v>11</v>
      </c>
      <c r="AX610" t="s">
        <v>74</v>
      </c>
      <c r="AY610" t="s">
        <v>74</v>
      </c>
      <c r="AZ610" t="s">
        <v>74</v>
      </c>
      <c r="BA610" t="s">
        <v>74</v>
      </c>
      <c r="BB610" t="s">
        <v>74</v>
      </c>
      <c r="BC610" t="s">
        <v>74</v>
      </c>
      <c r="BD610" t="s">
        <v>11937</v>
      </c>
      <c r="BE610" t="s">
        <v>11938</v>
      </c>
      <c r="BF610" t="str">
        <f>HYPERLINK("http://dx.doi.org/10.1029/2022JD038249","http://dx.doi.org/10.1029/2022JD038249")</f>
        <v>http://dx.doi.org/10.1029/2022JD038249</v>
      </c>
      <c r="BG610" t="s">
        <v>74</v>
      </c>
      <c r="BH610" t="s">
        <v>74</v>
      </c>
      <c r="BI610">
        <v>30</v>
      </c>
      <c r="BJ610" t="s">
        <v>103</v>
      </c>
      <c r="BK610" t="s">
        <v>104</v>
      </c>
      <c r="BL610" t="s">
        <v>103</v>
      </c>
      <c r="BM610" t="s">
        <v>11939</v>
      </c>
      <c r="BN610" t="s">
        <v>74</v>
      </c>
      <c r="BO610" t="s">
        <v>1128</v>
      </c>
      <c r="BP610" t="s">
        <v>74</v>
      </c>
      <c r="BQ610" t="s">
        <v>74</v>
      </c>
      <c r="BR610" t="s">
        <v>107</v>
      </c>
      <c r="BS610" t="s">
        <v>11940</v>
      </c>
      <c r="BT610" t="str">
        <f>HYPERLINK("https%3A%2F%2Fwww.webofscience.com%2Fwos%2Fwoscc%2Ffull-record%2FWOS:001022729100001","View Full Record in Web of Science")</f>
        <v>View Full Record in Web of Science</v>
      </c>
    </row>
    <row r="611" spans="1:72" x14ac:dyDescent="0.15">
      <c r="A611" t="s">
        <v>72</v>
      </c>
      <c r="B611" t="s">
        <v>11941</v>
      </c>
      <c r="C611" t="s">
        <v>74</v>
      </c>
      <c r="D611" t="s">
        <v>74</v>
      </c>
      <c r="E611" t="s">
        <v>74</v>
      </c>
      <c r="F611" t="s">
        <v>11942</v>
      </c>
      <c r="G611" t="s">
        <v>74</v>
      </c>
      <c r="H611" t="s">
        <v>74</v>
      </c>
      <c r="I611" t="s">
        <v>11943</v>
      </c>
      <c r="J611" t="s">
        <v>1820</v>
      </c>
      <c r="K611" t="s">
        <v>74</v>
      </c>
      <c r="L611" t="s">
        <v>74</v>
      </c>
      <c r="M611" t="s">
        <v>78</v>
      </c>
      <c r="N611" t="s">
        <v>424</v>
      </c>
      <c r="O611" t="s">
        <v>74</v>
      </c>
      <c r="P611" t="s">
        <v>74</v>
      </c>
      <c r="Q611" t="s">
        <v>74</v>
      </c>
      <c r="R611" t="s">
        <v>74</v>
      </c>
      <c r="S611" t="s">
        <v>74</v>
      </c>
      <c r="T611" t="s">
        <v>11944</v>
      </c>
      <c r="U611" t="s">
        <v>11945</v>
      </c>
      <c r="V611" t="s">
        <v>11946</v>
      </c>
      <c r="W611" t="s">
        <v>11947</v>
      </c>
      <c r="X611" t="s">
        <v>11948</v>
      </c>
      <c r="Y611" t="s">
        <v>11949</v>
      </c>
      <c r="Z611" t="s">
        <v>11950</v>
      </c>
      <c r="AA611" t="s">
        <v>74</v>
      </c>
      <c r="AB611" t="s">
        <v>11951</v>
      </c>
      <c r="AC611" t="s">
        <v>11952</v>
      </c>
      <c r="AD611" t="s">
        <v>11953</v>
      </c>
      <c r="AE611" t="s">
        <v>11954</v>
      </c>
      <c r="AF611" t="s">
        <v>74</v>
      </c>
      <c r="AG611">
        <v>149</v>
      </c>
      <c r="AH611">
        <v>0</v>
      </c>
      <c r="AI611">
        <v>0</v>
      </c>
      <c r="AJ611">
        <v>6</v>
      </c>
      <c r="AK611">
        <v>15</v>
      </c>
      <c r="AL611" t="s">
        <v>994</v>
      </c>
      <c r="AM611" t="s">
        <v>995</v>
      </c>
      <c r="AN611" t="s">
        <v>996</v>
      </c>
      <c r="AO611" t="s">
        <v>74</v>
      </c>
      <c r="AP611" t="s">
        <v>1833</v>
      </c>
      <c r="AQ611" t="s">
        <v>74</v>
      </c>
      <c r="AR611" t="s">
        <v>1834</v>
      </c>
      <c r="AS611" t="s">
        <v>1835</v>
      </c>
      <c r="AT611" t="s">
        <v>11863</v>
      </c>
      <c r="AU611">
        <v>2023</v>
      </c>
      <c r="AV611">
        <v>14</v>
      </c>
      <c r="AW611" t="s">
        <v>74</v>
      </c>
      <c r="AX611" t="s">
        <v>74</v>
      </c>
      <c r="AY611" t="s">
        <v>74</v>
      </c>
      <c r="AZ611" t="s">
        <v>74</v>
      </c>
      <c r="BA611" t="s">
        <v>74</v>
      </c>
      <c r="BB611" t="s">
        <v>74</v>
      </c>
      <c r="BC611" t="s">
        <v>74</v>
      </c>
      <c r="BD611">
        <v>1113102</v>
      </c>
      <c r="BE611" t="s">
        <v>11955</v>
      </c>
      <c r="BF611" t="str">
        <f>HYPERLINK("http://dx.doi.org/10.3389/fmicb.2023.1113102","http://dx.doi.org/10.3389/fmicb.2023.1113102")</f>
        <v>http://dx.doi.org/10.3389/fmicb.2023.1113102</v>
      </c>
      <c r="BG611" t="s">
        <v>74</v>
      </c>
      <c r="BH611" t="s">
        <v>74</v>
      </c>
      <c r="BI611">
        <v>13</v>
      </c>
      <c r="BJ611" t="s">
        <v>702</v>
      </c>
      <c r="BK611" t="s">
        <v>104</v>
      </c>
      <c r="BL611" t="s">
        <v>702</v>
      </c>
      <c r="BM611" t="s">
        <v>11956</v>
      </c>
      <c r="BN611">
        <v>37396353</v>
      </c>
      <c r="BO611" t="s">
        <v>181</v>
      </c>
      <c r="BP611" t="s">
        <v>74</v>
      </c>
      <c r="BQ611" t="s">
        <v>74</v>
      </c>
      <c r="BR611" t="s">
        <v>107</v>
      </c>
      <c r="BS611" t="s">
        <v>11957</v>
      </c>
      <c r="BT611" t="str">
        <f>HYPERLINK("https%3A%2F%2Fwww.webofscience.com%2Fwos%2Fwoscc%2Ffull-record%2FWOS:001019069700001","View Full Record in Web of Science")</f>
        <v>View Full Record in Web of Science</v>
      </c>
    </row>
    <row r="612" spans="1:72" x14ac:dyDescent="0.15">
      <c r="A612" t="s">
        <v>72</v>
      </c>
      <c r="B612" t="s">
        <v>11958</v>
      </c>
      <c r="C612" t="s">
        <v>74</v>
      </c>
      <c r="D612" t="s">
        <v>74</v>
      </c>
      <c r="E612" t="s">
        <v>74</v>
      </c>
      <c r="F612" t="s">
        <v>11959</v>
      </c>
      <c r="G612" t="s">
        <v>74</v>
      </c>
      <c r="H612" t="s">
        <v>74</v>
      </c>
      <c r="I612" t="s">
        <v>11960</v>
      </c>
      <c r="J612" t="s">
        <v>983</v>
      </c>
      <c r="K612" t="s">
        <v>74</v>
      </c>
      <c r="L612" t="s">
        <v>74</v>
      </c>
      <c r="M612" t="s">
        <v>78</v>
      </c>
      <c r="N612" t="s">
        <v>79</v>
      </c>
      <c r="O612" t="s">
        <v>74</v>
      </c>
      <c r="P612" t="s">
        <v>74</v>
      </c>
      <c r="Q612" t="s">
        <v>74</v>
      </c>
      <c r="R612" t="s">
        <v>74</v>
      </c>
      <c r="S612" t="s">
        <v>74</v>
      </c>
      <c r="T612" t="s">
        <v>11961</v>
      </c>
      <c r="U612" t="s">
        <v>11962</v>
      </c>
      <c r="V612" t="s">
        <v>11963</v>
      </c>
      <c r="W612" t="s">
        <v>11964</v>
      </c>
      <c r="X612" t="s">
        <v>11965</v>
      </c>
      <c r="Y612" t="s">
        <v>11966</v>
      </c>
      <c r="Z612" t="s">
        <v>11967</v>
      </c>
      <c r="AA612" t="s">
        <v>74</v>
      </c>
      <c r="AB612" t="s">
        <v>11968</v>
      </c>
      <c r="AC612" t="s">
        <v>74</v>
      </c>
      <c r="AD612" t="s">
        <v>74</v>
      </c>
      <c r="AE612" t="s">
        <v>74</v>
      </c>
      <c r="AF612" t="s">
        <v>74</v>
      </c>
      <c r="AG612">
        <v>48</v>
      </c>
      <c r="AH612">
        <v>0</v>
      </c>
      <c r="AI612">
        <v>0</v>
      </c>
      <c r="AJ612">
        <v>0</v>
      </c>
      <c r="AK612">
        <v>0</v>
      </c>
      <c r="AL612" t="s">
        <v>994</v>
      </c>
      <c r="AM612" t="s">
        <v>995</v>
      </c>
      <c r="AN612" t="s">
        <v>996</v>
      </c>
      <c r="AO612" t="s">
        <v>74</v>
      </c>
      <c r="AP612" t="s">
        <v>997</v>
      </c>
      <c r="AQ612" t="s">
        <v>74</v>
      </c>
      <c r="AR612" t="s">
        <v>998</v>
      </c>
      <c r="AS612" t="s">
        <v>999</v>
      </c>
      <c r="AT612" t="s">
        <v>11863</v>
      </c>
      <c r="AU612">
        <v>2023</v>
      </c>
      <c r="AV612">
        <v>10</v>
      </c>
      <c r="AW612" t="s">
        <v>74</v>
      </c>
      <c r="AX612" t="s">
        <v>74</v>
      </c>
      <c r="AY612" t="s">
        <v>74</v>
      </c>
      <c r="AZ612" t="s">
        <v>74</v>
      </c>
      <c r="BA612" t="s">
        <v>74</v>
      </c>
      <c r="BB612" t="s">
        <v>74</v>
      </c>
      <c r="BC612" t="s">
        <v>74</v>
      </c>
      <c r="BD612">
        <v>1205292</v>
      </c>
      <c r="BE612" t="s">
        <v>11969</v>
      </c>
      <c r="BF612" t="str">
        <f>HYPERLINK("http://dx.doi.org/10.3389/fmars.2023.1205292","http://dx.doi.org/10.3389/fmars.2023.1205292")</f>
        <v>http://dx.doi.org/10.3389/fmars.2023.1205292</v>
      </c>
      <c r="BG612" t="s">
        <v>74</v>
      </c>
      <c r="BH612" t="s">
        <v>74</v>
      </c>
      <c r="BI612">
        <v>13</v>
      </c>
      <c r="BJ612" t="s">
        <v>1001</v>
      </c>
      <c r="BK612" t="s">
        <v>104</v>
      </c>
      <c r="BL612" t="s">
        <v>1002</v>
      </c>
      <c r="BM612" t="s">
        <v>11970</v>
      </c>
      <c r="BN612" t="s">
        <v>74</v>
      </c>
      <c r="BO612" t="s">
        <v>206</v>
      </c>
      <c r="BP612" t="s">
        <v>74</v>
      </c>
      <c r="BQ612" t="s">
        <v>74</v>
      </c>
      <c r="BR612" t="s">
        <v>107</v>
      </c>
      <c r="BS612" t="s">
        <v>11971</v>
      </c>
      <c r="BT612" t="str">
        <f>HYPERLINK("https%3A%2F%2Fwww.webofscience.com%2Fwos%2Fwoscc%2Ffull-record%2FWOS:001016576900001","View Full Record in Web of Science")</f>
        <v>View Full Record in Web of Science</v>
      </c>
    </row>
    <row r="613" spans="1:72" x14ac:dyDescent="0.15">
      <c r="A613" t="s">
        <v>72</v>
      </c>
      <c r="B613" t="s">
        <v>11972</v>
      </c>
      <c r="C613" t="s">
        <v>74</v>
      </c>
      <c r="D613" t="s">
        <v>74</v>
      </c>
      <c r="E613" t="s">
        <v>74</v>
      </c>
      <c r="F613" t="s">
        <v>11973</v>
      </c>
      <c r="G613" t="s">
        <v>74</v>
      </c>
      <c r="H613" t="s">
        <v>74</v>
      </c>
      <c r="I613" t="s">
        <v>11974</v>
      </c>
      <c r="J613" t="s">
        <v>1820</v>
      </c>
      <c r="K613" t="s">
        <v>74</v>
      </c>
      <c r="L613" t="s">
        <v>74</v>
      </c>
      <c r="M613" t="s">
        <v>78</v>
      </c>
      <c r="N613" t="s">
        <v>424</v>
      </c>
      <c r="O613" t="s">
        <v>74</v>
      </c>
      <c r="P613" t="s">
        <v>74</v>
      </c>
      <c r="Q613" t="s">
        <v>74</v>
      </c>
      <c r="R613" t="s">
        <v>74</v>
      </c>
      <c r="S613" t="s">
        <v>74</v>
      </c>
      <c r="T613" t="s">
        <v>11975</v>
      </c>
      <c r="U613" t="s">
        <v>11976</v>
      </c>
      <c r="V613" t="s">
        <v>11977</v>
      </c>
      <c r="W613" t="s">
        <v>11978</v>
      </c>
      <c r="X613" t="s">
        <v>11979</v>
      </c>
      <c r="Y613" t="s">
        <v>11980</v>
      </c>
      <c r="Z613" t="s">
        <v>11981</v>
      </c>
      <c r="AA613" t="s">
        <v>74</v>
      </c>
      <c r="AB613" t="s">
        <v>74</v>
      </c>
      <c r="AC613" t="s">
        <v>74</v>
      </c>
      <c r="AD613" t="s">
        <v>74</v>
      </c>
      <c r="AE613" t="s">
        <v>74</v>
      </c>
      <c r="AF613" t="s">
        <v>74</v>
      </c>
      <c r="AG613">
        <v>223</v>
      </c>
      <c r="AH613">
        <v>1</v>
      </c>
      <c r="AI613">
        <v>1</v>
      </c>
      <c r="AJ613">
        <v>18</v>
      </c>
      <c r="AK613">
        <v>28</v>
      </c>
      <c r="AL613" t="s">
        <v>994</v>
      </c>
      <c r="AM613" t="s">
        <v>995</v>
      </c>
      <c r="AN613" t="s">
        <v>996</v>
      </c>
      <c r="AO613" t="s">
        <v>74</v>
      </c>
      <c r="AP613" t="s">
        <v>1833</v>
      </c>
      <c r="AQ613" t="s">
        <v>74</v>
      </c>
      <c r="AR613" t="s">
        <v>1834</v>
      </c>
      <c r="AS613" t="s">
        <v>1835</v>
      </c>
      <c r="AT613" t="s">
        <v>11863</v>
      </c>
      <c r="AU613">
        <v>2023</v>
      </c>
      <c r="AV613">
        <v>14</v>
      </c>
      <c r="AW613" t="s">
        <v>74</v>
      </c>
      <c r="AX613" t="s">
        <v>74</v>
      </c>
      <c r="AY613" t="s">
        <v>74</v>
      </c>
      <c r="AZ613" t="s">
        <v>74</v>
      </c>
      <c r="BA613" t="s">
        <v>74</v>
      </c>
      <c r="BB613" t="s">
        <v>74</v>
      </c>
      <c r="BC613" t="s">
        <v>74</v>
      </c>
      <c r="BD613">
        <v>1197797</v>
      </c>
      <c r="BE613" t="s">
        <v>11982</v>
      </c>
      <c r="BF613" t="str">
        <f>HYPERLINK("http://dx.doi.org/10.3389/fmicb.2023.1197797","http://dx.doi.org/10.3389/fmicb.2023.1197797")</f>
        <v>http://dx.doi.org/10.3389/fmicb.2023.1197797</v>
      </c>
      <c r="BG613" t="s">
        <v>74</v>
      </c>
      <c r="BH613" t="s">
        <v>74</v>
      </c>
      <c r="BI613">
        <v>19</v>
      </c>
      <c r="BJ613" t="s">
        <v>702</v>
      </c>
      <c r="BK613" t="s">
        <v>104</v>
      </c>
      <c r="BL613" t="s">
        <v>702</v>
      </c>
      <c r="BM613" t="s">
        <v>11983</v>
      </c>
      <c r="BN613">
        <v>37396361</v>
      </c>
      <c r="BO613" t="s">
        <v>181</v>
      </c>
      <c r="BP613" t="s">
        <v>74</v>
      </c>
      <c r="BQ613" t="s">
        <v>74</v>
      </c>
      <c r="BR613" t="s">
        <v>107</v>
      </c>
      <c r="BS613" t="s">
        <v>11984</v>
      </c>
      <c r="BT613" t="str">
        <f>HYPERLINK("https%3A%2F%2Fwww.webofscience.com%2Fwos%2Fwoscc%2Ffull-record%2FWOS:001016571800001","View Full Record in Web of Science")</f>
        <v>View Full Record in Web of Science</v>
      </c>
    </row>
    <row r="614" spans="1:72" x14ac:dyDescent="0.15">
      <c r="A614" t="s">
        <v>72</v>
      </c>
      <c r="B614" t="s">
        <v>11985</v>
      </c>
      <c r="C614" t="s">
        <v>74</v>
      </c>
      <c r="D614" t="s">
        <v>74</v>
      </c>
      <c r="E614" t="s">
        <v>74</v>
      </c>
      <c r="F614" t="s">
        <v>6152</v>
      </c>
      <c r="G614" t="s">
        <v>74</v>
      </c>
      <c r="H614" t="s">
        <v>74</v>
      </c>
      <c r="I614" t="s">
        <v>11986</v>
      </c>
      <c r="J614" t="s">
        <v>3756</v>
      </c>
      <c r="K614" t="s">
        <v>74</v>
      </c>
      <c r="L614" t="s">
        <v>74</v>
      </c>
      <c r="M614" t="s">
        <v>78</v>
      </c>
      <c r="N614" t="s">
        <v>79</v>
      </c>
      <c r="O614" t="s">
        <v>74</v>
      </c>
      <c r="P614" t="s">
        <v>74</v>
      </c>
      <c r="Q614" t="s">
        <v>74</v>
      </c>
      <c r="R614" t="s">
        <v>74</v>
      </c>
      <c r="S614" t="s">
        <v>74</v>
      </c>
      <c r="T614" t="s">
        <v>11987</v>
      </c>
      <c r="U614" t="s">
        <v>11988</v>
      </c>
      <c r="V614" t="s">
        <v>11989</v>
      </c>
      <c r="W614" t="s">
        <v>11990</v>
      </c>
      <c r="X614" t="s">
        <v>11991</v>
      </c>
      <c r="Y614" t="s">
        <v>6156</v>
      </c>
      <c r="Z614" t="s">
        <v>6157</v>
      </c>
      <c r="AA614" t="s">
        <v>74</v>
      </c>
      <c r="AB614" t="s">
        <v>11992</v>
      </c>
      <c r="AC614" t="s">
        <v>11993</v>
      </c>
      <c r="AD614" t="s">
        <v>11994</v>
      </c>
      <c r="AE614" t="s">
        <v>11995</v>
      </c>
      <c r="AF614" t="s">
        <v>74</v>
      </c>
      <c r="AG614">
        <v>74</v>
      </c>
      <c r="AH614">
        <v>1</v>
      </c>
      <c r="AI614">
        <v>1</v>
      </c>
      <c r="AJ614">
        <v>0</v>
      </c>
      <c r="AK614">
        <v>3</v>
      </c>
      <c r="AL614" t="s">
        <v>298</v>
      </c>
      <c r="AM614" t="s">
        <v>299</v>
      </c>
      <c r="AN614" t="s">
        <v>300</v>
      </c>
      <c r="AO614" t="s">
        <v>3767</v>
      </c>
      <c r="AP614" t="s">
        <v>3768</v>
      </c>
      <c r="AQ614" t="s">
        <v>74</v>
      </c>
      <c r="AR614" t="s">
        <v>3769</v>
      </c>
      <c r="AS614" t="s">
        <v>3770</v>
      </c>
      <c r="AT614" t="s">
        <v>97</v>
      </c>
      <c r="AU614">
        <v>2023</v>
      </c>
      <c r="AV614">
        <v>46</v>
      </c>
      <c r="AW614">
        <v>9</v>
      </c>
      <c r="AX614" t="s">
        <v>74</v>
      </c>
      <c r="AY614" t="s">
        <v>74</v>
      </c>
      <c r="AZ614" t="s">
        <v>74</v>
      </c>
      <c r="BA614" t="s">
        <v>74</v>
      </c>
      <c r="BB614">
        <v>809</v>
      </c>
      <c r="BC614">
        <v>818</v>
      </c>
      <c r="BD614" t="s">
        <v>74</v>
      </c>
      <c r="BE614" t="s">
        <v>11996</v>
      </c>
      <c r="BF614" t="str">
        <f>HYPERLINK("http://dx.doi.org/10.1007/s00300-023-03159-z","http://dx.doi.org/10.1007/s00300-023-03159-z")</f>
        <v>http://dx.doi.org/10.1007/s00300-023-03159-z</v>
      </c>
      <c r="BG614" t="s">
        <v>74</v>
      </c>
      <c r="BH614" t="s">
        <v>10102</v>
      </c>
      <c r="BI614">
        <v>10</v>
      </c>
      <c r="BJ614" t="s">
        <v>3772</v>
      </c>
      <c r="BK614" t="s">
        <v>104</v>
      </c>
      <c r="BL614" t="s">
        <v>1905</v>
      </c>
      <c r="BM614" t="s">
        <v>4538</v>
      </c>
      <c r="BN614" t="s">
        <v>74</v>
      </c>
      <c r="BO614" t="s">
        <v>418</v>
      </c>
      <c r="BP614" t="s">
        <v>74</v>
      </c>
      <c r="BQ614" t="s">
        <v>74</v>
      </c>
      <c r="BR614" t="s">
        <v>107</v>
      </c>
      <c r="BS614" t="s">
        <v>11997</v>
      </c>
      <c r="BT614" t="str">
        <f>HYPERLINK("https%3A%2F%2Fwww.webofscience.com%2Fwos%2Fwoscc%2Ffull-record%2FWOS:001009181800001","View Full Record in Web of Science")</f>
        <v>View Full Record in Web of Science</v>
      </c>
    </row>
    <row r="615" spans="1:72" x14ac:dyDescent="0.15">
      <c r="A615" t="s">
        <v>72</v>
      </c>
      <c r="B615" t="s">
        <v>11998</v>
      </c>
      <c r="C615" t="s">
        <v>74</v>
      </c>
      <c r="D615" t="s">
        <v>74</v>
      </c>
      <c r="E615" t="s">
        <v>74</v>
      </c>
      <c r="F615" t="s">
        <v>11999</v>
      </c>
      <c r="G615" t="s">
        <v>74</v>
      </c>
      <c r="H615" t="s">
        <v>74</v>
      </c>
      <c r="I615" t="s">
        <v>12000</v>
      </c>
      <c r="J615" t="s">
        <v>2213</v>
      </c>
      <c r="K615" t="s">
        <v>74</v>
      </c>
      <c r="L615" t="s">
        <v>74</v>
      </c>
      <c r="M615" t="s">
        <v>78</v>
      </c>
      <c r="N615" t="s">
        <v>6276</v>
      </c>
      <c r="O615" t="s">
        <v>74</v>
      </c>
      <c r="P615" t="s">
        <v>74</v>
      </c>
      <c r="Q615" t="s">
        <v>74</v>
      </c>
      <c r="R615" t="s">
        <v>74</v>
      </c>
      <c r="S615" t="s">
        <v>74</v>
      </c>
      <c r="T615" t="s">
        <v>12001</v>
      </c>
      <c r="U615" t="s">
        <v>12002</v>
      </c>
      <c r="V615" t="s">
        <v>12003</v>
      </c>
      <c r="W615" t="s">
        <v>12004</v>
      </c>
      <c r="X615" t="s">
        <v>12005</v>
      </c>
      <c r="Y615" t="s">
        <v>12006</v>
      </c>
      <c r="Z615" t="s">
        <v>12007</v>
      </c>
      <c r="AA615" t="s">
        <v>74</v>
      </c>
      <c r="AB615" t="s">
        <v>12008</v>
      </c>
      <c r="AC615" t="s">
        <v>12009</v>
      </c>
      <c r="AD615" t="s">
        <v>12010</v>
      </c>
      <c r="AE615" t="s">
        <v>12011</v>
      </c>
      <c r="AF615" t="s">
        <v>74</v>
      </c>
      <c r="AG615">
        <v>49</v>
      </c>
      <c r="AH615">
        <v>0</v>
      </c>
      <c r="AI615">
        <v>0</v>
      </c>
      <c r="AJ615">
        <v>1</v>
      </c>
      <c r="AK615">
        <v>5</v>
      </c>
      <c r="AL615" t="s">
        <v>588</v>
      </c>
      <c r="AM615" t="s">
        <v>589</v>
      </c>
      <c r="AN615" t="s">
        <v>590</v>
      </c>
      <c r="AO615" t="s">
        <v>2226</v>
      </c>
      <c r="AP615" t="s">
        <v>2227</v>
      </c>
      <c r="AQ615" t="s">
        <v>74</v>
      </c>
      <c r="AR615" t="s">
        <v>2228</v>
      </c>
      <c r="AS615" t="s">
        <v>2229</v>
      </c>
      <c r="AT615" t="s">
        <v>11863</v>
      </c>
      <c r="AU615">
        <v>2023</v>
      </c>
      <c r="AV615">
        <v>50</v>
      </c>
      <c r="AW615">
        <v>11</v>
      </c>
      <c r="AX615" t="s">
        <v>74</v>
      </c>
      <c r="AY615" t="s">
        <v>74</v>
      </c>
      <c r="AZ615" t="s">
        <v>74</v>
      </c>
      <c r="BA615" t="s">
        <v>74</v>
      </c>
      <c r="BB615" t="s">
        <v>74</v>
      </c>
      <c r="BC615" t="s">
        <v>74</v>
      </c>
      <c r="BD615" t="s">
        <v>12012</v>
      </c>
      <c r="BE615" t="s">
        <v>12013</v>
      </c>
      <c r="BF615" t="str">
        <f>HYPERLINK("http://dx.doi.org/10.1029/2022GL102422","http://dx.doi.org/10.1029/2022GL102422")</f>
        <v>http://dx.doi.org/10.1029/2022GL102422</v>
      </c>
      <c r="BG615" t="s">
        <v>74</v>
      </c>
      <c r="BH615" t="s">
        <v>74</v>
      </c>
      <c r="BI615">
        <v>11</v>
      </c>
      <c r="BJ615" t="s">
        <v>155</v>
      </c>
      <c r="BK615" t="s">
        <v>104</v>
      </c>
      <c r="BL615" t="s">
        <v>156</v>
      </c>
      <c r="BM615" t="s">
        <v>12014</v>
      </c>
      <c r="BN615" t="s">
        <v>74</v>
      </c>
      <c r="BO615" t="s">
        <v>549</v>
      </c>
      <c r="BP615" t="s">
        <v>74</v>
      </c>
      <c r="BQ615" t="s">
        <v>74</v>
      </c>
      <c r="BR615" t="s">
        <v>107</v>
      </c>
      <c r="BS615" t="s">
        <v>12015</v>
      </c>
      <c r="BT615" t="str">
        <f>HYPERLINK("https%3A%2F%2Fwww.webofscience.com%2Fwos%2Fwoscc%2Ffull-record%2FWOS:001000829500001","View Full Record in Web of Science")</f>
        <v>View Full Record in Web of Science</v>
      </c>
    </row>
    <row r="616" spans="1:72" x14ac:dyDescent="0.15">
      <c r="A616" t="s">
        <v>72</v>
      </c>
      <c r="B616" t="s">
        <v>12016</v>
      </c>
      <c r="C616" t="s">
        <v>74</v>
      </c>
      <c r="D616" t="s">
        <v>74</v>
      </c>
      <c r="E616" t="s">
        <v>74</v>
      </c>
      <c r="F616" t="s">
        <v>12017</v>
      </c>
      <c r="G616" t="s">
        <v>74</v>
      </c>
      <c r="H616" t="s">
        <v>74</v>
      </c>
      <c r="I616" t="s">
        <v>12018</v>
      </c>
      <c r="J616" t="s">
        <v>2213</v>
      </c>
      <c r="K616" t="s">
        <v>74</v>
      </c>
      <c r="L616" t="s">
        <v>74</v>
      </c>
      <c r="M616" t="s">
        <v>78</v>
      </c>
      <c r="N616" t="s">
        <v>79</v>
      </c>
      <c r="O616" t="s">
        <v>74</v>
      </c>
      <c r="P616" t="s">
        <v>74</v>
      </c>
      <c r="Q616" t="s">
        <v>74</v>
      </c>
      <c r="R616" t="s">
        <v>74</v>
      </c>
      <c r="S616" t="s">
        <v>74</v>
      </c>
      <c r="T616" t="s">
        <v>12019</v>
      </c>
      <c r="U616" t="s">
        <v>12020</v>
      </c>
      <c r="V616" t="s">
        <v>12021</v>
      </c>
      <c r="W616" t="s">
        <v>12022</v>
      </c>
      <c r="X616" t="s">
        <v>12023</v>
      </c>
      <c r="Y616" t="s">
        <v>12024</v>
      </c>
      <c r="Z616" t="s">
        <v>12025</v>
      </c>
      <c r="AA616" t="s">
        <v>12026</v>
      </c>
      <c r="AB616" t="s">
        <v>12027</v>
      </c>
      <c r="AC616" t="s">
        <v>12028</v>
      </c>
      <c r="AD616" t="s">
        <v>12029</v>
      </c>
      <c r="AE616" t="s">
        <v>12030</v>
      </c>
      <c r="AF616" t="s">
        <v>74</v>
      </c>
      <c r="AG616">
        <v>50</v>
      </c>
      <c r="AH616">
        <v>1</v>
      </c>
      <c r="AI616">
        <v>1</v>
      </c>
      <c r="AJ616">
        <v>5</v>
      </c>
      <c r="AK616">
        <v>8</v>
      </c>
      <c r="AL616" t="s">
        <v>588</v>
      </c>
      <c r="AM616" t="s">
        <v>589</v>
      </c>
      <c r="AN616" t="s">
        <v>590</v>
      </c>
      <c r="AO616" t="s">
        <v>2226</v>
      </c>
      <c r="AP616" t="s">
        <v>2227</v>
      </c>
      <c r="AQ616" t="s">
        <v>74</v>
      </c>
      <c r="AR616" t="s">
        <v>2228</v>
      </c>
      <c r="AS616" t="s">
        <v>2229</v>
      </c>
      <c r="AT616" t="s">
        <v>11863</v>
      </c>
      <c r="AU616">
        <v>2023</v>
      </c>
      <c r="AV616">
        <v>50</v>
      </c>
      <c r="AW616">
        <v>11</v>
      </c>
      <c r="AX616" t="s">
        <v>74</v>
      </c>
      <c r="AY616" t="s">
        <v>74</v>
      </c>
      <c r="AZ616" t="s">
        <v>74</v>
      </c>
      <c r="BA616" t="s">
        <v>74</v>
      </c>
      <c r="BB616" t="s">
        <v>74</v>
      </c>
      <c r="BC616" t="s">
        <v>74</v>
      </c>
      <c r="BD616" t="s">
        <v>12031</v>
      </c>
      <c r="BE616" t="s">
        <v>12032</v>
      </c>
      <c r="BF616" t="str">
        <f>HYPERLINK("http://dx.doi.org/10.1029/2023GL103866","http://dx.doi.org/10.1029/2023GL103866")</f>
        <v>http://dx.doi.org/10.1029/2023GL103866</v>
      </c>
      <c r="BG616" t="s">
        <v>74</v>
      </c>
      <c r="BH616" t="s">
        <v>74</v>
      </c>
      <c r="BI616">
        <v>9</v>
      </c>
      <c r="BJ616" t="s">
        <v>155</v>
      </c>
      <c r="BK616" t="s">
        <v>104</v>
      </c>
      <c r="BL616" t="s">
        <v>156</v>
      </c>
      <c r="BM616" t="s">
        <v>12033</v>
      </c>
      <c r="BN616" t="s">
        <v>74</v>
      </c>
      <c r="BO616" t="s">
        <v>549</v>
      </c>
      <c r="BP616" t="s">
        <v>74</v>
      </c>
      <c r="BQ616" t="s">
        <v>74</v>
      </c>
      <c r="BR616" t="s">
        <v>107</v>
      </c>
      <c r="BS616" t="s">
        <v>12034</v>
      </c>
      <c r="BT616" t="str">
        <f>HYPERLINK("https%3A%2F%2Fwww.webofscience.com%2Fwos%2Fwoscc%2Ffull-record%2FWOS:000997412700001","View Full Record in Web of Science")</f>
        <v>View Full Record in Web of Science</v>
      </c>
    </row>
    <row r="617" spans="1:72" x14ac:dyDescent="0.15">
      <c r="A617" t="s">
        <v>72</v>
      </c>
      <c r="B617" t="s">
        <v>12035</v>
      </c>
      <c r="C617" t="s">
        <v>74</v>
      </c>
      <c r="D617" t="s">
        <v>74</v>
      </c>
      <c r="E617" t="s">
        <v>74</v>
      </c>
      <c r="F617" t="s">
        <v>12036</v>
      </c>
      <c r="G617" t="s">
        <v>74</v>
      </c>
      <c r="H617" t="s">
        <v>74</v>
      </c>
      <c r="I617" t="s">
        <v>12037</v>
      </c>
      <c r="J617" t="s">
        <v>1868</v>
      </c>
      <c r="K617" t="s">
        <v>74</v>
      </c>
      <c r="L617" t="s">
        <v>74</v>
      </c>
      <c r="M617" t="s">
        <v>78</v>
      </c>
      <c r="N617" t="s">
        <v>79</v>
      </c>
      <c r="O617" t="s">
        <v>74</v>
      </c>
      <c r="P617" t="s">
        <v>74</v>
      </c>
      <c r="Q617" t="s">
        <v>74</v>
      </c>
      <c r="R617" t="s">
        <v>74</v>
      </c>
      <c r="S617" t="s">
        <v>74</v>
      </c>
      <c r="T617" t="s">
        <v>74</v>
      </c>
      <c r="U617" t="s">
        <v>12038</v>
      </c>
      <c r="V617" t="s">
        <v>12039</v>
      </c>
      <c r="W617" t="s">
        <v>12040</v>
      </c>
      <c r="X617" t="s">
        <v>12041</v>
      </c>
      <c r="Y617" t="s">
        <v>12042</v>
      </c>
      <c r="Z617" t="s">
        <v>12043</v>
      </c>
      <c r="AA617" t="s">
        <v>12044</v>
      </c>
      <c r="AB617" t="s">
        <v>12045</v>
      </c>
      <c r="AC617" t="s">
        <v>12046</v>
      </c>
      <c r="AD617" t="s">
        <v>12047</v>
      </c>
      <c r="AE617" t="s">
        <v>12048</v>
      </c>
      <c r="AF617" t="s">
        <v>74</v>
      </c>
      <c r="AG617">
        <v>51</v>
      </c>
      <c r="AH617">
        <v>2</v>
      </c>
      <c r="AI617">
        <v>2</v>
      </c>
      <c r="AJ617">
        <v>21</v>
      </c>
      <c r="AK617">
        <v>27</v>
      </c>
      <c r="AL617" t="s">
        <v>146</v>
      </c>
      <c r="AM617" t="s">
        <v>147</v>
      </c>
      <c r="AN617" t="s">
        <v>148</v>
      </c>
      <c r="AO617" t="s">
        <v>1877</v>
      </c>
      <c r="AP617" t="s">
        <v>1878</v>
      </c>
      <c r="AQ617" t="s">
        <v>74</v>
      </c>
      <c r="AR617" t="s">
        <v>1868</v>
      </c>
      <c r="AS617" t="s">
        <v>1879</v>
      </c>
      <c r="AT617" t="s">
        <v>12049</v>
      </c>
      <c r="AU617">
        <v>2023</v>
      </c>
      <c r="AV617">
        <v>618</v>
      </c>
      <c r="AW617">
        <v>7965</v>
      </c>
      <c r="AX617" t="s">
        <v>74</v>
      </c>
      <c r="AY617" t="s">
        <v>74</v>
      </c>
      <c r="AZ617" t="s">
        <v>74</v>
      </c>
      <c r="BA617" t="s">
        <v>74</v>
      </c>
      <c r="BB617">
        <v>526</v>
      </c>
      <c r="BC617" t="s">
        <v>153</v>
      </c>
      <c r="BD617" t="s">
        <v>74</v>
      </c>
      <c r="BE617" t="s">
        <v>12050</v>
      </c>
      <c r="BF617" t="str">
        <f>HYPERLINK("http://dx.doi.org/10.1038/s41586-023-06041-4","http://dx.doi.org/10.1038/s41586-023-06041-4")</f>
        <v>http://dx.doi.org/10.1038/s41586-023-06041-4</v>
      </c>
      <c r="BG617" t="s">
        <v>74</v>
      </c>
      <c r="BH617" t="s">
        <v>74</v>
      </c>
      <c r="BI617">
        <v>15</v>
      </c>
      <c r="BJ617" t="s">
        <v>1881</v>
      </c>
      <c r="BK617" t="s">
        <v>104</v>
      </c>
      <c r="BL617" t="s">
        <v>1882</v>
      </c>
      <c r="BM617" t="s">
        <v>12051</v>
      </c>
      <c r="BN617">
        <v>37316721</v>
      </c>
      <c r="BO617" t="s">
        <v>74</v>
      </c>
      <c r="BP617" t="s">
        <v>74</v>
      </c>
      <c r="BQ617" t="s">
        <v>74</v>
      </c>
      <c r="BR617" t="s">
        <v>107</v>
      </c>
      <c r="BS617" t="s">
        <v>12052</v>
      </c>
      <c r="BT617" t="str">
        <f>HYPERLINK("https%3A%2F%2Fwww.webofscience.com%2Fwos%2Fwoscc%2Ffull-record%2FWOS:001054550600004","View Full Record in Web of Science")</f>
        <v>View Full Record in Web of Science</v>
      </c>
    </row>
    <row r="618" spans="1:72" x14ac:dyDescent="0.15">
      <c r="A618" t="s">
        <v>72</v>
      </c>
      <c r="B618" t="s">
        <v>12053</v>
      </c>
      <c r="C618" t="s">
        <v>74</v>
      </c>
      <c r="D618" t="s">
        <v>74</v>
      </c>
      <c r="E618" t="s">
        <v>74</v>
      </c>
      <c r="F618" t="s">
        <v>12054</v>
      </c>
      <c r="G618" t="s">
        <v>74</v>
      </c>
      <c r="H618" t="s">
        <v>74</v>
      </c>
      <c r="I618" t="s">
        <v>12055</v>
      </c>
      <c r="J618" t="s">
        <v>8404</v>
      </c>
      <c r="K618" t="s">
        <v>74</v>
      </c>
      <c r="L618" t="s">
        <v>74</v>
      </c>
      <c r="M618" t="s">
        <v>78</v>
      </c>
      <c r="N618" t="s">
        <v>79</v>
      </c>
      <c r="O618" t="s">
        <v>74</v>
      </c>
      <c r="P618" t="s">
        <v>74</v>
      </c>
      <c r="Q618" t="s">
        <v>74</v>
      </c>
      <c r="R618" t="s">
        <v>74</v>
      </c>
      <c r="S618" t="s">
        <v>74</v>
      </c>
      <c r="T618" t="s">
        <v>12056</v>
      </c>
      <c r="U618" t="s">
        <v>12057</v>
      </c>
      <c r="V618" t="s">
        <v>12058</v>
      </c>
      <c r="W618" t="s">
        <v>12059</v>
      </c>
      <c r="X618" t="s">
        <v>12060</v>
      </c>
      <c r="Y618" t="s">
        <v>12061</v>
      </c>
      <c r="Z618" t="s">
        <v>12062</v>
      </c>
      <c r="AA618" t="s">
        <v>12063</v>
      </c>
      <c r="AB618" t="s">
        <v>12064</v>
      </c>
      <c r="AC618" t="s">
        <v>12065</v>
      </c>
      <c r="AD618" t="s">
        <v>12066</v>
      </c>
      <c r="AE618" t="s">
        <v>12067</v>
      </c>
      <c r="AF618" t="s">
        <v>74</v>
      </c>
      <c r="AG618">
        <v>50</v>
      </c>
      <c r="AH618">
        <v>1</v>
      </c>
      <c r="AI618">
        <v>1</v>
      </c>
      <c r="AJ618">
        <v>15</v>
      </c>
      <c r="AK618">
        <v>22</v>
      </c>
      <c r="AL618" t="s">
        <v>3672</v>
      </c>
      <c r="AM618" t="s">
        <v>538</v>
      </c>
      <c r="AN618" t="s">
        <v>3673</v>
      </c>
      <c r="AO618" t="s">
        <v>8415</v>
      </c>
      <c r="AP618" t="s">
        <v>8416</v>
      </c>
      <c r="AQ618" t="s">
        <v>74</v>
      </c>
      <c r="AR618" t="s">
        <v>8417</v>
      </c>
      <c r="AS618" t="s">
        <v>8418</v>
      </c>
      <c r="AT618" t="s">
        <v>2125</v>
      </c>
      <c r="AU618">
        <v>2023</v>
      </c>
      <c r="AV618">
        <v>426</v>
      </c>
      <c r="AW618" t="s">
        <v>74</v>
      </c>
      <c r="AX618" t="s">
        <v>74</v>
      </c>
      <c r="AY618" t="s">
        <v>74</v>
      </c>
      <c r="AZ618" t="s">
        <v>74</v>
      </c>
      <c r="BA618" t="s">
        <v>74</v>
      </c>
      <c r="BB618" t="s">
        <v>74</v>
      </c>
      <c r="BC618" t="s">
        <v>74</v>
      </c>
      <c r="BD618">
        <v>136458</v>
      </c>
      <c r="BE618" t="s">
        <v>12068</v>
      </c>
      <c r="BF618" t="str">
        <f>HYPERLINK("http://dx.doi.org/10.1016/j.foodchem.2023.136458","http://dx.doi.org/10.1016/j.foodchem.2023.136458")</f>
        <v>http://dx.doi.org/10.1016/j.foodchem.2023.136458</v>
      </c>
      <c r="BG618" t="s">
        <v>74</v>
      </c>
      <c r="BH618" t="s">
        <v>10102</v>
      </c>
      <c r="BI618">
        <v>10</v>
      </c>
      <c r="BJ618" t="s">
        <v>8420</v>
      </c>
      <c r="BK618" t="s">
        <v>104</v>
      </c>
      <c r="BL618" t="s">
        <v>8421</v>
      </c>
      <c r="BM618" t="s">
        <v>12069</v>
      </c>
      <c r="BN618">
        <v>37329795</v>
      </c>
      <c r="BO618" t="s">
        <v>1128</v>
      </c>
      <c r="BP618" t="s">
        <v>74</v>
      </c>
      <c r="BQ618" t="s">
        <v>74</v>
      </c>
      <c r="BR618" t="s">
        <v>107</v>
      </c>
      <c r="BS618" t="s">
        <v>12070</v>
      </c>
      <c r="BT618" t="str">
        <f>HYPERLINK("https%3A%2F%2Fwww.webofscience.com%2Fwos%2Fwoscc%2Ffull-record%2FWOS:001025485700001","View Full Record in Web of Science")</f>
        <v>View Full Record in Web of Science</v>
      </c>
    </row>
    <row r="619" spans="1:72" x14ac:dyDescent="0.15">
      <c r="A619" t="s">
        <v>72</v>
      </c>
      <c r="B619" t="s">
        <v>12071</v>
      </c>
      <c r="C619" t="s">
        <v>74</v>
      </c>
      <c r="D619" t="s">
        <v>74</v>
      </c>
      <c r="E619" t="s">
        <v>74</v>
      </c>
      <c r="F619" t="s">
        <v>12072</v>
      </c>
      <c r="G619" t="s">
        <v>74</v>
      </c>
      <c r="H619" t="s">
        <v>74</v>
      </c>
      <c r="I619" t="s">
        <v>12073</v>
      </c>
      <c r="J619" t="s">
        <v>12074</v>
      </c>
      <c r="K619" t="s">
        <v>74</v>
      </c>
      <c r="L619" t="s">
        <v>74</v>
      </c>
      <c r="M619" t="s">
        <v>78</v>
      </c>
      <c r="N619" t="s">
        <v>79</v>
      </c>
      <c r="O619" t="s">
        <v>74</v>
      </c>
      <c r="P619" t="s">
        <v>74</v>
      </c>
      <c r="Q619" t="s">
        <v>74</v>
      </c>
      <c r="R619" t="s">
        <v>74</v>
      </c>
      <c r="S619" t="s">
        <v>74</v>
      </c>
      <c r="T619" t="s">
        <v>12075</v>
      </c>
      <c r="U619" t="s">
        <v>12076</v>
      </c>
      <c r="V619" t="s">
        <v>12077</v>
      </c>
      <c r="W619" t="s">
        <v>12078</v>
      </c>
      <c r="X619" t="s">
        <v>12079</v>
      </c>
      <c r="Y619" t="s">
        <v>12080</v>
      </c>
      <c r="Z619" t="s">
        <v>12081</v>
      </c>
      <c r="AA619" t="s">
        <v>12082</v>
      </c>
      <c r="AB619" t="s">
        <v>12083</v>
      </c>
      <c r="AC619" t="s">
        <v>12084</v>
      </c>
      <c r="AD619" t="s">
        <v>12085</v>
      </c>
      <c r="AE619" t="s">
        <v>12086</v>
      </c>
      <c r="AF619" t="s">
        <v>74</v>
      </c>
      <c r="AG619">
        <v>69</v>
      </c>
      <c r="AH619">
        <v>3</v>
      </c>
      <c r="AI619">
        <v>3</v>
      </c>
      <c r="AJ619">
        <v>14</v>
      </c>
      <c r="AK619">
        <v>29</v>
      </c>
      <c r="AL619" t="s">
        <v>172</v>
      </c>
      <c r="AM619" t="s">
        <v>173</v>
      </c>
      <c r="AN619" t="s">
        <v>174</v>
      </c>
      <c r="AO619" t="s">
        <v>12087</v>
      </c>
      <c r="AP619" t="s">
        <v>12088</v>
      </c>
      <c r="AQ619" t="s">
        <v>74</v>
      </c>
      <c r="AR619" t="s">
        <v>12089</v>
      </c>
      <c r="AS619" t="s">
        <v>12090</v>
      </c>
      <c r="AT619" t="s">
        <v>4689</v>
      </c>
      <c r="AU619">
        <v>2023</v>
      </c>
      <c r="AV619">
        <v>261</v>
      </c>
      <c r="AW619" t="s">
        <v>74</v>
      </c>
      <c r="AX619" t="s">
        <v>74</v>
      </c>
      <c r="AY619" t="s">
        <v>74</v>
      </c>
      <c r="AZ619" t="s">
        <v>74</v>
      </c>
      <c r="BA619" t="s">
        <v>74</v>
      </c>
      <c r="BB619" t="s">
        <v>74</v>
      </c>
      <c r="BC619" t="s">
        <v>74</v>
      </c>
      <c r="BD619">
        <v>106591</v>
      </c>
      <c r="BE619" t="s">
        <v>12091</v>
      </c>
      <c r="BF619" t="str">
        <f>HYPERLINK("http://dx.doi.org/10.1016/j.aquatox.2023.106591","http://dx.doi.org/10.1016/j.aquatox.2023.106591")</f>
        <v>http://dx.doi.org/10.1016/j.aquatox.2023.106591</v>
      </c>
      <c r="BG619" t="s">
        <v>74</v>
      </c>
      <c r="BH619" t="s">
        <v>10102</v>
      </c>
      <c r="BI619">
        <v>10</v>
      </c>
      <c r="BJ619" t="s">
        <v>12092</v>
      </c>
      <c r="BK619" t="s">
        <v>104</v>
      </c>
      <c r="BL619" t="s">
        <v>12092</v>
      </c>
      <c r="BM619" t="s">
        <v>12093</v>
      </c>
      <c r="BN619">
        <v>37329636</v>
      </c>
      <c r="BO619" t="s">
        <v>2670</v>
      </c>
      <c r="BP619" t="s">
        <v>74</v>
      </c>
      <c r="BQ619" t="s">
        <v>74</v>
      </c>
      <c r="BR619" t="s">
        <v>107</v>
      </c>
      <c r="BS619" t="s">
        <v>12094</v>
      </c>
      <c r="BT619" t="str">
        <f>HYPERLINK("https%3A%2F%2Fwww.webofscience.com%2Fwos%2Fwoscc%2Ffull-record%2FWOS:001020454900001","View Full Record in Web of Science")</f>
        <v>View Full Record in Web of Science</v>
      </c>
    </row>
    <row r="620" spans="1:72" x14ac:dyDescent="0.15">
      <c r="A620" t="s">
        <v>72</v>
      </c>
      <c r="B620" t="s">
        <v>12095</v>
      </c>
      <c r="C620" t="s">
        <v>74</v>
      </c>
      <c r="D620" t="s">
        <v>74</v>
      </c>
      <c r="E620" t="s">
        <v>74</v>
      </c>
      <c r="F620" t="s">
        <v>12096</v>
      </c>
      <c r="G620" t="s">
        <v>74</v>
      </c>
      <c r="H620" t="s">
        <v>74</v>
      </c>
      <c r="I620" t="s">
        <v>12097</v>
      </c>
      <c r="J620" t="s">
        <v>4768</v>
      </c>
      <c r="K620" t="s">
        <v>74</v>
      </c>
      <c r="L620" t="s">
        <v>74</v>
      </c>
      <c r="M620" t="s">
        <v>78</v>
      </c>
      <c r="N620" t="s">
        <v>79</v>
      </c>
      <c r="O620" t="s">
        <v>74</v>
      </c>
      <c r="P620" t="s">
        <v>74</v>
      </c>
      <c r="Q620" t="s">
        <v>74</v>
      </c>
      <c r="R620" t="s">
        <v>74</v>
      </c>
      <c r="S620" t="s">
        <v>74</v>
      </c>
      <c r="T620" t="s">
        <v>12098</v>
      </c>
      <c r="U620" t="s">
        <v>12099</v>
      </c>
      <c r="V620" t="s">
        <v>12100</v>
      </c>
      <c r="W620" t="s">
        <v>12101</v>
      </c>
      <c r="X620" t="s">
        <v>12102</v>
      </c>
      <c r="Y620" t="s">
        <v>12103</v>
      </c>
      <c r="Z620" t="s">
        <v>12104</v>
      </c>
      <c r="AA620" t="s">
        <v>74</v>
      </c>
      <c r="AB620" t="s">
        <v>74</v>
      </c>
      <c r="AC620" t="s">
        <v>12105</v>
      </c>
      <c r="AD620" t="s">
        <v>12106</v>
      </c>
      <c r="AE620" t="s">
        <v>12107</v>
      </c>
      <c r="AF620" t="s">
        <v>74</v>
      </c>
      <c r="AG620">
        <v>219</v>
      </c>
      <c r="AH620">
        <v>2</v>
      </c>
      <c r="AI620">
        <v>2</v>
      </c>
      <c r="AJ620">
        <v>12</v>
      </c>
      <c r="AK620">
        <v>21</v>
      </c>
      <c r="AL620" t="s">
        <v>298</v>
      </c>
      <c r="AM620" t="s">
        <v>3791</v>
      </c>
      <c r="AN620" t="s">
        <v>3792</v>
      </c>
      <c r="AO620" t="s">
        <v>4777</v>
      </c>
      <c r="AP620" t="s">
        <v>4778</v>
      </c>
      <c r="AQ620" t="s">
        <v>74</v>
      </c>
      <c r="AR620" t="s">
        <v>4779</v>
      </c>
      <c r="AS620" t="s">
        <v>4780</v>
      </c>
      <c r="AT620" t="s">
        <v>1810</v>
      </c>
      <c r="AU620">
        <v>2023</v>
      </c>
      <c r="AV620">
        <v>44</v>
      </c>
      <c r="AW620">
        <v>5</v>
      </c>
      <c r="AX620" t="s">
        <v>74</v>
      </c>
      <c r="AY620" t="s">
        <v>74</v>
      </c>
      <c r="AZ620" t="s">
        <v>99</v>
      </c>
      <c r="BA620" t="s">
        <v>74</v>
      </c>
      <c r="BB620">
        <v>1615</v>
      </c>
      <c r="BC620">
        <v>1652</v>
      </c>
      <c r="BD620" t="s">
        <v>74</v>
      </c>
      <c r="BE620" t="s">
        <v>12108</v>
      </c>
      <c r="BF620" t="str">
        <f>HYPERLINK("http://dx.doi.org/10.1007/s10712-023-09795-8","http://dx.doi.org/10.1007/s10712-023-09795-8")</f>
        <v>http://dx.doi.org/10.1007/s10712-023-09795-8</v>
      </c>
      <c r="BG620" t="s">
        <v>74</v>
      </c>
      <c r="BH620" t="s">
        <v>10102</v>
      </c>
      <c r="BI620">
        <v>38</v>
      </c>
      <c r="BJ620" t="s">
        <v>597</v>
      </c>
      <c r="BK620" t="s">
        <v>104</v>
      </c>
      <c r="BL620" t="s">
        <v>597</v>
      </c>
      <c r="BM620" t="s">
        <v>12109</v>
      </c>
      <c r="BN620" t="s">
        <v>74</v>
      </c>
      <c r="BO620" t="s">
        <v>549</v>
      </c>
      <c r="BP620" t="s">
        <v>74</v>
      </c>
      <c r="BQ620" t="s">
        <v>74</v>
      </c>
      <c r="BR620" t="s">
        <v>107</v>
      </c>
      <c r="BS620" t="s">
        <v>12110</v>
      </c>
      <c r="BT620" t="str">
        <f>HYPERLINK("https%3A%2F%2Fwww.webofscience.com%2Fwos%2Fwoscc%2Ffull-record%2FWOS:001008432800001","View Full Record in Web of Science")</f>
        <v>View Full Record in Web of Science</v>
      </c>
    </row>
    <row r="621" spans="1:72" x14ac:dyDescent="0.15">
      <c r="A621" t="s">
        <v>72</v>
      </c>
      <c r="B621" t="s">
        <v>12111</v>
      </c>
      <c r="C621" t="s">
        <v>74</v>
      </c>
      <c r="D621" t="s">
        <v>74</v>
      </c>
      <c r="E621" t="s">
        <v>74</v>
      </c>
      <c r="F621" t="s">
        <v>12112</v>
      </c>
      <c r="G621" t="s">
        <v>74</v>
      </c>
      <c r="H621" t="s">
        <v>74</v>
      </c>
      <c r="I621" t="s">
        <v>12113</v>
      </c>
      <c r="J621" t="s">
        <v>138</v>
      </c>
      <c r="K621" t="s">
        <v>74</v>
      </c>
      <c r="L621" t="s">
        <v>74</v>
      </c>
      <c r="M621" t="s">
        <v>78</v>
      </c>
      <c r="N621" t="s">
        <v>79</v>
      </c>
      <c r="O621" t="s">
        <v>74</v>
      </c>
      <c r="P621" t="s">
        <v>74</v>
      </c>
      <c r="Q621" t="s">
        <v>74</v>
      </c>
      <c r="R621" t="s">
        <v>74</v>
      </c>
      <c r="S621" t="s">
        <v>74</v>
      </c>
      <c r="T621" t="s">
        <v>74</v>
      </c>
      <c r="U621" t="s">
        <v>12114</v>
      </c>
      <c r="V621" t="s">
        <v>12115</v>
      </c>
      <c r="W621" t="s">
        <v>12116</v>
      </c>
      <c r="X621" t="s">
        <v>12117</v>
      </c>
      <c r="Y621" t="s">
        <v>12118</v>
      </c>
      <c r="Z621" t="s">
        <v>12119</v>
      </c>
      <c r="AA621" t="s">
        <v>12120</v>
      </c>
      <c r="AB621" t="s">
        <v>12121</v>
      </c>
      <c r="AC621" t="s">
        <v>12122</v>
      </c>
      <c r="AD621" t="s">
        <v>12123</v>
      </c>
      <c r="AE621" t="s">
        <v>12124</v>
      </c>
      <c r="AF621" t="s">
        <v>74</v>
      </c>
      <c r="AG621">
        <v>80</v>
      </c>
      <c r="AH621">
        <v>2</v>
      </c>
      <c r="AI621">
        <v>2</v>
      </c>
      <c r="AJ621">
        <v>2</v>
      </c>
      <c r="AK621">
        <v>6</v>
      </c>
      <c r="AL621" t="s">
        <v>146</v>
      </c>
      <c r="AM621" t="s">
        <v>147</v>
      </c>
      <c r="AN621" t="s">
        <v>148</v>
      </c>
      <c r="AO621" t="s">
        <v>149</v>
      </c>
      <c r="AP621" t="s">
        <v>150</v>
      </c>
      <c r="AQ621" t="s">
        <v>74</v>
      </c>
      <c r="AR621" t="s">
        <v>151</v>
      </c>
      <c r="AS621" t="s">
        <v>152</v>
      </c>
      <c r="AT621" t="s">
        <v>3612</v>
      </c>
      <c r="AU621">
        <v>2023</v>
      </c>
      <c r="AV621">
        <v>16</v>
      </c>
      <c r="AW621">
        <v>7</v>
      </c>
      <c r="AX621" t="s">
        <v>74</v>
      </c>
      <c r="AY621" t="s">
        <v>74</v>
      </c>
      <c r="AZ621" t="s">
        <v>74</v>
      </c>
      <c r="BA621" t="s">
        <v>74</v>
      </c>
      <c r="BB621">
        <v>612</v>
      </c>
      <c r="BC621" t="s">
        <v>153</v>
      </c>
      <c r="BD621" t="s">
        <v>74</v>
      </c>
      <c r="BE621" t="s">
        <v>12125</v>
      </c>
      <c r="BF621" t="str">
        <f>HYPERLINK("http://dx.doi.org/10.1038/s41561-023-01204-4","http://dx.doi.org/10.1038/s41561-023-01204-4")</f>
        <v>http://dx.doi.org/10.1038/s41561-023-01204-4</v>
      </c>
      <c r="BG621" t="s">
        <v>74</v>
      </c>
      <c r="BH621" t="s">
        <v>10102</v>
      </c>
      <c r="BI621">
        <v>18</v>
      </c>
      <c r="BJ621" t="s">
        <v>155</v>
      </c>
      <c r="BK621" t="s">
        <v>104</v>
      </c>
      <c r="BL621" t="s">
        <v>156</v>
      </c>
      <c r="BM621" t="s">
        <v>10729</v>
      </c>
      <c r="BN621" t="s">
        <v>74</v>
      </c>
      <c r="BO621" t="s">
        <v>12126</v>
      </c>
      <c r="BP621" t="s">
        <v>74</v>
      </c>
      <c r="BQ621" t="s">
        <v>74</v>
      </c>
      <c r="BR621" t="s">
        <v>107</v>
      </c>
      <c r="BS621" t="s">
        <v>12127</v>
      </c>
      <c r="BT621" t="str">
        <f>HYPERLINK("https%3A%2F%2Fwww.webofscience.com%2Fwos%2Fwoscc%2Ffull-record%2FWOS:001008415900001","View Full Record in Web of Science")</f>
        <v>View Full Record in Web of Science</v>
      </c>
    </row>
    <row r="622" spans="1:72" x14ac:dyDescent="0.15">
      <c r="A622" t="s">
        <v>72</v>
      </c>
      <c r="B622" t="s">
        <v>12128</v>
      </c>
      <c r="C622" t="s">
        <v>74</v>
      </c>
      <c r="D622" t="s">
        <v>74</v>
      </c>
      <c r="E622" t="s">
        <v>74</v>
      </c>
      <c r="F622" t="s">
        <v>12129</v>
      </c>
      <c r="G622" t="s">
        <v>74</v>
      </c>
      <c r="H622" t="s">
        <v>74</v>
      </c>
      <c r="I622" t="s">
        <v>12130</v>
      </c>
      <c r="J622" t="s">
        <v>8278</v>
      </c>
      <c r="K622" t="s">
        <v>74</v>
      </c>
      <c r="L622" t="s">
        <v>74</v>
      </c>
      <c r="M622" t="s">
        <v>78</v>
      </c>
      <c r="N622" t="s">
        <v>79</v>
      </c>
      <c r="O622" t="s">
        <v>74</v>
      </c>
      <c r="P622" t="s">
        <v>74</v>
      </c>
      <c r="Q622" t="s">
        <v>74</v>
      </c>
      <c r="R622" t="s">
        <v>74</v>
      </c>
      <c r="S622" t="s">
        <v>74</v>
      </c>
      <c r="T622" t="s">
        <v>74</v>
      </c>
      <c r="U622" t="s">
        <v>12131</v>
      </c>
      <c r="V622" t="s">
        <v>12132</v>
      </c>
      <c r="W622" t="s">
        <v>12133</v>
      </c>
      <c r="X622" t="s">
        <v>12134</v>
      </c>
      <c r="Y622" t="s">
        <v>12135</v>
      </c>
      <c r="Z622" t="s">
        <v>12136</v>
      </c>
      <c r="AA622" t="s">
        <v>12137</v>
      </c>
      <c r="AB622" t="s">
        <v>12138</v>
      </c>
      <c r="AC622" t="s">
        <v>12139</v>
      </c>
      <c r="AD622" t="s">
        <v>12140</v>
      </c>
      <c r="AE622" t="s">
        <v>12141</v>
      </c>
      <c r="AF622" t="s">
        <v>74</v>
      </c>
      <c r="AG622">
        <v>83</v>
      </c>
      <c r="AH622">
        <v>4</v>
      </c>
      <c r="AI622">
        <v>4</v>
      </c>
      <c r="AJ622">
        <v>7</v>
      </c>
      <c r="AK622">
        <v>10</v>
      </c>
      <c r="AL622" t="s">
        <v>2617</v>
      </c>
      <c r="AM622" t="s">
        <v>1528</v>
      </c>
      <c r="AN622" t="s">
        <v>2618</v>
      </c>
      <c r="AO622" t="s">
        <v>74</v>
      </c>
      <c r="AP622" t="s">
        <v>8290</v>
      </c>
      <c r="AQ622" t="s">
        <v>74</v>
      </c>
      <c r="AR622" t="s">
        <v>8291</v>
      </c>
      <c r="AS622" t="s">
        <v>8292</v>
      </c>
      <c r="AT622" t="s">
        <v>12142</v>
      </c>
      <c r="AU622">
        <v>2023</v>
      </c>
      <c r="AV622">
        <v>3</v>
      </c>
      <c r="AW622">
        <v>1</v>
      </c>
      <c r="AX622" t="s">
        <v>74</v>
      </c>
      <c r="AY622" t="s">
        <v>74</v>
      </c>
      <c r="AZ622" t="s">
        <v>74</v>
      </c>
      <c r="BA622" t="s">
        <v>74</v>
      </c>
      <c r="BB622" t="s">
        <v>74</v>
      </c>
      <c r="BC622" t="s">
        <v>74</v>
      </c>
      <c r="BD622">
        <v>53</v>
      </c>
      <c r="BE622" t="s">
        <v>12143</v>
      </c>
      <c r="BF622" t="str">
        <f>HYPERLINK("http://dx.doi.org/10.1038/s43705-023-00247-3","http://dx.doi.org/10.1038/s43705-023-00247-3")</f>
        <v>http://dx.doi.org/10.1038/s43705-023-00247-3</v>
      </c>
      <c r="BG622" t="s">
        <v>74</v>
      </c>
      <c r="BH622" t="s">
        <v>74</v>
      </c>
      <c r="BI622">
        <v>11</v>
      </c>
      <c r="BJ622" t="s">
        <v>8295</v>
      </c>
      <c r="BK622" t="s">
        <v>518</v>
      </c>
      <c r="BL622" t="s">
        <v>8296</v>
      </c>
      <c r="BM622" t="s">
        <v>12144</v>
      </c>
      <c r="BN622">
        <v>37311801</v>
      </c>
      <c r="BO622" t="s">
        <v>821</v>
      </c>
      <c r="BP622" t="s">
        <v>74</v>
      </c>
      <c r="BQ622" t="s">
        <v>74</v>
      </c>
      <c r="BR622" t="s">
        <v>107</v>
      </c>
      <c r="BS622" t="s">
        <v>12145</v>
      </c>
      <c r="BT622" t="str">
        <f>HYPERLINK("https%3A%2F%2Fwww.webofscience.com%2Fwos%2Fwoscc%2Ffull-record%2FWOS:001052222300001","View Full Record in Web of Science")</f>
        <v>View Full Record in Web of Science</v>
      </c>
    </row>
    <row r="623" spans="1:72" x14ac:dyDescent="0.15">
      <c r="A623" t="s">
        <v>72</v>
      </c>
      <c r="B623" t="s">
        <v>12146</v>
      </c>
      <c r="C623" t="s">
        <v>74</v>
      </c>
      <c r="D623" t="s">
        <v>74</v>
      </c>
      <c r="E623" t="s">
        <v>74</v>
      </c>
      <c r="F623" t="s">
        <v>12147</v>
      </c>
      <c r="G623" t="s">
        <v>74</v>
      </c>
      <c r="H623" t="s">
        <v>74</v>
      </c>
      <c r="I623" t="s">
        <v>12148</v>
      </c>
      <c r="J623" t="s">
        <v>2056</v>
      </c>
      <c r="K623" t="s">
        <v>74</v>
      </c>
      <c r="L623" t="s">
        <v>74</v>
      </c>
      <c r="M623" t="s">
        <v>78</v>
      </c>
      <c r="N623" t="s">
        <v>79</v>
      </c>
      <c r="O623" t="s">
        <v>74</v>
      </c>
      <c r="P623" t="s">
        <v>74</v>
      </c>
      <c r="Q623" t="s">
        <v>74</v>
      </c>
      <c r="R623" t="s">
        <v>74</v>
      </c>
      <c r="S623" t="s">
        <v>74</v>
      </c>
      <c r="T623" t="s">
        <v>74</v>
      </c>
      <c r="U623" t="s">
        <v>12149</v>
      </c>
      <c r="V623" t="s">
        <v>12150</v>
      </c>
      <c r="W623" t="s">
        <v>12151</v>
      </c>
      <c r="X623" t="s">
        <v>12152</v>
      </c>
      <c r="Y623" t="s">
        <v>12153</v>
      </c>
      <c r="Z623" t="s">
        <v>12154</v>
      </c>
      <c r="AA623" t="s">
        <v>12155</v>
      </c>
      <c r="AB623" t="s">
        <v>12156</v>
      </c>
      <c r="AC623" t="s">
        <v>12157</v>
      </c>
      <c r="AD623" t="s">
        <v>12158</v>
      </c>
      <c r="AE623" t="s">
        <v>12159</v>
      </c>
      <c r="AF623" t="s">
        <v>74</v>
      </c>
      <c r="AG623">
        <v>54</v>
      </c>
      <c r="AH623">
        <v>0</v>
      </c>
      <c r="AI623">
        <v>0</v>
      </c>
      <c r="AJ623">
        <v>1</v>
      </c>
      <c r="AK623">
        <v>2</v>
      </c>
      <c r="AL623" t="s">
        <v>2068</v>
      </c>
      <c r="AM623" t="s">
        <v>2069</v>
      </c>
      <c r="AN623" t="s">
        <v>2070</v>
      </c>
      <c r="AO623" t="s">
        <v>2071</v>
      </c>
      <c r="AP623" t="s">
        <v>74</v>
      </c>
      <c r="AQ623" t="s">
        <v>74</v>
      </c>
      <c r="AR623" t="s">
        <v>2056</v>
      </c>
      <c r="AS623" t="s">
        <v>2072</v>
      </c>
      <c r="AT623" t="s">
        <v>12142</v>
      </c>
      <c r="AU623">
        <v>2023</v>
      </c>
      <c r="AV623">
        <v>18</v>
      </c>
      <c r="AW623">
        <v>6</v>
      </c>
      <c r="AX623" t="s">
        <v>74</v>
      </c>
      <c r="AY623" t="s">
        <v>74</v>
      </c>
      <c r="AZ623" t="s">
        <v>74</v>
      </c>
      <c r="BA623" t="s">
        <v>74</v>
      </c>
      <c r="BB623" t="s">
        <v>74</v>
      </c>
      <c r="BC623" t="s">
        <v>74</v>
      </c>
      <c r="BD623" t="s">
        <v>12160</v>
      </c>
      <c r="BE623" t="s">
        <v>12161</v>
      </c>
      <c r="BF623" t="str">
        <f>HYPERLINK("http://dx.doi.org/10.1371/journal.pone.0286397","http://dx.doi.org/10.1371/journal.pone.0286397")</f>
        <v>http://dx.doi.org/10.1371/journal.pone.0286397</v>
      </c>
      <c r="BG623" t="s">
        <v>74</v>
      </c>
      <c r="BH623" t="s">
        <v>74</v>
      </c>
      <c r="BI623">
        <v>14</v>
      </c>
      <c r="BJ623" t="s">
        <v>1881</v>
      </c>
      <c r="BK623" t="s">
        <v>104</v>
      </c>
      <c r="BL623" t="s">
        <v>1882</v>
      </c>
      <c r="BM623" t="s">
        <v>12162</v>
      </c>
      <c r="BN623">
        <v>37314973</v>
      </c>
      <c r="BO623" t="s">
        <v>181</v>
      </c>
      <c r="BP623" t="s">
        <v>74</v>
      </c>
      <c r="BQ623" t="s">
        <v>74</v>
      </c>
      <c r="BR623" t="s">
        <v>107</v>
      </c>
      <c r="BS623" t="s">
        <v>12163</v>
      </c>
      <c r="BT623" t="str">
        <f>HYPERLINK("https%3A%2F%2Fwww.webofscience.com%2Fwos%2Fwoscc%2Ffull-record%2FWOS:001010646600029","View Full Record in Web of Science")</f>
        <v>View Full Record in Web of Science</v>
      </c>
    </row>
    <row r="624" spans="1:72" x14ac:dyDescent="0.15">
      <c r="A624" t="s">
        <v>72</v>
      </c>
      <c r="B624" t="s">
        <v>12164</v>
      </c>
      <c r="C624" t="s">
        <v>74</v>
      </c>
      <c r="D624" t="s">
        <v>74</v>
      </c>
      <c r="E624" t="s">
        <v>74</v>
      </c>
      <c r="F624" t="s">
        <v>12165</v>
      </c>
      <c r="G624" t="s">
        <v>74</v>
      </c>
      <c r="H624" t="s">
        <v>74</v>
      </c>
      <c r="I624" t="s">
        <v>12166</v>
      </c>
      <c r="J624" t="s">
        <v>12167</v>
      </c>
      <c r="K624" t="s">
        <v>74</v>
      </c>
      <c r="L624" t="s">
        <v>74</v>
      </c>
      <c r="M624" t="s">
        <v>78</v>
      </c>
      <c r="N624" t="s">
        <v>79</v>
      </c>
      <c r="O624" t="s">
        <v>74</v>
      </c>
      <c r="P624" t="s">
        <v>74</v>
      </c>
      <c r="Q624" t="s">
        <v>74</v>
      </c>
      <c r="R624" t="s">
        <v>74</v>
      </c>
      <c r="S624" t="s">
        <v>74</v>
      </c>
      <c r="T624" t="s">
        <v>12168</v>
      </c>
      <c r="U624" t="s">
        <v>12169</v>
      </c>
      <c r="V624" t="s">
        <v>12170</v>
      </c>
      <c r="W624" t="s">
        <v>12171</v>
      </c>
      <c r="X624" t="s">
        <v>12172</v>
      </c>
      <c r="Y624" t="s">
        <v>12173</v>
      </c>
      <c r="Z624" t="s">
        <v>12174</v>
      </c>
      <c r="AA624" t="s">
        <v>12175</v>
      </c>
      <c r="AB624" t="s">
        <v>12176</v>
      </c>
      <c r="AC624" t="s">
        <v>12177</v>
      </c>
      <c r="AD624" t="s">
        <v>12178</v>
      </c>
      <c r="AE624" t="s">
        <v>12179</v>
      </c>
      <c r="AF624" t="s">
        <v>74</v>
      </c>
      <c r="AG624">
        <v>29</v>
      </c>
      <c r="AH624">
        <v>1</v>
      </c>
      <c r="AI624">
        <v>1</v>
      </c>
      <c r="AJ624">
        <v>2</v>
      </c>
      <c r="AK624">
        <v>3</v>
      </c>
      <c r="AL624" t="s">
        <v>172</v>
      </c>
      <c r="AM624" t="s">
        <v>173</v>
      </c>
      <c r="AN624" t="s">
        <v>174</v>
      </c>
      <c r="AO624" t="s">
        <v>12180</v>
      </c>
      <c r="AP624" t="s">
        <v>12181</v>
      </c>
      <c r="AQ624" t="s">
        <v>74</v>
      </c>
      <c r="AR624" t="s">
        <v>12167</v>
      </c>
      <c r="AS624" t="s">
        <v>12182</v>
      </c>
      <c r="AT624" t="s">
        <v>2048</v>
      </c>
      <c r="AU624">
        <v>2023</v>
      </c>
      <c r="AV624">
        <v>265</v>
      </c>
      <c r="AW624" t="s">
        <v>74</v>
      </c>
      <c r="AX624" t="s">
        <v>74</v>
      </c>
      <c r="AY624" t="s">
        <v>74</v>
      </c>
      <c r="AZ624" t="s">
        <v>74</v>
      </c>
      <c r="BA624" t="s">
        <v>74</v>
      </c>
      <c r="BB624" t="s">
        <v>74</v>
      </c>
      <c r="BC624" t="s">
        <v>74</v>
      </c>
      <c r="BD624">
        <v>124799</v>
      </c>
      <c r="BE624" t="s">
        <v>12183</v>
      </c>
      <c r="BF624" t="str">
        <f>HYPERLINK("http://dx.doi.org/10.1016/j.talanta.2023.124799","http://dx.doi.org/10.1016/j.talanta.2023.124799")</f>
        <v>http://dx.doi.org/10.1016/j.talanta.2023.124799</v>
      </c>
      <c r="BG624" t="s">
        <v>74</v>
      </c>
      <c r="BH624" t="s">
        <v>10102</v>
      </c>
      <c r="BI624">
        <v>7</v>
      </c>
      <c r="BJ624" t="s">
        <v>12184</v>
      </c>
      <c r="BK624" t="s">
        <v>104</v>
      </c>
      <c r="BL624" t="s">
        <v>4838</v>
      </c>
      <c r="BM624" t="s">
        <v>12185</v>
      </c>
      <c r="BN624">
        <v>37327665</v>
      </c>
      <c r="BO624" t="s">
        <v>1128</v>
      </c>
      <c r="BP624" t="s">
        <v>74</v>
      </c>
      <c r="BQ624" t="s">
        <v>74</v>
      </c>
      <c r="BR624" t="s">
        <v>107</v>
      </c>
      <c r="BS624" t="s">
        <v>12186</v>
      </c>
      <c r="BT624" t="str">
        <f>HYPERLINK("https%3A%2F%2Fwww.webofscience.com%2Fwos%2Fwoscc%2Ffull-record%2FWOS:001027552200001","View Full Record in Web of Science")</f>
        <v>View Full Record in Web of Science</v>
      </c>
    </row>
    <row r="625" spans="1:72" x14ac:dyDescent="0.15">
      <c r="A625" t="s">
        <v>72</v>
      </c>
      <c r="B625" t="s">
        <v>12187</v>
      </c>
      <c r="C625" t="s">
        <v>74</v>
      </c>
      <c r="D625" t="s">
        <v>74</v>
      </c>
      <c r="E625" t="s">
        <v>74</v>
      </c>
      <c r="F625" t="s">
        <v>12188</v>
      </c>
      <c r="G625" t="s">
        <v>74</v>
      </c>
      <c r="H625" t="s">
        <v>74</v>
      </c>
      <c r="I625" t="s">
        <v>12189</v>
      </c>
      <c r="J625" t="s">
        <v>6547</v>
      </c>
      <c r="K625" t="s">
        <v>74</v>
      </c>
      <c r="L625" t="s">
        <v>74</v>
      </c>
      <c r="M625" t="s">
        <v>78</v>
      </c>
      <c r="N625" t="s">
        <v>79</v>
      </c>
      <c r="O625" t="s">
        <v>74</v>
      </c>
      <c r="P625" t="s">
        <v>74</v>
      </c>
      <c r="Q625" t="s">
        <v>74</v>
      </c>
      <c r="R625" t="s">
        <v>74</v>
      </c>
      <c r="S625" t="s">
        <v>74</v>
      </c>
      <c r="T625" t="s">
        <v>12190</v>
      </c>
      <c r="U625" t="s">
        <v>12191</v>
      </c>
      <c r="V625" t="s">
        <v>12192</v>
      </c>
      <c r="W625" t="s">
        <v>12193</v>
      </c>
      <c r="X625" t="s">
        <v>12194</v>
      </c>
      <c r="Y625" t="s">
        <v>12195</v>
      </c>
      <c r="Z625" t="s">
        <v>12196</v>
      </c>
      <c r="AA625" t="s">
        <v>12197</v>
      </c>
      <c r="AB625" t="s">
        <v>12198</v>
      </c>
      <c r="AC625" t="s">
        <v>12199</v>
      </c>
      <c r="AD625" t="s">
        <v>12199</v>
      </c>
      <c r="AE625" t="s">
        <v>12200</v>
      </c>
      <c r="AF625" t="s">
        <v>74</v>
      </c>
      <c r="AG625">
        <v>133</v>
      </c>
      <c r="AH625">
        <v>0</v>
      </c>
      <c r="AI625">
        <v>0</v>
      </c>
      <c r="AJ625">
        <v>2</v>
      </c>
      <c r="AK625">
        <v>4</v>
      </c>
      <c r="AL625" t="s">
        <v>172</v>
      </c>
      <c r="AM625" t="s">
        <v>173</v>
      </c>
      <c r="AN625" t="s">
        <v>174</v>
      </c>
      <c r="AO625" t="s">
        <v>6559</v>
      </c>
      <c r="AP625" t="s">
        <v>6560</v>
      </c>
      <c r="AQ625" t="s">
        <v>74</v>
      </c>
      <c r="AR625" t="s">
        <v>6561</v>
      </c>
      <c r="AS625" t="s">
        <v>6562</v>
      </c>
      <c r="AT625" t="s">
        <v>4689</v>
      </c>
      <c r="AU625">
        <v>2023</v>
      </c>
      <c r="AV625">
        <v>227</v>
      </c>
      <c r="AW625" t="s">
        <v>74</v>
      </c>
      <c r="AX625" t="s">
        <v>74</v>
      </c>
      <c r="AY625" t="s">
        <v>74</v>
      </c>
      <c r="AZ625" t="s">
        <v>74</v>
      </c>
      <c r="BA625" t="s">
        <v>74</v>
      </c>
      <c r="BB625" t="s">
        <v>74</v>
      </c>
      <c r="BC625" t="s">
        <v>74</v>
      </c>
      <c r="BD625">
        <v>104174</v>
      </c>
      <c r="BE625" t="s">
        <v>12201</v>
      </c>
      <c r="BF625" t="str">
        <f>HYPERLINK("http://dx.doi.org/10.1016/j.gloplacha.2023.104174","http://dx.doi.org/10.1016/j.gloplacha.2023.104174")</f>
        <v>http://dx.doi.org/10.1016/j.gloplacha.2023.104174</v>
      </c>
      <c r="BG625" t="s">
        <v>74</v>
      </c>
      <c r="BH625" t="s">
        <v>10102</v>
      </c>
      <c r="BI625">
        <v>13</v>
      </c>
      <c r="BJ625" t="s">
        <v>1783</v>
      </c>
      <c r="BK625" t="s">
        <v>104</v>
      </c>
      <c r="BL625" t="s">
        <v>1784</v>
      </c>
      <c r="BM625" t="s">
        <v>12202</v>
      </c>
      <c r="BN625" t="s">
        <v>74</v>
      </c>
      <c r="BO625" t="s">
        <v>74</v>
      </c>
      <c r="BP625" t="s">
        <v>74</v>
      </c>
      <c r="BQ625" t="s">
        <v>74</v>
      </c>
      <c r="BR625" t="s">
        <v>107</v>
      </c>
      <c r="BS625" t="s">
        <v>12203</v>
      </c>
      <c r="BT625" t="str">
        <f>HYPERLINK("https%3A%2F%2Fwww.webofscience.com%2Fwos%2Fwoscc%2Ffull-record%2FWOS:001025108500001","View Full Record in Web of Science")</f>
        <v>View Full Record in Web of Science</v>
      </c>
    </row>
    <row r="626" spans="1:72" x14ac:dyDescent="0.15">
      <c r="A626" t="s">
        <v>72</v>
      </c>
      <c r="B626" t="s">
        <v>12204</v>
      </c>
      <c r="C626" t="s">
        <v>74</v>
      </c>
      <c r="D626" t="s">
        <v>74</v>
      </c>
      <c r="E626" t="s">
        <v>74</v>
      </c>
      <c r="F626" t="s">
        <v>12205</v>
      </c>
      <c r="G626" t="s">
        <v>74</v>
      </c>
      <c r="H626" t="s">
        <v>74</v>
      </c>
      <c r="I626" t="s">
        <v>12206</v>
      </c>
      <c r="J626" t="s">
        <v>983</v>
      </c>
      <c r="K626" t="s">
        <v>74</v>
      </c>
      <c r="L626" t="s">
        <v>74</v>
      </c>
      <c r="M626" t="s">
        <v>78</v>
      </c>
      <c r="N626" t="s">
        <v>79</v>
      </c>
      <c r="O626" t="s">
        <v>74</v>
      </c>
      <c r="P626" t="s">
        <v>74</v>
      </c>
      <c r="Q626" t="s">
        <v>74</v>
      </c>
      <c r="R626" t="s">
        <v>74</v>
      </c>
      <c r="S626" t="s">
        <v>74</v>
      </c>
      <c r="T626" t="s">
        <v>12207</v>
      </c>
      <c r="U626" t="s">
        <v>12208</v>
      </c>
      <c r="V626" t="s">
        <v>12209</v>
      </c>
      <c r="W626" t="s">
        <v>12210</v>
      </c>
      <c r="X626" t="s">
        <v>12211</v>
      </c>
      <c r="Y626" t="s">
        <v>12212</v>
      </c>
      <c r="Z626" t="s">
        <v>12213</v>
      </c>
      <c r="AA626" t="s">
        <v>12214</v>
      </c>
      <c r="AB626" t="s">
        <v>74</v>
      </c>
      <c r="AC626" t="s">
        <v>12215</v>
      </c>
      <c r="AD626" t="s">
        <v>12216</v>
      </c>
      <c r="AE626" t="s">
        <v>12217</v>
      </c>
      <c r="AF626" t="s">
        <v>74</v>
      </c>
      <c r="AG626">
        <v>26</v>
      </c>
      <c r="AH626">
        <v>1</v>
      </c>
      <c r="AI626">
        <v>1</v>
      </c>
      <c r="AJ626">
        <v>8</v>
      </c>
      <c r="AK626">
        <v>21</v>
      </c>
      <c r="AL626" t="s">
        <v>994</v>
      </c>
      <c r="AM626" t="s">
        <v>995</v>
      </c>
      <c r="AN626" t="s">
        <v>996</v>
      </c>
      <c r="AO626" t="s">
        <v>74</v>
      </c>
      <c r="AP626" t="s">
        <v>997</v>
      </c>
      <c r="AQ626" t="s">
        <v>74</v>
      </c>
      <c r="AR626" t="s">
        <v>998</v>
      </c>
      <c r="AS626" t="s">
        <v>999</v>
      </c>
      <c r="AT626" t="s">
        <v>12142</v>
      </c>
      <c r="AU626">
        <v>2023</v>
      </c>
      <c r="AV626">
        <v>10</v>
      </c>
      <c r="AW626" t="s">
        <v>74</v>
      </c>
      <c r="AX626" t="s">
        <v>74</v>
      </c>
      <c r="AY626" t="s">
        <v>74</v>
      </c>
      <c r="AZ626" t="s">
        <v>74</v>
      </c>
      <c r="BA626" t="s">
        <v>74</v>
      </c>
      <c r="BB626" t="s">
        <v>74</v>
      </c>
      <c r="BC626" t="s">
        <v>74</v>
      </c>
      <c r="BD626">
        <v>1140645</v>
      </c>
      <c r="BE626" t="s">
        <v>12218</v>
      </c>
      <c r="BF626" t="str">
        <f>HYPERLINK("http://dx.doi.org/10.3389/fmars.2023.1140645","http://dx.doi.org/10.3389/fmars.2023.1140645")</f>
        <v>http://dx.doi.org/10.3389/fmars.2023.1140645</v>
      </c>
      <c r="BG626" t="s">
        <v>74</v>
      </c>
      <c r="BH626" t="s">
        <v>74</v>
      </c>
      <c r="BI626">
        <v>9</v>
      </c>
      <c r="BJ626" t="s">
        <v>1001</v>
      </c>
      <c r="BK626" t="s">
        <v>104</v>
      </c>
      <c r="BL626" t="s">
        <v>1002</v>
      </c>
      <c r="BM626" t="s">
        <v>12219</v>
      </c>
      <c r="BN626" t="s">
        <v>74</v>
      </c>
      <c r="BO626" t="s">
        <v>206</v>
      </c>
      <c r="BP626" t="s">
        <v>74</v>
      </c>
      <c r="BQ626" t="s">
        <v>74</v>
      </c>
      <c r="BR626" t="s">
        <v>107</v>
      </c>
      <c r="BS626" t="s">
        <v>12220</v>
      </c>
      <c r="BT626" t="str">
        <f>HYPERLINK("https%3A%2F%2Fwww.webofscience.com%2Fwos%2Fwoscc%2Ffull-record%2FWOS:001018330500001","View Full Record in Web of Science")</f>
        <v>View Full Record in Web of Science</v>
      </c>
    </row>
    <row r="627" spans="1:72" x14ac:dyDescent="0.15">
      <c r="A627" t="s">
        <v>72</v>
      </c>
      <c r="B627" t="s">
        <v>12221</v>
      </c>
      <c r="C627" t="s">
        <v>74</v>
      </c>
      <c r="D627" t="s">
        <v>74</v>
      </c>
      <c r="E627" t="s">
        <v>74</v>
      </c>
      <c r="F627" t="s">
        <v>12222</v>
      </c>
      <c r="G627" t="s">
        <v>74</v>
      </c>
      <c r="H627" t="s">
        <v>74</v>
      </c>
      <c r="I627" t="s">
        <v>12223</v>
      </c>
      <c r="J627" t="s">
        <v>4165</v>
      </c>
      <c r="K627" t="s">
        <v>74</v>
      </c>
      <c r="L627" t="s">
        <v>74</v>
      </c>
      <c r="M627" t="s">
        <v>78</v>
      </c>
      <c r="N627" t="s">
        <v>79</v>
      </c>
      <c r="O627" t="s">
        <v>74</v>
      </c>
      <c r="P627" t="s">
        <v>74</v>
      </c>
      <c r="Q627" t="s">
        <v>74</v>
      </c>
      <c r="R627" t="s">
        <v>74</v>
      </c>
      <c r="S627" t="s">
        <v>74</v>
      </c>
      <c r="T627" t="s">
        <v>74</v>
      </c>
      <c r="U627" t="s">
        <v>12224</v>
      </c>
      <c r="V627" t="s">
        <v>12225</v>
      </c>
      <c r="W627" t="s">
        <v>12226</v>
      </c>
      <c r="X627" t="s">
        <v>12227</v>
      </c>
      <c r="Y627" t="s">
        <v>12228</v>
      </c>
      <c r="Z627" t="s">
        <v>12229</v>
      </c>
      <c r="AA627" t="s">
        <v>12230</v>
      </c>
      <c r="AB627" t="s">
        <v>12231</v>
      </c>
      <c r="AC627" t="s">
        <v>12232</v>
      </c>
      <c r="AD627" t="s">
        <v>12232</v>
      </c>
      <c r="AE627" t="s">
        <v>12233</v>
      </c>
      <c r="AF627" t="s">
        <v>74</v>
      </c>
      <c r="AG627">
        <v>88</v>
      </c>
      <c r="AH627">
        <v>1</v>
      </c>
      <c r="AI627">
        <v>1</v>
      </c>
      <c r="AJ627">
        <v>1</v>
      </c>
      <c r="AK627">
        <v>1</v>
      </c>
      <c r="AL627" t="s">
        <v>1775</v>
      </c>
      <c r="AM627" t="s">
        <v>1776</v>
      </c>
      <c r="AN627" t="s">
        <v>1777</v>
      </c>
      <c r="AO627" t="s">
        <v>4177</v>
      </c>
      <c r="AP627" t="s">
        <v>4178</v>
      </c>
      <c r="AQ627" t="s">
        <v>74</v>
      </c>
      <c r="AR627" t="s">
        <v>4179</v>
      </c>
      <c r="AS627" t="s">
        <v>4180</v>
      </c>
      <c r="AT627" t="s">
        <v>12142</v>
      </c>
      <c r="AU627">
        <v>2023</v>
      </c>
      <c r="AV627">
        <v>16</v>
      </c>
      <c r="AW627">
        <v>11</v>
      </c>
      <c r="AX627" t="s">
        <v>74</v>
      </c>
      <c r="AY627" t="s">
        <v>74</v>
      </c>
      <c r="AZ627" t="s">
        <v>74</v>
      </c>
      <c r="BA627" t="s">
        <v>74</v>
      </c>
      <c r="BB627">
        <v>3355</v>
      </c>
      <c r="BC627">
        <v>3373</v>
      </c>
      <c r="BD627" t="s">
        <v>74</v>
      </c>
      <c r="BE627" t="s">
        <v>12234</v>
      </c>
      <c r="BF627" t="str">
        <f>HYPERLINK("http://dx.doi.org/10.5194/gmd-16-3355-2023","http://dx.doi.org/10.5194/gmd-16-3355-2023")</f>
        <v>http://dx.doi.org/10.5194/gmd-16-3355-2023</v>
      </c>
      <c r="BG627" t="s">
        <v>74</v>
      </c>
      <c r="BH627" t="s">
        <v>74</v>
      </c>
      <c r="BI627">
        <v>19</v>
      </c>
      <c r="BJ627" t="s">
        <v>155</v>
      </c>
      <c r="BK627" t="s">
        <v>104</v>
      </c>
      <c r="BL627" t="s">
        <v>156</v>
      </c>
      <c r="BM627" t="s">
        <v>12235</v>
      </c>
      <c r="BN627" t="s">
        <v>74</v>
      </c>
      <c r="BO627" t="s">
        <v>3243</v>
      </c>
      <c r="BP627" t="s">
        <v>74</v>
      </c>
      <c r="BQ627" t="s">
        <v>74</v>
      </c>
      <c r="BR627" t="s">
        <v>107</v>
      </c>
      <c r="BS627" t="s">
        <v>12236</v>
      </c>
      <c r="BT627" t="str">
        <f>HYPERLINK("https%3A%2F%2Fwww.webofscience.com%2Fwos%2Fwoscc%2Ffull-record%2FWOS:001009617100001","View Full Record in Web of Science")</f>
        <v>View Full Record in Web of Science</v>
      </c>
    </row>
    <row r="628" spans="1:72" x14ac:dyDescent="0.15">
      <c r="A628" t="s">
        <v>72</v>
      </c>
      <c r="B628" t="s">
        <v>12237</v>
      </c>
      <c r="C628" t="s">
        <v>74</v>
      </c>
      <c r="D628" t="s">
        <v>74</v>
      </c>
      <c r="E628" t="s">
        <v>74</v>
      </c>
      <c r="F628" t="s">
        <v>12238</v>
      </c>
      <c r="G628" t="s">
        <v>74</v>
      </c>
      <c r="H628" t="s">
        <v>74</v>
      </c>
      <c r="I628" t="s">
        <v>12239</v>
      </c>
      <c r="J628" t="s">
        <v>12240</v>
      </c>
      <c r="K628" t="s">
        <v>74</v>
      </c>
      <c r="L628" t="s">
        <v>74</v>
      </c>
      <c r="M628" t="s">
        <v>78</v>
      </c>
      <c r="N628" t="s">
        <v>79</v>
      </c>
      <c r="O628" t="s">
        <v>74</v>
      </c>
      <c r="P628" t="s">
        <v>74</v>
      </c>
      <c r="Q628" t="s">
        <v>74</v>
      </c>
      <c r="R628" t="s">
        <v>74</v>
      </c>
      <c r="S628" t="s">
        <v>74</v>
      </c>
      <c r="T628" t="s">
        <v>12241</v>
      </c>
      <c r="U628" t="s">
        <v>12242</v>
      </c>
      <c r="V628" t="s">
        <v>12243</v>
      </c>
      <c r="W628" t="s">
        <v>12244</v>
      </c>
      <c r="X628" t="s">
        <v>12245</v>
      </c>
      <c r="Y628" t="s">
        <v>12246</v>
      </c>
      <c r="Z628" t="s">
        <v>12247</v>
      </c>
      <c r="AA628" t="s">
        <v>12248</v>
      </c>
      <c r="AB628" t="s">
        <v>12249</v>
      </c>
      <c r="AC628" t="s">
        <v>12250</v>
      </c>
      <c r="AD628" t="s">
        <v>12251</v>
      </c>
      <c r="AE628" t="s">
        <v>12252</v>
      </c>
      <c r="AF628" t="s">
        <v>74</v>
      </c>
      <c r="AG628">
        <v>109</v>
      </c>
      <c r="AH628">
        <v>5</v>
      </c>
      <c r="AI628">
        <v>5</v>
      </c>
      <c r="AJ628">
        <v>0</v>
      </c>
      <c r="AK628">
        <v>1</v>
      </c>
      <c r="AL628" t="s">
        <v>537</v>
      </c>
      <c r="AM628" t="s">
        <v>538</v>
      </c>
      <c r="AN628" t="s">
        <v>539</v>
      </c>
      <c r="AO628" t="s">
        <v>74</v>
      </c>
      <c r="AP628" t="s">
        <v>12253</v>
      </c>
      <c r="AQ628" t="s">
        <v>74</v>
      </c>
      <c r="AR628" t="s">
        <v>12254</v>
      </c>
      <c r="AS628" t="s">
        <v>12255</v>
      </c>
      <c r="AT628" t="s">
        <v>12142</v>
      </c>
      <c r="AU628">
        <v>2023</v>
      </c>
      <c r="AV628">
        <v>9</v>
      </c>
      <c r="AW628">
        <v>1</v>
      </c>
      <c r="AX628" t="s">
        <v>74</v>
      </c>
      <c r="AY628" t="s">
        <v>74</v>
      </c>
      <c r="AZ628" t="s">
        <v>74</v>
      </c>
      <c r="BA628" t="s">
        <v>74</v>
      </c>
      <c r="BB628" t="s">
        <v>74</v>
      </c>
      <c r="BC628" t="s">
        <v>74</v>
      </c>
      <c r="BD628" t="s">
        <v>12256</v>
      </c>
      <c r="BE628" t="s">
        <v>12257</v>
      </c>
      <c r="BF628" t="str">
        <f>HYPERLINK("http://dx.doi.org/10.1093/ve/vead035","http://dx.doi.org/10.1093/ve/vead035")</f>
        <v>http://dx.doi.org/10.1093/ve/vead035</v>
      </c>
      <c r="BG628" t="s">
        <v>74</v>
      </c>
      <c r="BH628" t="s">
        <v>74</v>
      </c>
      <c r="BI628">
        <v>13</v>
      </c>
      <c r="BJ628" t="s">
        <v>6336</v>
      </c>
      <c r="BK628" t="s">
        <v>104</v>
      </c>
      <c r="BL628" t="s">
        <v>6336</v>
      </c>
      <c r="BM628" t="s">
        <v>12258</v>
      </c>
      <c r="BN628">
        <v>37325085</v>
      </c>
      <c r="BO628" t="s">
        <v>181</v>
      </c>
      <c r="BP628" t="s">
        <v>74</v>
      </c>
      <c r="BQ628" t="s">
        <v>74</v>
      </c>
      <c r="BR628" t="s">
        <v>107</v>
      </c>
      <c r="BS628" t="s">
        <v>12259</v>
      </c>
      <c r="BT628" t="str">
        <f>HYPERLINK("https%3A%2F%2Fwww.webofscience.com%2Fwos%2Fwoscc%2Ffull-record%2FWOS:001008263200001","View Full Record in Web of Science")</f>
        <v>View Full Record in Web of Science</v>
      </c>
    </row>
    <row r="629" spans="1:72" x14ac:dyDescent="0.15">
      <c r="A629" t="s">
        <v>72</v>
      </c>
      <c r="B629" t="s">
        <v>12260</v>
      </c>
      <c r="C629" t="s">
        <v>74</v>
      </c>
      <c r="D629" t="s">
        <v>74</v>
      </c>
      <c r="E629" t="s">
        <v>74</v>
      </c>
      <c r="F629" t="s">
        <v>12261</v>
      </c>
      <c r="G629" t="s">
        <v>74</v>
      </c>
      <c r="H629" t="s">
        <v>74</v>
      </c>
      <c r="I629" t="s">
        <v>12262</v>
      </c>
      <c r="J629" t="s">
        <v>2610</v>
      </c>
      <c r="K629" t="s">
        <v>74</v>
      </c>
      <c r="L629" t="s">
        <v>74</v>
      </c>
      <c r="M629" t="s">
        <v>78</v>
      </c>
      <c r="N629" t="s">
        <v>79</v>
      </c>
      <c r="O629" t="s">
        <v>74</v>
      </c>
      <c r="P629" t="s">
        <v>74</v>
      </c>
      <c r="Q629" t="s">
        <v>74</v>
      </c>
      <c r="R629" t="s">
        <v>74</v>
      </c>
      <c r="S629" t="s">
        <v>74</v>
      </c>
      <c r="T629" t="s">
        <v>74</v>
      </c>
      <c r="U629" t="s">
        <v>12263</v>
      </c>
      <c r="V629" t="s">
        <v>12264</v>
      </c>
      <c r="W629" t="s">
        <v>12265</v>
      </c>
      <c r="X629" t="s">
        <v>6973</v>
      </c>
      <c r="Y629" t="s">
        <v>12266</v>
      </c>
      <c r="Z629" t="s">
        <v>12267</v>
      </c>
      <c r="AA629" t="s">
        <v>12268</v>
      </c>
      <c r="AB629" t="s">
        <v>12269</v>
      </c>
      <c r="AC629" t="s">
        <v>74</v>
      </c>
      <c r="AD629" t="s">
        <v>74</v>
      </c>
      <c r="AE629" t="s">
        <v>74</v>
      </c>
      <c r="AF629" t="s">
        <v>74</v>
      </c>
      <c r="AG629">
        <v>181</v>
      </c>
      <c r="AH629">
        <v>3</v>
      </c>
      <c r="AI629">
        <v>3</v>
      </c>
      <c r="AJ629">
        <v>4</v>
      </c>
      <c r="AK629">
        <v>13</v>
      </c>
      <c r="AL629" t="s">
        <v>2617</v>
      </c>
      <c r="AM629" t="s">
        <v>1528</v>
      </c>
      <c r="AN629" t="s">
        <v>2618</v>
      </c>
      <c r="AO629" t="s">
        <v>74</v>
      </c>
      <c r="AP629" t="s">
        <v>2619</v>
      </c>
      <c r="AQ629" t="s">
        <v>74</v>
      </c>
      <c r="AR629" t="s">
        <v>2620</v>
      </c>
      <c r="AS629" t="s">
        <v>2621</v>
      </c>
      <c r="AT629" t="s">
        <v>12142</v>
      </c>
      <c r="AU629">
        <v>2023</v>
      </c>
      <c r="AV629">
        <v>4</v>
      </c>
      <c r="AW629">
        <v>1</v>
      </c>
      <c r="AX629" t="s">
        <v>74</v>
      </c>
      <c r="AY629" t="s">
        <v>74</v>
      </c>
      <c r="AZ629" t="s">
        <v>74</v>
      </c>
      <c r="BA629" t="s">
        <v>74</v>
      </c>
      <c r="BB629" t="s">
        <v>74</v>
      </c>
      <c r="BC629" t="s">
        <v>74</v>
      </c>
      <c r="BD629">
        <v>212</v>
      </c>
      <c r="BE629" t="s">
        <v>12270</v>
      </c>
      <c r="BF629" t="str">
        <f>HYPERLINK("http://dx.doi.org/10.1038/s43247-023-00871-w","http://dx.doi.org/10.1038/s43247-023-00871-w")</f>
        <v>http://dx.doi.org/10.1038/s43247-023-00871-w</v>
      </c>
      <c r="BG629" t="s">
        <v>74</v>
      </c>
      <c r="BH629" t="s">
        <v>74</v>
      </c>
      <c r="BI629">
        <v>22</v>
      </c>
      <c r="BJ629" t="s">
        <v>1214</v>
      </c>
      <c r="BK629" t="s">
        <v>104</v>
      </c>
      <c r="BL629" t="s">
        <v>1215</v>
      </c>
      <c r="BM629" t="s">
        <v>12271</v>
      </c>
      <c r="BN629" t="s">
        <v>74</v>
      </c>
      <c r="BO629" t="s">
        <v>206</v>
      </c>
      <c r="BP629" t="s">
        <v>74</v>
      </c>
      <c r="BQ629" t="s">
        <v>74</v>
      </c>
      <c r="BR629" t="s">
        <v>107</v>
      </c>
      <c r="BS629" t="s">
        <v>12272</v>
      </c>
      <c r="BT629" t="str">
        <f>HYPERLINK("https%3A%2F%2Fwww.webofscience.com%2Fwos%2Fwoscc%2Ffull-record%2FWOS:001007946500001","View Full Record in Web of Science")</f>
        <v>View Full Record in Web of Science</v>
      </c>
    </row>
    <row r="630" spans="1:72" x14ac:dyDescent="0.15">
      <c r="A630" t="s">
        <v>72</v>
      </c>
      <c r="B630" t="s">
        <v>12273</v>
      </c>
      <c r="C630" t="s">
        <v>74</v>
      </c>
      <c r="D630" t="s">
        <v>74</v>
      </c>
      <c r="E630" t="s">
        <v>74</v>
      </c>
      <c r="F630" t="s">
        <v>12274</v>
      </c>
      <c r="G630" t="s">
        <v>74</v>
      </c>
      <c r="H630" t="s">
        <v>74</v>
      </c>
      <c r="I630" t="s">
        <v>12275</v>
      </c>
      <c r="J630" t="s">
        <v>2516</v>
      </c>
      <c r="K630" t="s">
        <v>74</v>
      </c>
      <c r="L630" t="s">
        <v>74</v>
      </c>
      <c r="M630" t="s">
        <v>78</v>
      </c>
      <c r="N630" t="s">
        <v>1911</v>
      </c>
      <c r="O630" t="s">
        <v>74</v>
      </c>
      <c r="P630" t="s">
        <v>74</v>
      </c>
      <c r="Q630" t="s">
        <v>74</v>
      </c>
      <c r="R630" t="s">
        <v>74</v>
      </c>
      <c r="S630" t="s">
        <v>74</v>
      </c>
      <c r="T630" t="s">
        <v>74</v>
      </c>
      <c r="U630" t="s">
        <v>12276</v>
      </c>
      <c r="V630" t="s">
        <v>12277</v>
      </c>
      <c r="W630" t="s">
        <v>12278</v>
      </c>
      <c r="X630" t="s">
        <v>12279</v>
      </c>
      <c r="Y630" t="s">
        <v>12280</v>
      </c>
      <c r="Z630" t="s">
        <v>12281</v>
      </c>
      <c r="AA630" t="s">
        <v>74</v>
      </c>
      <c r="AB630" t="s">
        <v>12282</v>
      </c>
      <c r="AC630" t="s">
        <v>12283</v>
      </c>
      <c r="AD630" t="s">
        <v>12284</v>
      </c>
      <c r="AE630" t="s">
        <v>12285</v>
      </c>
      <c r="AF630" t="s">
        <v>74</v>
      </c>
      <c r="AG630">
        <v>61</v>
      </c>
      <c r="AH630">
        <v>1</v>
      </c>
      <c r="AI630">
        <v>1</v>
      </c>
      <c r="AJ630">
        <v>1</v>
      </c>
      <c r="AK630">
        <v>5</v>
      </c>
      <c r="AL630" t="s">
        <v>460</v>
      </c>
      <c r="AM630" t="s">
        <v>461</v>
      </c>
      <c r="AN630" t="s">
        <v>462</v>
      </c>
      <c r="AO630" t="s">
        <v>2528</v>
      </c>
      <c r="AP630" t="s">
        <v>2529</v>
      </c>
      <c r="AQ630" t="s">
        <v>74</v>
      </c>
      <c r="AR630" t="s">
        <v>2530</v>
      </c>
      <c r="AS630" t="s">
        <v>2531</v>
      </c>
      <c r="AT630" t="s">
        <v>12286</v>
      </c>
      <c r="AU630">
        <v>2023</v>
      </c>
      <c r="AV630" t="s">
        <v>74</v>
      </c>
      <c r="AW630" t="s">
        <v>74</v>
      </c>
      <c r="AX630" t="s">
        <v>74</v>
      </c>
      <c r="AY630" t="s">
        <v>74</v>
      </c>
      <c r="AZ630" t="s">
        <v>74</v>
      </c>
      <c r="BA630" t="s">
        <v>74</v>
      </c>
      <c r="BB630" t="s">
        <v>74</v>
      </c>
      <c r="BC630" t="s">
        <v>74</v>
      </c>
      <c r="BD630" t="s">
        <v>74</v>
      </c>
      <c r="BE630" t="s">
        <v>12287</v>
      </c>
      <c r="BF630" t="str">
        <f>HYPERLINK("http://dx.doi.org/10.1002/lno.12380","http://dx.doi.org/10.1002/lno.12380")</f>
        <v>http://dx.doi.org/10.1002/lno.12380</v>
      </c>
      <c r="BG630" t="s">
        <v>74</v>
      </c>
      <c r="BH630" t="s">
        <v>10102</v>
      </c>
      <c r="BI630">
        <v>15</v>
      </c>
      <c r="BJ630" t="s">
        <v>2533</v>
      </c>
      <c r="BK630" t="s">
        <v>104</v>
      </c>
      <c r="BL630" t="s">
        <v>569</v>
      </c>
      <c r="BM630" t="s">
        <v>12288</v>
      </c>
      <c r="BN630" t="s">
        <v>74</v>
      </c>
      <c r="BO630" t="s">
        <v>74</v>
      </c>
      <c r="BP630" t="s">
        <v>74</v>
      </c>
      <c r="BQ630" t="s">
        <v>74</v>
      </c>
      <c r="BR630" t="s">
        <v>107</v>
      </c>
      <c r="BS630" t="s">
        <v>12289</v>
      </c>
      <c r="BT630" t="str">
        <f>HYPERLINK("https%3A%2F%2Fwww.webofscience.com%2Fwos%2Fwoscc%2Ffull-record%2FWOS:001006441200001","View Full Record in Web of Science")</f>
        <v>View Full Record in Web of Science</v>
      </c>
    </row>
    <row r="631" spans="1:72" x14ac:dyDescent="0.15">
      <c r="A631" t="s">
        <v>72</v>
      </c>
      <c r="B631" t="s">
        <v>12290</v>
      </c>
      <c r="C631" t="s">
        <v>74</v>
      </c>
      <c r="D631" t="s">
        <v>74</v>
      </c>
      <c r="E631" t="s">
        <v>74</v>
      </c>
      <c r="F631" t="s">
        <v>12291</v>
      </c>
      <c r="G631" t="s">
        <v>74</v>
      </c>
      <c r="H631" t="s">
        <v>74</v>
      </c>
      <c r="I631" t="s">
        <v>12292</v>
      </c>
      <c r="J631" t="s">
        <v>12293</v>
      </c>
      <c r="K631" t="s">
        <v>74</v>
      </c>
      <c r="L631" t="s">
        <v>74</v>
      </c>
      <c r="M631" t="s">
        <v>78</v>
      </c>
      <c r="N631" t="s">
        <v>79</v>
      </c>
      <c r="O631" t="s">
        <v>74</v>
      </c>
      <c r="P631" t="s">
        <v>74</v>
      </c>
      <c r="Q631" t="s">
        <v>74</v>
      </c>
      <c r="R631" t="s">
        <v>74</v>
      </c>
      <c r="S631" t="s">
        <v>74</v>
      </c>
      <c r="T631" t="s">
        <v>12294</v>
      </c>
      <c r="U631" t="s">
        <v>74</v>
      </c>
      <c r="V631" t="s">
        <v>12295</v>
      </c>
      <c r="W631" t="s">
        <v>12296</v>
      </c>
      <c r="X631" t="s">
        <v>12297</v>
      </c>
      <c r="Y631" t="s">
        <v>12298</v>
      </c>
      <c r="Z631" t="s">
        <v>12299</v>
      </c>
      <c r="AA631" t="s">
        <v>12300</v>
      </c>
      <c r="AB631" t="s">
        <v>12301</v>
      </c>
      <c r="AC631" t="s">
        <v>12302</v>
      </c>
      <c r="AD631" t="s">
        <v>12303</v>
      </c>
      <c r="AE631" t="s">
        <v>12304</v>
      </c>
      <c r="AF631" t="s">
        <v>74</v>
      </c>
      <c r="AG631">
        <v>48</v>
      </c>
      <c r="AH631">
        <v>2</v>
      </c>
      <c r="AI631">
        <v>2</v>
      </c>
      <c r="AJ631">
        <v>3</v>
      </c>
      <c r="AK631">
        <v>3</v>
      </c>
      <c r="AL631" t="s">
        <v>3210</v>
      </c>
      <c r="AM631" t="s">
        <v>615</v>
      </c>
      <c r="AN631" t="s">
        <v>3211</v>
      </c>
      <c r="AO631" t="s">
        <v>74</v>
      </c>
      <c r="AP631" t="s">
        <v>12305</v>
      </c>
      <c r="AQ631" t="s">
        <v>74</v>
      </c>
      <c r="AR631" t="s">
        <v>12306</v>
      </c>
      <c r="AS631" t="s">
        <v>12307</v>
      </c>
      <c r="AT631" t="s">
        <v>12308</v>
      </c>
      <c r="AU631">
        <v>2023</v>
      </c>
      <c r="AV631">
        <v>7</v>
      </c>
      <c r="AW631" t="s">
        <v>74</v>
      </c>
      <c r="AX631" t="s">
        <v>74</v>
      </c>
      <c r="AY631" t="s">
        <v>74</v>
      </c>
      <c r="AZ631" t="s">
        <v>74</v>
      </c>
      <c r="BA631" t="s">
        <v>74</v>
      </c>
      <c r="BB631">
        <v>73</v>
      </c>
      <c r="BC631">
        <v>88</v>
      </c>
      <c r="BD631" t="s">
        <v>74</v>
      </c>
      <c r="BE631" t="s">
        <v>12309</v>
      </c>
      <c r="BF631" t="str">
        <f>HYPERLINK("http://dx.doi.org/10.3897/mbmg.7.101266","http://dx.doi.org/10.3897/mbmg.7.101266")</f>
        <v>http://dx.doi.org/10.3897/mbmg.7.101266</v>
      </c>
      <c r="BG631" t="s">
        <v>74</v>
      </c>
      <c r="BH631" t="s">
        <v>74</v>
      </c>
      <c r="BI631">
        <v>16</v>
      </c>
      <c r="BJ631" t="s">
        <v>74</v>
      </c>
      <c r="BK631" t="s">
        <v>518</v>
      </c>
      <c r="BL631" t="s">
        <v>74</v>
      </c>
      <c r="BM631" t="s">
        <v>12310</v>
      </c>
      <c r="BN631" t="s">
        <v>74</v>
      </c>
      <c r="BO631" t="s">
        <v>821</v>
      </c>
      <c r="BP631" t="s">
        <v>74</v>
      </c>
      <c r="BQ631" t="s">
        <v>74</v>
      </c>
      <c r="BR631" t="s">
        <v>107</v>
      </c>
      <c r="BS631" t="s">
        <v>12311</v>
      </c>
      <c r="BT631" t="str">
        <f>HYPERLINK("https%3A%2F%2Fwww.webofscience.com%2Fwos%2Fwoscc%2Ffull-record%2FWOS:001097303300001","View Full Record in Web of Science")</f>
        <v>View Full Record in Web of Science</v>
      </c>
    </row>
    <row r="632" spans="1:72" x14ac:dyDescent="0.15">
      <c r="A632" t="s">
        <v>72</v>
      </c>
      <c r="B632" t="s">
        <v>12312</v>
      </c>
      <c r="C632" t="s">
        <v>74</v>
      </c>
      <c r="D632" t="s">
        <v>74</v>
      </c>
      <c r="E632" t="s">
        <v>74</v>
      </c>
      <c r="F632" t="s">
        <v>12313</v>
      </c>
      <c r="G632" t="s">
        <v>74</v>
      </c>
      <c r="H632" t="s">
        <v>74</v>
      </c>
      <c r="I632" t="s">
        <v>12314</v>
      </c>
      <c r="J632" t="s">
        <v>2610</v>
      </c>
      <c r="K632" t="s">
        <v>74</v>
      </c>
      <c r="L632" t="s">
        <v>74</v>
      </c>
      <c r="M632" t="s">
        <v>78</v>
      </c>
      <c r="N632" t="s">
        <v>79</v>
      </c>
      <c r="O632" t="s">
        <v>74</v>
      </c>
      <c r="P632" t="s">
        <v>74</v>
      </c>
      <c r="Q632" t="s">
        <v>74</v>
      </c>
      <c r="R632" t="s">
        <v>74</v>
      </c>
      <c r="S632" t="s">
        <v>74</v>
      </c>
      <c r="T632" t="s">
        <v>74</v>
      </c>
      <c r="U632" t="s">
        <v>12315</v>
      </c>
      <c r="V632" t="s">
        <v>12316</v>
      </c>
      <c r="W632" t="s">
        <v>12317</v>
      </c>
      <c r="X632" t="s">
        <v>12318</v>
      </c>
      <c r="Y632" t="s">
        <v>12319</v>
      </c>
      <c r="Z632" t="s">
        <v>12320</v>
      </c>
      <c r="AA632" t="s">
        <v>12321</v>
      </c>
      <c r="AB632" t="s">
        <v>12322</v>
      </c>
      <c r="AC632" t="s">
        <v>12323</v>
      </c>
      <c r="AD632" t="s">
        <v>12324</v>
      </c>
      <c r="AE632" t="s">
        <v>12325</v>
      </c>
      <c r="AF632" t="s">
        <v>74</v>
      </c>
      <c r="AG632">
        <v>94</v>
      </c>
      <c r="AH632">
        <v>0</v>
      </c>
      <c r="AI632">
        <v>0</v>
      </c>
      <c r="AJ632">
        <v>5</v>
      </c>
      <c r="AK632">
        <v>14</v>
      </c>
      <c r="AL632" t="s">
        <v>2617</v>
      </c>
      <c r="AM632" t="s">
        <v>1528</v>
      </c>
      <c r="AN632" t="s">
        <v>2618</v>
      </c>
      <c r="AO632" t="s">
        <v>74</v>
      </c>
      <c r="AP632" t="s">
        <v>2619</v>
      </c>
      <c r="AQ632" t="s">
        <v>74</v>
      </c>
      <c r="AR632" t="s">
        <v>2620</v>
      </c>
      <c r="AS632" t="s">
        <v>2621</v>
      </c>
      <c r="AT632" t="s">
        <v>12308</v>
      </c>
      <c r="AU632">
        <v>2023</v>
      </c>
      <c r="AV632">
        <v>4</v>
      </c>
      <c r="AW632">
        <v>1</v>
      </c>
      <c r="AX632" t="s">
        <v>74</v>
      </c>
      <c r="AY632" t="s">
        <v>74</v>
      </c>
      <c r="AZ632" t="s">
        <v>74</v>
      </c>
      <c r="BA632" t="s">
        <v>74</v>
      </c>
      <c r="BB632" t="s">
        <v>74</v>
      </c>
      <c r="BC632" t="s">
        <v>74</v>
      </c>
      <c r="BD632">
        <v>210</v>
      </c>
      <c r="BE632" t="s">
        <v>12326</v>
      </c>
      <c r="BF632" t="str">
        <f>HYPERLINK("http://dx.doi.org/10.1038/s43247-023-00873-8","http://dx.doi.org/10.1038/s43247-023-00873-8")</f>
        <v>http://dx.doi.org/10.1038/s43247-023-00873-8</v>
      </c>
      <c r="BG632" t="s">
        <v>74</v>
      </c>
      <c r="BH632" t="s">
        <v>74</v>
      </c>
      <c r="BI632">
        <v>13</v>
      </c>
      <c r="BJ632" t="s">
        <v>1214</v>
      </c>
      <c r="BK632" t="s">
        <v>104</v>
      </c>
      <c r="BL632" t="s">
        <v>1215</v>
      </c>
      <c r="BM632" t="s">
        <v>12327</v>
      </c>
      <c r="BN632" t="s">
        <v>74</v>
      </c>
      <c r="BO632" t="s">
        <v>7299</v>
      </c>
      <c r="BP632" t="s">
        <v>74</v>
      </c>
      <c r="BQ632" t="s">
        <v>74</v>
      </c>
      <c r="BR632" t="s">
        <v>107</v>
      </c>
      <c r="BS632" t="s">
        <v>12328</v>
      </c>
      <c r="BT632" t="str">
        <f>HYPERLINK("https%3A%2F%2Fwww.webofscience.com%2Fwos%2Fwoscc%2Ffull-record%2FWOS:001006132500004","View Full Record in Web of Science")</f>
        <v>View Full Record in Web of Science</v>
      </c>
    </row>
    <row r="633" spans="1:72" x14ac:dyDescent="0.15">
      <c r="A633" t="s">
        <v>72</v>
      </c>
      <c r="B633" t="s">
        <v>12329</v>
      </c>
      <c r="C633" t="s">
        <v>74</v>
      </c>
      <c r="D633" t="s">
        <v>74</v>
      </c>
      <c r="E633" t="s">
        <v>74</v>
      </c>
      <c r="F633" t="s">
        <v>12330</v>
      </c>
      <c r="G633" t="s">
        <v>74</v>
      </c>
      <c r="H633" t="s">
        <v>74</v>
      </c>
      <c r="I633" t="s">
        <v>12331</v>
      </c>
      <c r="J633" t="s">
        <v>4863</v>
      </c>
      <c r="K633" t="s">
        <v>74</v>
      </c>
      <c r="L633" t="s">
        <v>74</v>
      </c>
      <c r="M633" t="s">
        <v>78</v>
      </c>
      <c r="N633" t="s">
        <v>79</v>
      </c>
      <c r="O633" t="s">
        <v>74</v>
      </c>
      <c r="P633" t="s">
        <v>74</v>
      </c>
      <c r="Q633" t="s">
        <v>74</v>
      </c>
      <c r="R633" t="s">
        <v>74</v>
      </c>
      <c r="S633" t="s">
        <v>74</v>
      </c>
      <c r="T633" t="s">
        <v>12332</v>
      </c>
      <c r="U633" t="s">
        <v>8639</v>
      </c>
      <c r="V633" t="s">
        <v>12333</v>
      </c>
      <c r="W633" t="s">
        <v>12334</v>
      </c>
      <c r="X633" t="s">
        <v>12335</v>
      </c>
      <c r="Y633" t="s">
        <v>12336</v>
      </c>
      <c r="Z633" t="s">
        <v>12337</v>
      </c>
      <c r="AA633" t="s">
        <v>74</v>
      </c>
      <c r="AB633" t="s">
        <v>12338</v>
      </c>
      <c r="AC633" t="s">
        <v>74</v>
      </c>
      <c r="AD633" t="s">
        <v>74</v>
      </c>
      <c r="AE633" t="s">
        <v>74</v>
      </c>
      <c r="AF633" t="s">
        <v>74</v>
      </c>
      <c r="AG633">
        <v>16</v>
      </c>
      <c r="AH633">
        <v>1</v>
      </c>
      <c r="AI633">
        <v>1</v>
      </c>
      <c r="AJ633">
        <v>0</v>
      </c>
      <c r="AK633">
        <v>0</v>
      </c>
      <c r="AL633" t="s">
        <v>4830</v>
      </c>
      <c r="AM633" t="s">
        <v>299</v>
      </c>
      <c r="AN633" t="s">
        <v>4831</v>
      </c>
      <c r="AO633" t="s">
        <v>4872</v>
      </c>
      <c r="AP633" t="s">
        <v>4873</v>
      </c>
      <c r="AQ633" t="s">
        <v>74</v>
      </c>
      <c r="AR633" t="s">
        <v>4874</v>
      </c>
      <c r="AS633" t="s">
        <v>4875</v>
      </c>
      <c r="AT633" t="s">
        <v>8990</v>
      </c>
      <c r="AU633">
        <v>2023</v>
      </c>
      <c r="AV633">
        <v>57</v>
      </c>
      <c r="AW633">
        <v>3</v>
      </c>
      <c r="AX633" t="s">
        <v>74</v>
      </c>
      <c r="AY633" t="s">
        <v>74</v>
      </c>
      <c r="AZ633" t="s">
        <v>74</v>
      </c>
      <c r="BA633" t="s">
        <v>74</v>
      </c>
      <c r="BB633">
        <v>346</v>
      </c>
      <c r="BC633">
        <v>358</v>
      </c>
      <c r="BD633" t="s">
        <v>74</v>
      </c>
      <c r="BE633" t="s">
        <v>12339</v>
      </c>
      <c r="BF633" t="str">
        <f>HYPERLINK("http://dx.doi.org/10.1134/S001685212303007X","http://dx.doi.org/10.1134/S001685212303007X")</f>
        <v>http://dx.doi.org/10.1134/S001685212303007X</v>
      </c>
      <c r="BG633" t="s">
        <v>74</v>
      </c>
      <c r="BH633" t="s">
        <v>10102</v>
      </c>
      <c r="BI633">
        <v>13</v>
      </c>
      <c r="BJ633" t="s">
        <v>597</v>
      </c>
      <c r="BK633" t="s">
        <v>104</v>
      </c>
      <c r="BL633" t="s">
        <v>597</v>
      </c>
      <c r="BM633" t="s">
        <v>12340</v>
      </c>
      <c r="BN633" t="s">
        <v>74</v>
      </c>
      <c r="BO633" t="s">
        <v>74</v>
      </c>
      <c r="BP633" t="s">
        <v>74</v>
      </c>
      <c r="BQ633" t="s">
        <v>74</v>
      </c>
      <c r="BR633" t="s">
        <v>107</v>
      </c>
      <c r="BS633" t="s">
        <v>12341</v>
      </c>
      <c r="BT633" t="str">
        <f>HYPERLINK("https%3A%2F%2Fwww.webofscience.com%2Fwos%2Fwoscc%2Ffull-record%2FWOS:001005812200001","View Full Record in Web of Science")</f>
        <v>View Full Record in Web of Science</v>
      </c>
    </row>
    <row r="634" spans="1:72" x14ac:dyDescent="0.15">
      <c r="A634" t="s">
        <v>72</v>
      </c>
      <c r="B634" t="s">
        <v>12342</v>
      </c>
      <c r="C634" t="s">
        <v>74</v>
      </c>
      <c r="D634" t="s">
        <v>74</v>
      </c>
      <c r="E634" t="s">
        <v>74</v>
      </c>
      <c r="F634" t="s">
        <v>12343</v>
      </c>
      <c r="G634" t="s">
        <v>74</v>
      </c>
      <c r="H634" t="s">
        <v>74</v>
      </c>
      <c r="I634" t="s">
        <v>12344</v>
      </c>
      <c r="J634" t="s">
        <v>983</v>
      </c>
      <c r="K634" t="s">
        <v>74</v>
      </c>
      <c r="L634" t="s">
        <v>74</v>
      </c>
      <c r="M634" t="s">
        <v>78</v>
      </c>
      <c r="N634" t="s">
        <v>79</v>
      </c>
      <c r="O634" t="s">
        <v>74</v>
      </c>
      <c r="P634" t="s">
        <v>74</v>
      </c>
      <c r="Q634" t="s">
        <v>74</v>
      </c>
      <c r="R634" t="s">
        <v>74</v>
      </c>
      <c r="S634" t="s">
        <v>74</v>
      </c>
      <c r="T634" t="s">
        <v>12345</v>
      </c>
      <c r="U634" t="s">
        <v>12346</v>
      </c>
      <c r="V634" t="s">
        <v>12347</v>
      </c>
      <c r="W634" t="s">
        <v>12348</v>
      </c>
      <c r="X634" t="s">
        <v>12349</v>
      </c>
      <c r="Y634" t="s">
        <v>12350</v>
      </c>
      <c r="Z634" t="s">
        <v>12351</v>
      </c>
      <c r="AA634" t="s">
        <v>74</v>
      </c>
      <c r="AB634" t="s">
        <v>12352</v>
      </c>
      <c r="AC634" t="s">
        <v>12353</v>
      </c>
      <c r="AD634" t="s">
        <v>12354</v>
      </c>
      <c r="AE634" t="s">
        <v>12355</v>
      </c>
      <c r="AF634" t="s">
        <v>74</v>
      </c>
      <c r="AG634">
        <v>90</v>
      </c>
      <c r="AH634">
        <v>3</v>
      </c>
      <c r="AI634">
        <v>3</v>
      </c>
      <c r="AJ634">
        <v>6</v>
      </c>
      <c r="AK634">
        <v>7</v>
      </c>
      <c r="AL634" t="s">
        <v>994</v>
      </c>
      <c r="AM634" t="s">
        <v>995</v>
      </c>
      <c r="AN634" t="s">
        <v>996</v>
      </c>
      <c r="AO634" t="s">
        <v>74</v>
      </c>
      <c r="AP634" t="s">
        <v>997</v>
      </c>
      <c r="AQ634" t="s">
        <v>74</v>
      </c>
      <c r="AR634" t="s">
        <v>998</v>
      </c>
      <c r="AS634" t="s">
        <v>999</v>
      </c>
      <c r="AT634" t="s">
        <v>12308</v>
      </c>
      <c r="AU634">
        <v>2023</v>
      </c>
      <c r="AV634">
        <v>10</v>
      </c>
      <c r="AW634" t="s">
        <v>74</v>
      </c>
      <c r="AX634" t="s">
        <v>74</v>
      </c>
      <c r="AY634" t="s">
        <v>74</v>
      </c>
      <c r="AZ634" t="s">
        <v>74</v>
      </c>
      <c r="BA634" t="s">
        <v>74</v>
      </c>
      <c r="BB634" t="s">
        <v>74</v>
      </c>
      <c r="BC634" t="s">
        <v>74</v>
      </c>
      <c r="BD634">
        <v>995982</v>
      </c>
      <c r="BE634" t="s">
        <v>12356</v>
      </c>
      <c r="BF634" t="str">
        <f>HYPERLINK("http://dx.doi.org/10.3389/fmars.2023.995982","http://dx.doi.org/10.3389/fmars.2023.995982")</f>
        <v>http://dx.doi.org/10.3389/fmars.2023.995982</v>
      </c>
      <c r="BG634" t="s">
        <v>74</v>
      </c>
      <c r="BH634" t="s">
        <v>74</v>
      </c>
      <c r="BI634">
        <v>13</v>
      </c>
      <c r="BJ634" t="s">
        <v>1001</v>
      </c>
      <c r="BK634" t="s">
        <v>104</v>
      </c>
      <c r="BL634" t="s">
        <v>1002</v>
      </c>
      <c r="BM634" t="s">
        <v>12357</v>
      </c>
      <c r="BN634" t="s">
        <v>74</v>
      </c>
      <c r="BO634" t="s">
        <v>181</v>
      </c>
      <c r="BP634" t="s">
        <v>74</v>
      </c>
      <c r="BQ634" t="s">
        <v>74</v>
      </c>
      <c r="BR634" t="s">
        <v>107</v>
      </c>
      <c r="BS634" t="s">
        <v>12358</v>
      </c>
      <c r="BT634" t="str">
        <f>HYPERLINK("https%3A%2F%2Fwww.webofscience.com%2Fwos%2Fwoscc%2Ffull-record%2FWOS:001016788200001","View Full Record in Web of Science")</f>
        <v>View Full Record in Web of Science</v>
      </c>
    </row>
    <row r="635" spans="1:72" x14ac:dyDescent="0.15">
      <c r="A635" t="s">
        <v>72</v>
      </c>
      <c r="B635" t="s">
        <v>12359</v>
      </c>
      <c r="C635" t="s">
        <v>74</v>
      </c>
      <c r="D635" t="s">
        <v>74</v>
      </c>
      <c r="E635" t="s">
        <v>74</v>
      </c>
      <c r="F635" t="s">
        <v>12360</v>
      </c>
      <c r="G635" t="s">
        <v>74</v>
      </c>
      <c r="H635" t="s">
        <v>74</v>
      </c>
      <c r="I635" t="s">
        <v>12361</v>
      </c>
      <c r="J635" t="s">
        <v>3334</v>
      </c>
      <c r="K635" t="s">
        <v>74</v>
      </c>
      <c r="L635" t="s">
        <v>74</v>
      </c>
      <c r="M635" t="s">
        <v>78</v>
      </c>
      <c r="N635" t="s">
        <v>79</v>
      </c>
      <c r="O635" t="s">
        <v>74</v>
      </c>
      <c r="P635" t="s">
        <v>74</v>
      </c>
      <c r="Q635" t="s">
        <v>74</v>
      </c>
      <c r="R635" t="s">
        <v>74</v>
      </c>
      <c r="S635" t="s">
        <v>74</v>
      </c>
      <c r="T635" t="s">
        <v>74</v>
      </c>
      <c r="U635" t="s">
        <v>12362</v>
      </c>
      <c r="V635" t="s">
        <v>12363</v>
      </c>
      <c r="W635" t="s">
        <v>12364</v>
      </c>
      <c r="X635" t="s">
        <v>12365</v>
      </c>
      <c r="Y635" t="s">
        <v>12366</v>
      </c>
      <c r="Z635" t="s">
        <v>12367</v>
      </c>
      <c r="AA635" t="s">
        <v>12368</v>
      </c>
      <c r="AB635" t="s">
        <v>12369</v>
      </c>
      <c r="AC635" t="s">
        <v>12370</v>
      </c>
      <c r="AD635" t="s">
        <v>12371</v>
      </c>
      <c r="AE635" t="s">
        <v>12372</v>
      </c>
      <c r="AF635" t="s">
        <v>74</v>
      </c>
      <c r="AG635">
        <v>71</v>
      </c>
      <c r="AH635">
        <v>0</v>
      </c>
      <c r="AI635">
        <v>0</v>
      </c>
      <c r="AJ635">
        <v>5</v>
      </c>
      <c r="AK635">
        <v>6</v>
      </c>
      <c r="AL635" t="s">
        <v>1775</v>
      </c>
      <c r="AM635" t="s">
        <v>1776</v>
      </c>
      <c r="AN635" t="s">
        <v>1777</v>
      </c>
      <c r="AO635" t="s">
        <v>3346</v>
      </c>
      <c r="AP635" t="s">
        <v>3347</v>
      </c>
      <c r="AQ635" t="s">
        <v>74</v>
      </c>
      <c r="AR635" t="s">
        <v>3348</v>
      </c>
      <c r="AS635" t="s">
        <v>3349</v>
      </c>
      <c r="AT635" t="s">
        <v>12308</v>
      </c>
      <c r="AU635">
        <v>2023</v>
      </c>
      <c r="AV635">
        <v>19</v>
      </c>
      <c r="AW635">
        <v>6</v>
      </c>
      <c r="AX635" t="s">
        <v>74</v>
      </c>
      <c r="AY635" t="s">
        <v>74</v>
      </c>
      <c r="AZ635" t="s">
        <v>74</v>
      </c>
      <c r="BA635" t="s">
        <v>74</v>
      </c>
      <c r="BB635">
        <v>1153</v>
      </c>
      <c r="BC635">
        <v>1175</v>
      </c>
      <c r="BD635" t="s">
        <v>74</v>
      </c>
      <c r="BE635" t="s">
        <v>12373</v>
      </c>
      <c r="BF635" t="str">
        <f>HYPERLINK("http://dx.doi.org/10.5194/cp-19-1153-2023","http://dx.doi.org/10.5194/cp-19-1153-2023")</f>
        <v>http://dx.doi.org/10.5194/cp-19-1153-2023</v>
      </c>
      <c r="BG635" t="s">
        <v>74</v>
      </c>
      <c r="BH635" t="s">
        <v>74</v>
      </c>
      <c r="BI635">
        <v>23</v>
      </c>
      <c r="BJ635" t="s">
        <v>3351</v>
      </c>
      <c r="BK635" t="s">
        <v>104</v>
      </c>
      <c r="BL635" t="s">
        <v>3352</v>
      </c>
      <c r="BM635" t="s">
        <v>12374</v>
      </c>
      <c r="BN635" t="s">
        <v>74</v>
      </c>
      <c r="BO635" t="s">
        <v>181</v>
      </c>
      <c r="BP635" t="s">
        <v>74</v>
      </c>
      <c r="BQ635" t="s">
        <v>74</v>
      </c>
      <c r="BR635" t="s">
        <v>107</v>
      </c>
      <c r="BS635" t="s">
        <v>12375</v>
      </c>
      <c r="BT635" t="str">
        <f>HYPERLINK("https%3A%2F%2Fwww.webofscience.com%2Fwos%2Fwoscc%2Ffull-record%2FWOS:001007627000001","View Full Record in Web of Science")</f>
        <v>View Full Record in Web of Science</v>
      </c>
    </row>
    <row r="636" spans="1:72" x14ac:dyDescent="0.15">
      <c r="A636" t="s">
        <v>72</v>
      </c>
      <c r="B636" t="s">
        <v>12376</v>
      </c>
      <c r="C636" t="s">
        <v>74</v>
      </c>
      <c r="D636" t="s">
        <v>74</v>
      </c>
      <c r="E636" t="s">
        <v>74</v>
      </c>
      <c r="F636" t="s">
        <v>12377</v>
      </c>
      <c r="G636" t="s">
        <v>74</v>
      </c>
      <c r="H636" t="s">
        <v>74</v>
      </c>
      <c r="I636" t="s">
        <v>12378</v>
      </c>
      <c r="J636" t="s">
        <v>4142</v>
      </c>
      <c r="K636" t="s">
        <v>74</v>
      </c>
      <c r="L636" t="s">
        <v>74</v>
      </c>
      <c r="M636" t="s">
        <v>12379</v>
      </c>
      <c r="N636" t="s">
        <v>79</v>
      </c>
      <c r="O636" t="s">
        <v>74</v>
      </c>
      <c r="P636" t="s">
        <v>74</v>
      </c>
      <c r="Q636" t="s">
        <v>74</v>
      </c>
      <c r="R636" t="s">
        <v>74</v>
      </c>
      <c r="S636" t="s">
        <v>74</v>
      </c>
      <c r="T636" t="s">
        <v>12380</v>
      </c>
      <c r="U636" t="s">
        <v>12381</v>
      </c>
      <c r="V636" t="s">
        <v>12382</v>
      </c>
      <c r="W636" t="s">
        <v>12383</v>
      </c>
      <c r="X636" t="s">
        <v>12384</v>
      </c>
      <c r="Y636" t="s">
        <v>12385</v>
      </c>
      <c r="Z636" t="s">
        <v>12386</v>
      </c>
      <c r="AA636" t="s">
        <v>12387</v>
      </c>
      <c r="AB636" t="s">
        <v>74</v>
      </c>
      <c r="AC636" t="s">
        <v>12388</v>
      </c>
      <c r="AD636" t="s">
        <v>12389</v>
      </c>
      <c r="AE636" t="s">
        <v>12390</v>
      </c>
      <c r="AF636" t="s">
        <v>74</v>
      </c>
      <c r="AG636">
        <v>51</v>
      </c>
      <c r="AH636">
        <v>0</v>
      </c>
      <c r="AI636">
        <v>0</v>
      </c>
      <c r="AJ636">
        <v>1</v>
      </c>
      <c r="AK636">
        <v>2</v>
      </c>
      <c r="AL636" t="s">
        <v>460</v>
      </c>
      <c r="AM636" t="s">
        <v>461</v>
      </c>
      <c r="AN636" t="s">
        <v>462</v>
      </c>
      <c r="AO636" t="s">
        <v>4155</v>
      </c>
      <c r="AP636" t="s">
        <v>4156</v>
      </c>
      <c r="AQ636" t="s">
        <v>74</v>
      </c>
      <c r="AR636" t="s">
        <v>4157</v>
      </c>
      <c r="AS636" t="s">
        <v>4158</v>
      </c>
      <c r="AT636" t="s">
        <v>1859</v>
      </c>
      <c r="AU636">
        <v>2024</v>
      </c>
      <c r="AV636">
        <v>49</v>
      </c>
      <c r="AW636">
        <v>1</v>
      </c>
      <c r="AX636" t="s">
        <v>74</v>
      </c>
      <c r="AY636" t="s">
        <v>74</v>
      </c>
      <c r="AZ636" t="s">
        <v>74</v>
      </c>
      <c r="BA636" t="s">
        <v>74</v>
      </c>
      <c r="BB636" t="s">
        <v>74</v>
      </c>
      <c r="BC636" t="s">
        <v>74</v>
      </c>
      <c r="BD636" t="s">
        <v>74</v>
      </c>
      <c r="BE636" t="s">
        <v>12391</v>
      </c>
      <c r="BF636" t="str">
        <f>HYPERLINK("http://dx.doi.org/10.1111/aec.13373","http://dx.doi.org/10.1111/aec.13373")</f>
        <v>http://dx.doi.org/10.1111/aec.13373</v>
      </c>
      <c r="BG636" t="s">
        <v>74</v>
      </c>
      <c r="BH636" t="s">
        <v>10102</v>
      </c>
      <c r="BI636">
        <v>12</v>
      </c>
      <c r="BJ636" t="s">
        <v>1534</v>
      </c>
      <c r="BK636" t="s">
        <v>104</v>
      </c>
      <c r="BL636" t="s">
        <v>1535</v>
      </c>
      <c r="BM636" t="s">
        <v>12392</v>
      </c>
      <c r="BN636" t="s">
        <v>74</v>
      </c>
      <c r="BO636" t="s">
        <v>74</v>
      </c>
      <c r="BP636" t="s">
        <v>74</v>
      </c>
      <c r="BQ636" t="s">
        <v>74</v>
      </c>
      <c r="BR636" t="s">
        <v>107</v>
      </c>
      <c r="BS636" t="s">
        <v>12393</v>
      </c>
      <c r="BT636" t="str">
        <f>HYPERLINK("https%3A%2F%2Fwww.webofscience.com%2Fwos%2Fwoscc%2Ffull-record%2FWOS:001010546500001","View Full Record in Web of Science")</f>
        <v>View Full Record in Web of Science</v>
      </c>
    </row>
    <row r="637" spans="1:72" x14ac:dyDescent="0.15">
      <c r="A637" t="s">
        <v>72</v>
      </c>
      <c r="B637" t="s">
        <v>12394</v>
      </c>
      <c r="C637" t="s">
        <v>74</v>
      </c>
      <c r="D637" t="s">
        <v>74</v>
      </c>
      <c r="E637" t="s">
        <v>74</v>
      </c>
      <c r="F637" t="s">
        <v>12395</v>
      </c>
      <c r="G637" t="s">
        <v>74</v>
      </c>
      <c r="H637" t="s">
        <v>74</v>
      </c>
      <c r="I637" t="s">
        <v>12396</v>
      </c>
      <c r="J637" t="s">
        <v>12397</v>
      </c>
      <c r="K637" t="s">
        <v>74</v>
      </c>
      <c r="L637" t="s">
        <v>74</v>
      </c>
      <c r="M637" t="s">
        <v>78</v>
      </c>
      <c r="N637" t="s">
        <v>79</v>
      </c>
      <c r="O637" t="s">
        <v>74</v>
      </c>
      <c r="P637" t="s">
        <v>74</v>
      </c>
      <c r="Q637" t="s">
        <v>74</v>
      </c>
      <c r="R637" t="s">
        <v>74</v>
      </c>
      <c r="S637" t="s">
        <v>74</v>
      </c>
      <c r="T637" t="s">
        <v>12398</v>
      </c>
      <c r="U637" t="s">
        <v>12399</v>
      </c>
      <c r="V637" t="s">
        <v>12400</v>
      </c>
      <c r="W637" t="s">
        <v>12401</v>
      </c>
      <c r="X637" t="s">
        <v>1718</v>
      </c>
      <c r="Y637" t="s">
        <v>12402</v>
      </c>
      <c r="Z637" t="s">
        <v>12403</v>
      </c>
      <c r="AA637" t="s">
        <v>74</v>
      </c>
      <c r="AB637" t="s">
        <v>74</v>
      </c>
      <c r="AC637" t="s">
        <v>12404</v>
      </c>
      <c r="AD637" t="s">
        <v>12405</v>
      </c>
      <c r="AE637" t="s">
        <v>12406</v>
      </c>
      <c r="AF637" t="s">
        <v>74</v>
      </c>
      <c r="AG637">
        <v>26</v>
      </c>
      <c r="AH637">
        <v>0</v>
      </c>
      <c r="AI637">
        <v>0</v>
      </c>
      <c r="AJ637">
        <v>0</v>
      </c>
      <c r="AK637">
        <v>5</v>
      </c>
      <c r="AL637" t="s">
        <v>12407</v>
      </c>
      <c r="AM637" t="s">
        <v>1528</v>
      </c>
      <c r="AN637" t="s">
        <v>12408</v>
      </c>
      <c r="AO637" t="s">
        <v>12409</v>
      </c>
      <c r="AP637" t="s">
        <v>12410</v>
      </c>
      <c r="AQ637" t="s">
        <v>74</v>
      </c>
      <c r="AR637" t="s">
        <v>12411</v>
      </c>
      <c r="AS637" t="s">
        <v>12412</v>
      </c>
      <c r="AT637" t="s">
        <v>3612</v>
      </c>
      <c r="AU637">
        <v>2023</v>
      </c>
      <c r="AV637">
        <v>38</v>
      </c>
      <c r="AW637">
        <v>4</v>
      </c>
      <c r="AX637" t="s">
        <v>74</v>
      </c>
      <c r="AY637" t="s">
        <v>74</v>
      </c>
      <c r="AZ637" t="s">
        <v>74</v>
      </c>
      <c r="BA637" t="s">
        <v>74</v>
      </c>
      <c r="BB637">
        <v>287</v>
      </c>
      <c r="BC637">
        <v>297</v>
      </c>
      <c r="BD637" t="s">
        <v>74</v>
      </c>
      <c r="BE637" t="s">
        <v>12413</v>
      </c>
      <c r="BF637" t="str">
        <f>HYPERLINK("http://dx.doi.org/10.1177/08839115231180020","http://dx.doi.org/10.1177/08839115231180020")</f>
        <v>http://dx.doi.org/10.1177/08839115231180020</v>
      </c>
      <c r="BG637" t="s">
        <v>74</v>
      </c>
      <c r="BH637" t="s">
        <v>10102</v>
      </c>
      <c r="BI637">
        <v>11</v>
      </c>
      <c r="BJ637" t="s">
        <v>12414</v>
      </c>
      <c r="BK637" t="s">
        <v>104</v>
      </c>
      <c r="BL637" t="s">
        <v>12415</v>
      </c>
      <c r="BM637" t="s">
        <v>12416</v>
      </c>
      <c r="BN637" t="s">
        <v>74</v>
      </c>
      <c r="BO637" t="s">
        <v>74</v>
      </c>
      <c r="BP637" t="s">
        <v>74</v>
      </c>
      <c r="BQ637" t="s">
        <v>74</v>
      </c>
      <c r="BR637" t="s">
        <v>107</v>
      </c>
      <c r="BS637" t="s">
        <v>12417</v>
      </c>
      <c r="BT637" t="str">
        <f>HYPERLINK("https%3A%2F%2Fwww.webofscience.com%2Fwos%2Fwoscc%2Ffull-record%2FWOS:001005338800001","View Full Record in Web of Science")</f>
        <v>View Full Record in Web of Science</v>
      </c>
    </row>
    <row r="638" spans="1:72" x14ac:dyDescent="0.15">
      <c r="A638" t="s">
        <v>72</v>
      </c>
      <c r="B638" t="s">
        <v>12418</v>
      </c>
      <c r="C638" t="s">
        <v>74</v>
      </c>
      <c r="D638" t="s">
        <v>74</v>
      </c>
      <c r="E638" t="s">
        <v>74</v>
      </c>
      <c r="F638" t="s">
        <v>12419</v>
      </c>
      <c r="G638" t="s">
        <v>74</v>
      </c>
      <c r="H638" t="s">
        <v>74</v>
      </c>
      <c r="I638" t="s">
        <v>12420</v>
      </c>
      <c r="J638" t="s">
        <v>12421</v>
      </c>
      <c r="K638" t="s">
        <v>74</v>
      </c>
      <c r="L638" t="s">
        <v>74</v>
      </c>
      <c r="M638" t="s">
        <v>78</v>
      </c>
      <c r="N638" t="s">
        <v>79</v>
      </c>
      <c r="O638" t="s">
        <v>74</v>
      </c>
      <c r="P638" t="s">
        <v>74</v>
      </c>
      <c r="Q638" t="s">
        <v>74</v>
      </c>
      <c r="R638" t="s">
        <v>74</v>
      </c>
      <c r="S638" t="s">
        <v>74</v>
      </c>
      <c r="T638" t="s">
        <v>12422</v>
      </c>
      <c r="U638" t="s">
        <v>12423</v>
      </c>
      <c r="V638" t="s">
        <v>12424</v>
      </c>
      <c r="W638" t="s">
        <v>12425</v>
      </c>
      <c r="X638" t="s">
        <v>12426</v>
      </c>
      <c r="Y638" t="s">
        <v>12427</v>
      </c>
      <c r="Z638" t="s">
        <v>12428</v>
      </c>
      <c r="AA638" t="s">
        <v>74</v>
      </c>
      <c r="AB638" t="s">
        <v>12429</v>
      </c>
      <c r="AC638" t="s">
        <v>74</v>
      </c>
      <c r="AD638" t="s">
        <v>74</v>
      </c>
      <c r="AE638" t="s">
        <v>74</v>
      </c>
      <c r="AF638" t="s">
        <v>74</v>
      </c>
      <c r="AG638">
        <v>46</v>
      </c>
      <c r="AH638">
        <v>1</v>
      </c>
      <c r="AI638">
        <v>1</v>
      </c>
      <c r="AJ638">
        <v>0</v>
      </c>
      <c r="AK638">
        <v>3</v>
      </c>
      <c r="AL638" t="s">
        <v>1803</v>
      </c>
      <c r="AM638" t="s">
        <v>1804</v>
      </c>
      <c r="AN638" t="s">
        <v>1805</v>
      </c>
      <c r="AO638" t="s">
        <v>12430</v>
      </c>
      <c r="AP638" t="s">
        <v>12431</v>
      </c>
      <c r="AQ638" t="s">
        <v>74</v>
      </c>
      <c r="AR638" t="s">
        <v>12432</v>
      </c>
      <c r="AS638" t="s">
        <v>12433</v>
      </c>
      <c r="AT638" t="s">
        <v>12308</v>
      </c>
      <c r="AU638">
        <v>2023</v>
      </c>
      <c r="AV638">
        <v>97</v>
      </c>
      <c r="AW638" t="s">
        <v>74</v>
      </c>
      <c r="AX638" t="s">
        <v>74</v>
      </c>
      <c r="AY638" t="s">
        <v>74</v>
      </c>
      <c r="AZ638" t="s">
        <v>74</v>
      </c>
      <c r="BA638" t="s">
        <v>74</v>
      </c>
      <c r="BB638" t="s">
        <v>74</v>
      </c>
      <c r="BC638" t="s">
        <v>74</v>
      </c>
      <c r="BD638" t="s">
        <v>12434</v>
      </c>
      <c r="BE638" t="s">
        <v>12435</v>
      </c>
      <c r="BF638" t="str">
        <f>HYPERLINK("http://dx.doi.org/10.1017/S0022149X23000238","http://dx.doi.org/10.1017/S0022149X23000238")</f>
        <v>http://dx.doi.org/10.1017/S0022149X23000238</v>
      </c>
      <c r="BG638" t="s">
        <v>74</v>
      </c>
      <c r="BH638" t="s">
        <v>74</v>
      </c>
      <c r="BI638">
        <v>10</v>
      </c>
      <c r="BJ638" t="s">
        <v>12436</v>
      </c>
      <c r="BK638" t="s">
        <v>104</v>
      </c>
      <c r="BL638" t="s">
        <v>12436</v>
      </c>
      <c r="BM638" t="s">
        <v>12437</v>
      </c>
      <c r="BN638">
        <v>37309645</v>
      </c>
      <c r="BO638" t="s">
        <v>74</v>
      </c>
      <c r="BP638" t="s">
        <v>74</v>
      </c>
      <c r="BQ638" t="s">
        <v>74</v>
      </c>
      <c r="BR638" t="s">
        <v>107</v>
      </c>
      <c r="BS638" t="s">
        <v>12438</v>
      </c>
      <c r="BT638" t="str">
        <f>HYPERLINK("https%3A%2F%2Fwww.webofscience.com%2Fwos%2Fwoscc%2Ffull-record%2FWOS:001004992100001","View Full Record in Web of Science")</f>
        <v>View Full Record in Web of Science</v>
      </c>
    </row>
    <row r="639" spans="1:72" x14ac:dyDescent="0.15">
      <c r="A639" t="s">
        <v>72</v>
      </c>
      <c r="B639" t="s">
        <v>12439</v>
      </c>
      <c r="C639" t="s">
        <v>74</v>
      </c>
      <c r="D639" t="s">
        <v>74</v>
      </c>
      <c r="E639" t="s">
        <v>74</v>
      </c>
      <c r="F639" t="s">
        <v>12440</v>
      </c>
      <c r="G639" t="s">
        <v>74</v>
      </c>
      <c r="H639" t="s">
        <v>74</v>
      </c>
      <c r="I639" t="s">
        <v>12441</v>
      </c>
      <c r="J639" t="s">
        <v>2193</v>
      </c>
      <c r="K639" t="s">
        <v>74</v>
      </c>
      <c r="L639" t="s">
        <v>74</v>
      </c>
      <c r="M639" t="s">
        <v>78</v>
      </c>
      <c r="N639" t="s">
        <v>79</v>
      </c>
      <c r="O639" t="s">
        <v>74</v>
      </c>
      <c r="P639" t="s">
        <v>74</v>
      </c>
      <c r="Q639" t="s">
        <v>74</v>
      </c>
      <c r="R639" t="s">
        <v>74</v>
      </c>
      <c r="S639" t="s">
        <v>74</v>
      </c>
      <c r="T639" t="s">
        <v>74</v>
      </c>
      <c r="U639" t="s">
        <v>12442</v>
      </c>
      <c r="V639" t="s">
        <v>12443</v>
      </c>
      <c r="W639" t="s">
        <v>12444</v>
      </c>
      <c r="X639" t="s">
        <v>4984</v>
      </c>
      <c r="Y639" t="s">
        <v>12445</v>
      </c>
      <c r="Z639" t="s">
        <v>12446</v>
      </c>
      <c r="AA639" t="s">
        <v>4987</v>
      </c>
      <c r="AB639" t="s">
        <v>9255</v>
      </c>
      <c r="AC639" t="s">
        <v>4988</v>
      </c>
      <c r="AD639" t="s">
        <v>4989</v>
      </c>
      <c r="AE639" t="s">
        <v>12447</v>
      </c>
      <c r="AF639" t="s">
        <v>74</v>
      </c>
      <c r="AG639">
        <v>68</v>
      </c>
      <c r="AH639">
        <v>0</v>
      </c>
      <c r="AI639">
        <v>0</v>
      </c>
      <c r="AJ639">
        <v>1</v>
      </c>
      <c r="AK639">
        <v>5</v>
      </c>
      <c r="AL639" t="s">
        <v>146</v>
      </c>
      <c r="AM639" t="s">
        <v>147</v>
      </c>
      <c r="AN639" t="s">
        <v>148</v>
      </c>
      <c r="AO639" t="s">
        <v>2204</v>
      </c>
      <c r="AP639" t="s">
        <v>74</v>
      </c>
      <c r="AQ639" t="s">
        <v>74</v>
      </c>
      <c r="AR639" t="s">
        <v>2205</v>
      </c>
      <c r="AS639" t="s">
        <v>2206</v>
      </c>
      <c r="AT639" t="s">
        <v>12448</v>
      </c>
      <c r="AU639">
        <v>2023</v>
      </c>
      <c r="AV639">
        <v>13</v>
      </c>
      <c r="AW639">
        <v>1</v>
      </c>
      <c r="AX639" t="s">
        <v>74</v>
      </c>
      <c r="AY639" t="s">
        <v>74</v>
      </c>
      <c r="AZ639" t="s">
        <v>74</v>
      </c>
      <c r="BA639" t="s">
        <v>74</v>
      </c>
      <c r="BB639" t="s">
        <v>74</v>
      </c>
      <c r="BC639" t="s">
        <v>74</v>
      </c>
      <c r="BD639" t="s">
        <v>74</v>
      </c>
      <c r="BE639" t="s">
        <v>12449</v>
      </c>
      <c r="BF639" t="str">
        <f>HYPERLINK("http://dx.doi.org/10.1038/s41598-023-35521-w","http://dx.doi.org/10.1038/s41598-023-35521-w")</f>
        <v>http://dx.doi.org/10.1038/s41598-023-35521-w</v>
      </c>
      <c r="BG639" t="s">
        <v>74</v>
      </c>
      <c r="BH639" t="s">
        <v>74</v>
      </c>
      <c r="BI639">
        <v>11</v>
      </c>
      <c r="BJ639" t="s">
        <v>1881</v>
      </c>
      <c r="BK639" t="s">
        <v>104</v>
      </c>
      <c r="BL639" t="s">
        <v>1882</v>
      </c>
      <c r="BM639" t="s">
        <v>12450</v>
      </c>
      <c r="BN639">
        <v>37308500</v>
      </c>
      <c r="BO639" t="s">
        <v>821</v>
      </c>
      <c r="BP639" t="s">
        <v>74</v>
      </c>
      <c r="BQ639" t="s">
        <v>74</v>
      </c>
      <c r="BR639" t="s">
        <v>107</v>
      </c>
      <c r="BS639" t="s">
        <v>12451</v>
      </c>
      <c r="BT639" t="str">
        <f>HYPERLINK("https%3A%2F%2Fwww.webofscience.com%2Fwos%2Fwoscc%2Ffull-record%2FWOS:001007856900054","View Full Record in Web of Science")</f>
        <v>View Full Record in Web of Science</v>
      </c>
    </row>
    <row r="640" spans="1:72" x14ac:dyDescent="0.15">
      <c r="A640" t="s">
        <v>72</v>
      </c>
      <c r="B640" t="s">
        <v>12452</v>
      </c>
      <c r="C640" t="s">
        <v>74</v>
      </c>
      <c r="D640" t="s">
        <v>74</v>
      </c>
      <c r="E640" t="s">
        <v>74</v>
      </c>
      <c r="F640" t="s">
        <v>12453</v>
      </c>
      <c r="G640" t="s">
        <v>74</v>
      </c>
      <c r="H640" t="s">
        <v>74</v>
      </c>
      <c r="I640" t="s">
        <v>12454</v>
      </c>
      <c r="J640" t="s">
        <v>12455</v>
      </c>
      <c r="K640" t="s">
        <v>74</v>
      </c>
      <c r="L640" t="s">
        <v>74</v>
      </c>
      <c r="M640" t="s">
        <v>78</v>
      </c>
      <c r="N640" t="s">
        <v>79</v>
      </c>
      <c r="O640" t="s">
        <v>74</v>
      </c>
      <c r="P640" t="s">
        <v>74</v>
      </c>
      <c r="Q640" t="s">
        <v>74</v>
      </c>
      <c r="R640" t="s">
        <v>74</v>
      </c>
      <c r="S640" t="s">
        <v>74</v>
      </c>
      <c r="T640" t="s">
        <v>12456</v>
      </c>
      <c r="U640" t="s">
        <v>12457</v>
      </c>
      <c r="V640" t="s">
        <v>12458</v>
      </c>
      <c r="W640" t="s">
        <v>12459</v>
      </c>
      <c r="X640" t="s">
        <v>12460</v>
      </c>
      <c r="Y640" t="s">
        <v>12461</v>
      </c>
      <c r="Z640" t="s">
        <v>12462</v>
      </c>
      <c r="AA640" t="s">
        <v>12463</v>
      </c>
      <c r="AB640" t="s">
        <v>74</v>
      </c>
      <c r="AC640" t="s">
        <v>12464</v>
      </c>
      <c r="AD640" t="s">
        <v>367</v>
      </c>
      <c r="AE640" t="s">
        <v>12465</v>
      </c>
      <c r="AF640" t="s">
        <v>74</v>
      </c>
      <c r="AG640">
        <v>44</v>
      </c>
      <c r="AH640">
        <v>1</v>
      </c>
      <c r="AI640">
        <v>1</v>
      </c>
      <c r="AJ640">
        <v>10</v>
      </c>
      <c r="AK640">
        <v>15</v>
      </c>
      <c r="AL640" t="s">
        <v>3672</v>
      </c>
      <c r="AM640" t="s">
        <v>538</v>
      </c>
      <c r="AN640" t="s">
        <v>3673</v>
      </c>
      <c r="AO640" t="s">
        <v>12466</v>
      </c>
      <c r="AP640" t="s">
        <v>12467</v>
      </c>
      <c r="AQ640" t="s">
        <v>74</v>
      </c>
      <c r="AR640" t="s">
        <v>12468</v>
      </c>
      <c r="AS640" t="s">
        <v>12469</v>
      </c>
      <c r="AT640" t="s">
        <v>5725</v>
      </c>
      <c r="AU640">
        <v>2023</v>
      </c>
      <c r="AV640">
        <v>242</v>
      </c>
      <c r="AW640" t="s">
        <v>74</v>
      </c>
      <c r="AX640" t="s">
        <v>74</v>
      </c>
      <c r="AY640" t="s">
        <v>74</v>
      </c>
      <c r="AZ640" t="s">
        <v>74</v>
      </c>
      <c r="BA640" t="s">
        <v>74</v>
      </c>
      <c r="BB640" t="s">
        <v>74</v>
      </c>
      <c r="BC640" t="s">
        <v>74</v>
      </c>
      <c r="BD640">
        <v>106690</v>
      </c>
      <c r="BE640" t="s">
        <v>12470</v>
      </c>
      <c r="BF640" t="str">
        <f>HYPERLINK("http://dx.doi.org/10.1016/j.ocecoaman.2023.106690","http://dx.doi.org/10.1016/j.ocecoaman.2023.106690")</f>
        <v>http://dx.doi.org/10.1016/j.ocecoaman.2023.106690</v>
      </c>
      <c r="BG640" t="s">
        <v>74</v>
      </c>
      <c r="BH640" t="s">
        <v>10102</v>
      </c>
      <c r="BI640">
        <v>13</v>
      </c>
      <c r="BJ640" t="s">
        <v>12471</v>
      </c>
      <c r="BK640" t="s">
        <v>104</v>
      </c>
      <c r="BL640" t="s">
        <v>12471</v>
      </c>
      <c r="BM640" t="s">
        <v>12472</v>
      </c>
      <c r="BN640" t="s">
        <v>74</v>
      </c>
      <c r="BO640" t="s">
        <v>74</v>
      </c>
      <c r="BP640" t="s">
        <v>74</v>
      </c>
      <c r="BQ640" t="s">
        <v>74</v>
      </c>
      <c r="BR640" t="s">
        <v>107</v>
      </c>
      <c r="BS640" t="s">
        <v>12473</v>
      </c>
      <c r="BT640" t="str">
        <f>HYPERLINK("https%3A%2F%2Fwww.webofscience.com%2Fwos%2Fwoscc%2Ffull-record%2FWOS:001026045900001","View Full Record in Web of Science")</f>
        <v>View Full Record in Web of Science</v>
      </c>
    </row>
    <row r="641" spans="1:72" x14ac:dyDescent="0.15">
      <c r="A641" t="s">
        <v>72</v>
      </c>
      <c r="B641" t="s">
        <v>12474</v>
      </c>
      <c r="C641" t="s">
        <v>74</v>
      </c>
      <c r="D641" t="s">
        <v>74</v>
      </c>
      <c r="E641" t="s">
        <v>74</v>
      </c>
      <c r="F641" t="s">
        <v>12475</v>
      </c>
      <c r="G641" t="s">
        <v>74</v>
      </c>
      <c r="H641" t="s">
        <v>74</v>
      </c>
      <c r="I641" t="s">
        <v>12476</v>
      </c>
      <c r="J641" t="s">
        <v>2353</v>
      </c>
      <c r="K641" t="s">
        <v>74</v>
      </c>
      <c r="L641" t="s">
        <v>74</v>
      </c>
      <c r="M641" t="s">
        <v>78</v>
      </c>
      <c r="N641" t="s">
        <v>79</v>
      </c>
      <c r="O641" t="s">
        <v>74</v>
      </c>
      <c r="P641" t="s">
        <v>74</v>
      </c>
      <c r="Q641" t="s">
        <v>74</v>
      </c>
      <c r="R641" t="s">
        <v>74</v>
      </c>
      <c r="S641" t="s">
        <v>74</v>
      </c>
      <c r="T641" t="s">
        <v>74</v>
      </c>
      <c r="U641" t="s">
        <v>12477</v>
      </c>
      <c r="V641" t="s">
        <v>12478</v>
      </c>
      <c r="W641" t="s">
        <v>12479</v>
      </c>
      <c r="X641" t="s">
        <v>12480</v>
      </c>
      <c r="Y641" t="s">
        <v>12481</v>
      </c>
      <c r="Z641" t="s">
        <v>12482</v>
      </c>
      <c r="AA641" t="s">
        <v>12483</v>
      </c>
      <c r="AB641" t="s">
        <v>12484</v>
      </c>
      <c r="AC641" t="s">
        <v>12485</v>
      </c>
      <c r="AD641" t="s">
        <v>12486</v>
      </c>
      <c r="AE641" t="s">
        <v>12487</v>
      </c>
      <c r="AF641" t="s">
        <v>74</v>
      </c>
      <c r="AG641">
        <v>66</v>
      </c>
      <c r="AH641">
        <v>14</v>
      </c>
      <c r="AI641">
        <v>14</v>
      </c>
      <c r="AJ641">
        <v>1</v>
      </c>
      <c r="AK641">
        <v>7</v>
      </c>
      <c r="AL641" t="s">
        <v>146</v>
      </c>
      <c r="AM641" t="s">
        <v>147</v>
      </c>
      <c r="AN641" t="s">
        <v>148</v>
      </c>
      <c r="AO641" t="s">
        <v>2365</v>
      </c>
      <c r="AP641" t="s">
        <v>2366</v>
      </c>
      <c r="AQ641" t="s">
        <v>74</v>
      </c>
      <c r="AR641" t="s">
        <v>2367</v>
      </c>
      <c r="AS641" t="s">
        <v>2368</v>
      </c>
      <c r="AT641" t="s">
        <v>3612</v>
      </c>
      <c r="AU641">
        <v>2023</v>
      </c>
      <c r="AV641">
        <v>13</v>
      </c>
      <c r="AW641">
        <v>7</v>
      </c>
      <c r="AX641" t="s">
        <v>74</v>
      </c>
      <c r="AY641" t="s">
        <v>74</v>
      </c>
      <c r="AZ641" t="s">
        <v>74</v>
      </c>
      <c r="BA641" t="s">
        <v>74</v>
      </c>
      <c r="BB641">
        <v>701</v>
      </c>
      <c r="BC641" t="s">
        <v>153</v>
      </c>
      <c r="BD641" t="s">
        <v>74</v>
      </c>
      <c r="BE641" t="s">
        <v>12488</v>
      </c>
      <c r="BF641" t="str">
        <f>HYPERLINK("http://dx.doi.org/10.1038/s41558-023-01695-4","http://dx.doi.org/10.1038/s41558-023-01695-4")</f>
        <v>http://dx.doi.org/10.1038/s41558-023-01695-4</v>
      </c>
      <c r="BG641" t="s">
        <v>74</v>
      </c>
      <c r="BH641" t="s">
        <v>10102</v>
      </c>
      <c r="BI641">
        <v>21</v>
      </c>
      <c r="BJ641" t="s">
        <v>2371</v>
      </c>
      <c r="BK641" t="s">
        <v>881</v>
      </c>
      <c r="BL641" t="s">
        <v>2372</v>
      </c>
      <c r="BM641" t="s">
        <v>11726</v>
      </c>
      <c r="BN641" t="s">
        <v>74</v>
      </c>
      <c r="BO641" t="s">
        <v>599</v>
      </c>
      <c r="BP641" t="s">
        <v>74</v>
      </c>
      <c r="BQ641" t="s">
        <v>74</v>
      </c>
      <c r="BR641" t="s">
        <v>107</v>
      </c>
      <c r="BS641" t="s">
        <v>12489</v>
      </c>
      <c r="BT641" t="str">
        <f>HYPERLINK("https%3A%2F%2Fwww.webofscience.com%2Fwos%2Fwoscc%2Ffull-record%2FWOS:001004931500003","View Full Record in Web of Science")</f>
        <v>View Full Record in Web of Science</v>
      </c>
    </row>
    <row r="642" spans="1:72" x14ac:dyDescent="0.15">
      <c r="A642" t="s">
        <v>72</v>
      </c>
      <c r="B642" t="s">
        <v>12490</v>
      </c>
      <c r="C642" t="s">
        <v>74</v>
      </c>
      <c r="D642" t="s">
        <v>74</v>
      </c>
      <c r="E642" t="s">
        <v>74</v>
      </c>
      <c r="F642" t="s">
        <v>12491</v>
      </c>
      <c r="G642" t="s">
        <v>74</v>
      </c>
      <c r="H642" t="s">
        <v>74</v>
      </c>
      <c r="I642" t="s">
        <v>12492</v>
      </c>
      <c r="J642" t="s">
        <v>1763</v>
      </c>
      <c r="K642" t="s">
        <v>74</v>
      </c>
      <c r="L642" t="s">
        <v>74</v>
      </c>
      <c r="M642" t="s">
        <v>78</v>
      </c>
      <c r="N642" t="s">
        <v>79</v>
      </c>
      <c r="O642" t="s">
        <v>74</v>
      </c>
      <c r="P642" t="s">
        <v>74</v>
      </c>
      <c r="Q642" t="s">
        <v>74</v>
      </c>
      <c r="R642" t="s">
        <v>74</v>
      </c>
      <c r="S642" t="s">
        <v>74</v>
      </c>
      <c r="T642" t="s">
        <v>74</v>
      </c>
      <c r="U642" t="s">
        <v>12493</v>
      </c>
      <c r="V642" t="s">
        <v>12494</v>
      </c>
      <c r="W642" t="s">
        <v>12495</v>
      </c>
      <c r="X642" t="s">
        <v>12496</v>
      </c>
      <c r="Y642" t="s">
        <v>12497</v>
      </c>
      <c r="Z642" t="s">
        <v>12498</v>
      </c>
      <c r="AA642" t="s">
        <v>12499</v>
      </c>
      <c r="AB642" t="s">
        <v>12500</v>
      </c>
      <c r="AC642" t="s">
        <v>12501</v>
      </c>
      <c r="AD642" t="s">
        <v>12502</v>
      </c>
      <c r="AE642" t="s">
        <v>12503</v>
      </c>
      <c r="AF642" t="s">
        <v>74</v>
      </c>
      <c r="AG642">
        <v>116</v>
      </c>
      <c r="AH642">
        <v>2</v>
      </c>
      <c r="AI642">
        <v>2</v>
      </c>
      <c r="AJ642">
        <v>1</v>
      </c>
      <c r="AK642">
        <v>3</v>
      </c>
      <c r="AL642" t="s">
        <v>1775</v>
      </c>
      <c r="AM642" t="s">
        <v>1776</v>
      </c>
      <c r="AN642" t="s">
        <v>1777</v>
      </c>
      <c r="AO642" t="s">
        <v>1778</v>
      </c>
      <c r="AP642" t="s">
        <v>1779</v>
      </c>
      <c r="AQ642" t="s">
        <v>74</v>
      </c>
      <c r="AR642" t="s">
        <v>1763</v>
      </c>
      <c r="AS642" t="s">
        <v>1780</v>
      </c>
      <c r="AT642" t="s">
        <v>12448</v>
      </c>
      <c r="AU642">
        <v>2023</v>
      </c>
      <c r="AV642">
        <v>17</v>
      </c>
      <c r="AW642">
        <v>6</v>
      </c>
      <c r="AX642" t="s">
        <v>74</v>
      </c>
      <c r="AY642" t="s">
        <v>74</v>
      </c>
      <c r="AZ642" t="s">
        <v>74</v>
      </c>
      <c r="BA642" t="s">
        <v>74</v>
      </c>
      <c r="BB642">
        <v>2343</v>
      </c>
      <c r="BC642">
        <v>2365</v>
      </c>
      <c r="BD642" t="s">
        <v>74</v>
      </c>
      <c r="BE642" t="s">
        <v>12504</v>
      </c>
      <c r="BF642" t="str">
        <f>HYPERLINK("http://dx.doi.org/10.5194/tc-17-2343-2023","http://dx.doi.org/10.5194/tc-17-2343-2023")</f>
        <v>http://dx.doi.org/10.5194/tc-17-2343-2023</v>
      </c>
      <c r="BG642" t="s">
        <v>74</v>
      </c>
      <c r="BH642" t="s">
        <v>74</v>
      </c>
      <c r="BI642">
        <v>23</v>
      </c>
      <c r="BJ642" t="s">
        <v>1783</v>
      </c>
      <c r="BK642" t="s">
        <v>104</v>
      </c>
      <c r="BL642" t="s">
        <v>1784</v>
      </c>
      <c r="BM642" t="s">
        <v>12505</v>
      </c>
      <c r="BN642" t="s">
        <v>74</v>
      </c>
      <c r="BO642" t="s">
        <v>206</v>
      </c>
      <c r="BP642" t="s">
        <v>74</v>
      </c>
      <c r="BQ642" t="s">
        <v>74</v>
      </c>
      <c r="BR642" t="s">
        <v>107</v>
      </c>
      <c r="BS642" t="s">
        <v>12506</v>
      </c>
      <c r="BT642" t="str">
        <f>HYPERLINK("https%3A%2F%2Fwww.webofscience.com%2Fwos%2Fwoscc%2Ffull-record%2FWOS:001006698700001","View Full Record in Web of Science")</f>
        <v>View Full Record in Web of Science</v>
      </c>
    </row>
    <row r="643" spans="1:72" x14ac:dyDescent="0.15">
      <c r="A643" t="s">
        <v>72</v>
      </c>
      <c r="B643" t="s">
        <v>12507</v>
      </c>
      <c r="C643" t="s">
        <v>74</v>
      </c>
      <c r="D643" t="s">
        <v>74</v>
      </c>
      <c r="E643" t="s">
        <v>74</v>
      </c>
      <c r="F643" t="s">
        <v>12508</v>
      </c>
      <c r="G643" t="s">
        <v>74</v>
      </c>
      <c r="H643" t="s">
        <v>74</v>
      </c>
      <c r="I643" t="s">
        <v>12509</v>
      </c>
      <c r="J643" t="s">
        <v>12510</v>
      </c>
      <c r="K643" t="s">
        <v>74</v>
      </c>
      <c r="L643" t="s">
        <v>74</v>
      </c>
      <c r="M643" t="s">
        <v>78</v>
      </c>
      <c r="N643" t="s">
        <v>79</v>
      </c>
      <c r="O643" t="s">
        <v>74</v>
      </c>
      <c r="P643" t="s">
        <v>74</v>
      </c>
      <c r="Q643" t="s">
        <v>74</v>
      </c>
      <c r="R643" t="s">
        <v>74</v>
      </c>
      <c r="S643" t="s">
        <v>74</v>
      </c>
      <c r="T643" t="s">
        <v>12511</v>
      </c>
      <c r="U643" t="s">
        <v>12512</v>
      </c>
      <c r="V643" t="s">
        <v>12513</v>
      </c>
      <c r="W643" t="s">
        <v>12514</v>
      </c>
      <c r="X643" t="s">
        <v>12515</v>
      </c>
      <c r="Y643" t="s">
        <v>12516</v>
      </c>
      <c r="Z643" t="s">
        <v>12517</v>
      </c>
      <c r="AA643" t="s">
        <v>74</v>
      </c>
      <c r="AB643" t="s">
        <v>74</v>
      </c>
      <c r="AC643" t="s">
        <v>12518</v>
      </c>
      <c r="AD643" t="s">
        <v>12519</v>
      </c>
      <c r="AE643" t="s">
        <v>12520</v>
      </c>
      <c r="AF643" t="s">
        <v>74</v>
      </c>
      <c r="AG643">
        <v>63</v>
      </c>
      <c r="AH643">
        <v>1</v>
      </c>
      <c r="AI643">
        <v>1</v>
      </c>
      <c r="AJ643">
        <v>4</v>
      </c>
      <c r="AK643">
        <v>12</v>
      </c>
      <c r="AL643" t="s">
        <v>460</v>
      </c>
      <c r="AM643" t="s">
        <v>461</v>
      </c>
      <c r="AN643" t="s">
        <v>462</v>
      </c>
      <c r="AO643" t="s">
        <v>12521</v>
      </c>
      <c r="AP643" t="s">
        <v>12522</v>
      </c>
      <c r="AQ643" t="s">
        <v>74</v>
      </c>
      <c r="AR643" t="s">
        <v>12523</v>
      </c>
      <c r="AS643" t="s">
        <v>12524</v>
      </c>
      <c r="AT643" t="s">
        <v>1810</v>
      </c>
      <c r="AU643">
        <v>2023</v>
      </c>
      <c r="AV643">
        <v>46</v>
      </c>
      <c r="AW643">
        <v>10</v>
      </c>
      <c r="AX643" t="s">
        <v>74</v>
      </c>
      <c r="AY643" t="s">
        <v>74</v>
      </c>
      <c r="AZ643" t="s">
        <v>99</v>
      </c>
      <c r="BA643" t="s">
        <v>74</v>
      </c>
      <c r="BB643">
        <v>3158</v>
      </c>
      <c r="BC643">
        <v>3169</v>
      </c>
      <c r="BD643" t="s">
        <v>74</v>
      </c>
      <c r="BE643" t="s">
        <v>12525</v>
      </c>
      <c r="BF643" t="str">
        <f>HYPERLINK("http://dx.doi.org/10.1111/pce.14645","http://dx.doi.org/10.1111/pce.14645")</f>
        <v>http://dx.doi.org/10.1111/pce.14645</v>
      </c>
      <c r="BG643" t="s">
        <v>74</v>
      </c>
      <c r="BH643" t="s">
        <v>10102</v>
      </c>
      <c r="BI643">
        <v>12</v>
      </c>
      <c r="BJ643" t="s">
        <v>375</v>
      </c>
      <c r="BK643" t="s">
        <v>104</v>
      </c>
      <c r="BL643" t="s">
        <v>375</v>
      </c>
      <c r="BM643" t="s">
        <v>12526</v>
      </c>
      <c r="BN643">
        <v>37309267</v>
      </c>
      <c r="BO643" t="s">
        <v>74</v>
      </c>
      <c r="BP643" t="s">
        <v>74</v>
      </c>
      <c r="BQ643" t="s">
        <v>74</v>
      </c>
      <c r="BR643" t="s">
        <v>107</v>
      </c>
      <c r="BS643" t="s">
        <v>12527</v>
      </c>
      <c r="BT643" t="str">
        <f>HYPERLINK("https%3A%2F%2Fwww.webofscience.com%2Fwos%2Fwoscc%2Ffull-record%2FWOS:001004713900001","View Full Record in Web of Science")</f>
        <v>View Full Record in Web of Science</v>
      </c>
    </row>
    <row r="644" spans="1:72" x14ac:dyDescent="0.15">
      <c r="A644" t="s">
        <v>72</v>
      </c>
      <c r="B644" t="s">
        <v>12528</v>
      </c>
      <c r="C644" t="s">
        <v>74</v>
      </c>
      <c r="D644" t="s">
        <v>74</v>
      </c>
      <c r="E644" t="s">
        <v>74</v>
      </c>
      <c r="F644" t="s">
        <v>12529</v>
      </c>
      <c r="G644" t="s">
        <v>74</v>
      </c>
      <c r="H644" t="s">
        <v>74</v>
      </c>
      <c r="I644" t="s">
        <v>12530</v>
      </c>
      <c r="J644" t="s">
        <v>5877</v>
      </c>
      <c r="K644" t="s">
        <v>74</v>
      </c>
      <c r="L644" t="s">
        <v>74</v>
      </c>
      <c r="M644" t="s">
        <v>78</v>
      </c>
      <c r="N644" t="s">
        <v>79</v>
      </c>
      <c r="O644" t="s">
        <v>74</v>
      </c>
      <c r="P644" t="s">
        <v>74</v>
      </c>
      <c r="Q644" t="s">
        <v>74</v>
      </c>
      <c r="R644" t="s">
        <v>74</v>
      </c>
      <c r="S644" t="s">
        <v>74</v>
      </c>
      <c r="T644" t="s">
        <v>74</v>
      </c>
      <c r="U644" t="s">
        <v>12531</v>
      </c>
      <c r="V644" t="s">
        <v>74</v>
      </c>
      <c r="W644" t="s">
        <v>12532</v>
      </c>
      <c r="X644" t="s">
        <v>12533</v>
      </c>
      <c r="Y644" t="s">
        <v>12534</v>
      </c>
      <c r="Z644" t="s">
        <v>12535</v>
      </c>
      <c r="AA644" t="s">
        <v>12536</v>
      </c>
      <c r="AB644" t="s">
        <v>12537</v>
      </c>
      <c r="AC644" t="s">
        <v>74</v>
      </c>
      <c r="AD644" t="s">
        <v>74</v>
      </c>
      <c r="AE644" t="s">
        <v>74</v>
      </c>
      <c r="AF644" t="s">
        <v>74</v>
      </c>
      <c r="AG644">
        <v>56</v>
      </c>
      <c r="AH644">
        <v>0</v>
      </c>
      <c r="AI644">
        <v>0</v>
      </c>
      <c r="AJ644">
        <v>0</v>
      </c>
      <c r="AK644">
        <v>0</v>
      </c>
      <c r="AL644" t="s">
        <v>460</v>
      </c>
      <c r="AM644" t="s">
        <v>461</v>
      </c>
      <c r="AN644" t="s">
        <v>462</v>
      </c>
      <c r="AO644" t="s">
        <v>5888</v>
      </c>
      <c r="AP644" t="s">
        <v>5889</v>
      </c>
      <c r="AQ644" t="s">
        <v>74</v>
      </c>
      <c r="AR644" t="s">
        <v>5890</v>
      </c>
      <c r="AS644" t="s">
        <v>5891</v>
      </c>
      <c r="AT644" t="s">
        <v>1810</v>
      </c>
      <c r="AU644">
        <v>2023</v>
      </c>
      <c r="AV644">
        <v>39</v>
      </c>
      <c r="AW644">
        <v>4</v>
      </c>
      <c r="AX644" t="s">
        <v>74</v>
      </c>
      <c r="AY644" t="s">
        <v>74</v>
      </c>
      <c r="AZ644" t="s">
        <v>74</v>
      </c>
      <c r="BA644" t="s">
        <v>74</v>
      </c>
      <c r="BB644">
        <v>1324</v>
      </c>
      <c r="BC644">
        <v>1331</v>
      </c>
      <c r="BD644" t="s">
        <v>74</v>
      </c>
      <c r="BE644" t="s">
        <v>12538</v>
      </c>
      <c r="BF644" t="str">
        <f>HYPERLINK("http://dx.doi.org/10.1111/mms.13033","http://dx.doi.org/10.1111/mms.13033")</f>
        <v>http://dx.doi.org/10.1111/mms.13033</v>
      </c>
      <c r="BG644" t="s">
        <v>74</v>
      </c>
      <c r="BH644" t="s">
        <v>10102</v>
      </c>
      <c r="BI644">
        <v>8</v>
      </c>
      <c r="BJ644" t="s">
        <v>547</v>
      </c>
      <c r="BK644" t="s">
        <v>104</v>
      </c>
      <c r="BL644" t="s">
        <v>547</v>
      </c>
      <c r="BM644" t="s">
        <v>6247</v>
      </c>
      <c r="BN644" t="s">
        <v>74</v>
      </c>
      <c r="BO644" t="s">
        <v>549</v>
      </c>
      <c r="BP644" t="s">
        <v>74</v>
      </c>
      <c r="BQ644" t="s">
        <v>74</v>
      </c>
      <c r="BR644" t="s">
        <v>107</v>
      </c>
      <c r="BS644" t="s">
        <v>12539</v>
      </c>
      <c r="BT644" t="str">
        <f>HYPERLINK("https%3A%2F%2Fwww.webofscience.com%2Fwos%2Fwoscc%2Ffull-record%2FWOS:001004594300001","View Full Record in Web of Science")</f>
        <v>View Full Record in Web of Science</v>
      </c>
    </row>
    <row r="645" spans="1:72" x14ac:dyDescent="0.15">
      <c r="A645" t="s">
        <v>72</v>
      </c>
      <c r="B645" t="s">
        <v>12540</v>
      </c>
      <c r="C645" t="s">
        <v>74</v>
      </c>
      <c r="D645" t="s">
        <v>74</v>
      </c>
      <c r="E645" t="s">
        <v>74</v>
      </c>
      <c r="F645" t="s">
        <v>12541</v>
      </c>
      <c r="G645" t="s">
        <v>74</v>
      </c>
      <c r="H645" t="s">
        <v>74</v>
      </c>
      <c r="I645" t="s">
        <v>12542</v>
      </c>
      <c r="J645" t="s">
        <v>12543</v>
      </c>
      <c r="K645" t="s">
        <v>74</v>
      </c>
      <c r="L645" t="s">
        <v>74</v>
      </c>
      <c r="M645" t="s">
        <v>78</v>
      </c>
      <c r="N645" t="s">
        <v>79</v>
      </c>
      <c r="O645" t="s">
        <v>74</v>
      </c>
      <c r="P645" t="s">
        <v>74</v>
      </c>
      <c r="Q645" t="s">
        <v>74</v>
      </c>
      <c r="R645" t="s">
        <v>74</v>
      </c>
      <c r="S645" t="s">
        <v>74</v>
      </c>
      <c r="T645" t="s">
        <v>12544</v>
      </c>
      <c r="U645" t="s">
        <v>12545</v>
      </c>
      <c r="V645" t="s">
        <v>12546</v>
      </c>
      <c r="W645" t="s">
        <v>12547</v>
      </c>
      <c r="X645" t="s">
        <v>12548</v>
      </c>
      <c r="Y645" t="s">
        <v>12549</v>
      </c>
      <c r="Z645" t="s">
        <v>12550</v>
      </c>
      <c r="AA645" t="s">
        <v>12551</v>
      </c>
      <c r="AB645" t="s">
        <v>12552</v>
      </c>
      <c r="AC645" t="s">
        <v>12553</v>
      </c>
      <c r="AD645" t="s">
        <v>12554</v>
      </c>
      <c r="AE645" t="s">
        <v>12555</v>
      </c>
      <c r="AF645" t="s">
        <v>74</v>
      </c>
      <c r="AG645">
        <v>30</v>
      </c>
      <c r="AH645">
        <v>0</v>
      </c>
      <c r="AI645">
        <v>0</v>
      </c>
      <c r="AJ645">
        <v>15</v>
      </c>
      <c r="AK645">
        <v>18</v>
      </c>
      <c r="AL645" t="s">
        <v>298</v>
      </c>
      <c r="AM645" t="s">
        <v>299</v>
      </c>
      <c r="AN645" t="s">
        <v>300</v>
      </c>
      <c r="AO645" t="s">
        <v>12556</v>
      </c>
      <c r="AP645" t="s">
        <v>12557</v>
      </c>
      <c r="AQ645" t="s">
        <v>74</v>
      </c>
      <c r="AR645" t="s">
        <v>12558</v>
      </c>
      <c r="AS645" t="s">
        <v>12559</v>
      </c>
      <c r="AT645" t="s">
        <v>4689</v>
      </c>
      <c r="AU645">
        <v>2023</v>
      </c>
      <c r="AV645">
        <v>45</v>
      </c>
      <c r="AW645">
        <v>8</v>
      </c>
      <c r="AX645" t="s">
        <v>74</v>
      </c>
      <c r="AY645" t="s">
        <v>74</v>
      </c>
      <c r="AZ645" t="s">
        <v>74</v>
      </c>
      <c r="BA645" t="s">
        <v>74</v>
      </c>
      <c r="BB645">
        <v>1063</v>
      </c>
      <c r="BC645">
        <v>1071</v>
      </c>
      <c r="BD645" t="s">
        <v>74</v>
      </c>
      <c r="BE645" t="s">
        <v>12560</v>
      </c>
      <c r="BF645" t="str">
        <f>HYPERLINK("http://dx.doi.org/10.1007/s13258-023-01377-7","http://dx.doi.org/10.1007/s13258-023-01377-7")</f>
        <v>http://dx.doi.org/10.1007/s13258-023-01377-7</v>
      </c>
      <c r="BG645" t="s">
        <v>74</v>
      </c>
      <c r="BH645" t="s">
        <v>10102</v>
      </c>
      <c r="BI645">
        <v>9</v>
      </c>
      <c r="BJ645" t="s">
        <v>12561</v>
      </c>
      <c r="BK645" t="s">
        <v>104</v>
      </c>
      <c r="BL645" t="s">
        <v>12561</v>
      </c>
      <c r="BM645" t="s">
        <v>12562</v>
      </c>
      <c r="BN645">
        <v>37301775</v>
      </c>
      <c r="BO645" t="s">
        <v>1128</v>
      </c>
      <c r="BP645" t="s">
        <v>74</v>
      </c>
      <c r="BQ645" t="s">
        <v>74</v>
      </c>
      <c r="BR645" t="s">
        <v>107</v>
      </c>
      <c r="BS645" t="s">
        <v>12563</v>
      </c>
      <c r="BT645" t="str">
        <f>HYPERLINK("https%3A%2F%2Fwww.webofscience.com%2Fwos%2Fwoscc%2Ffull-record%2FWOS:001004072100004","View Full Record in Web of Science")</f>
        <v>View Full Record in Web of Science</v>
      </c>
    </row>
    <row r="646" spans="1:72" x14ac:dyDescent="0.15">
      <c r="A646" t="s">
        <v>72</v>
      </c>
      <c r="B646" t="s">
        <v>12564</v>
      </c>
      <c r="C646" t="s">
        <v>74</v>
      </c>
      <c r="D646" t="s">
        <v>74</v>
      </c>
      <c r="E646" t="s">
        <v>74</v>
      </c>
      <c r="F646" t="s">
        <v>12565</v>
      </c>
      <c r="G646" t="s">
        <v>74</v>
      </c>
      <c r="H646" t="s">
        <v>74</v>
      </c>
      <c r="I646" t="s">
        <v>12566</v>
      </c>
      <c r="J646" t="s">
        <v>6100</v>
      </c>
      <c r="K646" t="s">
        <v>74</v>
      </c>
      <c r="L646" t="s">
        <v>74</v>
      </c>
      <c r="M646" t="s">
        <v>78</v>
      </c>
      <c r="N646" t="s">
        <v>79</v>
      </c>
      <c r="O646" t="s">
        <v>74</v>
      </c>
      <c r="P646" t="s">
        <v>74</v>
      </c>
      <c r="Q646" t="s">
        <v>74</v>
      </c>
      <c r="R646" t="s">
        <v>74</v>
      </c>
      <c r="S646" t="s">
        <v>74</v>
      </c>
      <c r="T646" t="s">
        <v>12567</v>
      </c>
      <c r="U646" t="s">
        <v>12568</v>
      </c>
      <c r="V646" t="s">
        <v>12569</v>
      </c>
      <c r="W646" t="s">
        <v>12570</v>
      </c>
      <c r="X646" t="s">
        <v>12571</v>
      </c>
      <c r="Y646" t="s">
        <v>12572</v>
      </c>
      <c r="Z646" t="s">
        <v>12573</v>
      </c>
      <c r="AA646" t="s">
        <v>6188</v>
      </c>
      <c r="AB646" t="s">
        <v>12574</v>
      </c>
      <c r="AC646" t="s">
        <v>12575</v>
      </c>
      <c r="AD646" t="s">
        <v>12576</v>
      </c>
      <c r="AE646" t="s">
        <v>12577</v>
      </c>
      <c r="AF646" t="s">
        <v>74</v>
      </c>
      <c r="AG646">
        <v>84</v>
      </c>
      <c r="AH646">
        <v>1</v>
      </c>
      <c r="AI646">
        <v>1</v>
      </c>
      <c r="AJ646">
        <v>1</v>
      </c>
      <c r="AK646">
        <v>1</v>
      </c>
      <c r="AL646" t="s">
        <v>2305</v>
      </c>
      <c r="AM646" t="s">
        <v>538</v>
      </c>
      <c r="AN646" t="s">
        <v>2306</v>
      </c>
      <c r="AO646" t="s">
        <v>6110</v>
      </c>
      <c r="AP646" t="s">
        <v>6111</v>
      </c>
      <c r="AQ646" t="s">
        <v>74</v>
      </c>
      <c r="AR646" t="s">
        <v>6112</v>
      </c>
      <c r="AS646" t="s">
        <v>6113</v>
      </c>
      <c r="AT646" t="s">
        <v>4689</v>
      </c>
      <c r="AU646">
        <v>2023</v>
      </c>
      <c r="AV646">
        <v>198</v>
      </c>
      <c r="AW646" t="s">
        <v>74</v>
      </c>
      <c r="AX646" t="s">
        <v>74</v>
      </c>
      <c r="AY646" t="s">
        <v>74</v>
      </c>
      <c r="AZ646" t="s">
        <v>74</v>
      </c>
      <c r="BA646" t="s">
        <v>74</v>
      </c>
      <c r="BB646" t="s">
        <v>74</v>
      </c>
      <c r="BC646" t="s">
        <v>74</v>
      </c>
      <c r="BD646">
        <v>104082</v>
      </c>
      <c r="BE646" t="s">
        <v>12578</v>
      </c>
      <c r="BF646" t="str">
        <f>HYPERLINK("http://dx.doi.org/10.1016/j.dsr.2023.104082","http://dx.doi.org/10.1016/j.dsr.2023.104082")</f>
        <v>http://dx.doi.org/10.1016/j.dsr.2023.104082</v>
      </c>
      <c r="BG646" t="s">
        <v>74</v>
      </c>
      <c r="BH646" t="s">
        <v>10102</v>
      </c>
      <c r="BI646">
        <v>10</v>
      </c>
      <c r="BJ646" t="s">
        <v>306</v>
      </c>
      <c r="BK646" t="s">
        <v>104</v>
      </c>
      <c r="BL646" t="s">
        <v>306</v>
      </c>
      <c r="BM646" t="s">
        <v>12579</v>
      </c>
      <c r="BN646" t="s">
        <v>74</v>
      </c>
      <c r="BO646" t="s">
        <v>418</v>
      </c>
      <c r="BP646" t="s">
        <v>74</v>
      </c>
      <c r="BQ646" t="s">
        <v>74</v>
      </c>
      <c r="BR646" t="s">
        <v>107</v>
      </c>
      <c r="BS646" t="s">
        <v>12580</v>
      </c>
      <c r="BT646" t="str">
        <f>HYPERLINK("https%3A%2F%2Fwww.webofscience.com%2Fwos%2Fwoscc%2Ffull-record%2FWOS:001057958400001","View Full Record in Web of Science")</f>
        <v>View Full Record in Web of Science</v>
      </c>
    </row>
    <row r="647" spans="1:72" x14ac:dyDescent="0.15">
      <c r="A647" t="s">
        <v>72</v>
      </c>
      <c r="B647" t="s">
        <v>12581</v>
      </c>
      <c r="C647" t="s">
        <v>74</v>
      </c>
      <c r="D647" t="s">
        <v>74</v>
      </c>
      <c r="E647" t="s">
        <v>74</v>
      </c>
      <c r="F647" t="s">
        <v>12582</v>
      </c>
      <c r="G647" t="s">
        <v>74</v>
      </c>
      <c r="H647" t="s">
        <v>74</v>
      </c>
      <c r="I647" t="s">
        <v>12583</v>
      </c>
      <c r="J647" t="s">
        <v>12584</v>
      </c>
      <c r="K647" t="s">
        <v>74</v>
      </c>
      <c r="L647" t="s">
        <v>74</v>
      </c>
      <c r="M647" t="s">
        <v>78</v>
      </c>
      <c r="N647" t="s">
        <v>79</v>
      </c>
      <c r="O647" t="s">
        <v>74</v>
      </c>
      <c r="P647" t="s">
        <v>74</v>
      </c>
      <c r="Q647" t="s">
        <v>74</v>
      </c>
      <c r="R647" t="s">
        <v>74</v>
      </c>
      <c r="S647" t="s">
        <v>74</v>
      </c>
      <c r="T647" t="s">
        <v>12585</v>
      </c>
      <c r="U647" t="s">
        <v>12586</v>
      </c>
      <c r="V647" t="s">
        <v>12587</v>
      </c>
      <c r="W647" t="s">
        <v>12588</v>
      </c>
      <c r="X647" t="s">
        <v>12589</v>
      </c>
      <c r="Y647" t="s">
        <v>12590</v>
      </c>
      <c r="Z647" t="s">
        <v>12591</v>
      </c>
      <c r="AA647" t="s">
        <v>74</v>
      </c>
      <c r="AB647" t="s">
        <v>74</v>
      </c>
      <c r="AC647" t="s">
        <v>12592</v>
      </c>
      <c r="AD647" t="s">
        <v>12593</v>
      </c>
      <c r="AE647" t="s">
        <v>12594</v>
      </c>
      <c r="AF647" t="s">
        <v>74</v>
      </c>
      <c r="AG647">
        <v>63</v>
      </c>
      <c r="AH647">
        <v>1</v>
      </c>
      <c r="AI647">
        <v>1</v>
      </c>
      <c r="AJ647">
        <v>5</v>
      </c>
      <c r="AK647">
        <v>10</v>
      </c>
      <c r="AL647" t="s">
        <v>172</v>
      </c>
      <c r="AM647" t="s">
        <v>173</v>
      </c>
      <c r="AN647" t="s">
        <v>174</v>
      </c>
      <c r="AO647" t="s">
        <v>12595</v>
      </c>
      <c r="AP647" t="s">
        <v>12596</v>
      </c>
      <c r="AQ647" t="s">
        <v>74</v>
      </c>
      <c r="AR647" t="s">
        <v>12597</v>
      </c>
      <c r="AS647" t="s">
        <v>12598</v>
      </c>
      <c r="AT647" t="s">
        <v>12599</v>
      </c>
      <c r="AU647">
        <v>2023</v>
      </c>
      <c r="AV647">
        <v>673</v>
      </c>
      <c r="AW647" t="s">
        <v>74</v>
      </c>
      <c r="AX647" t="s">
        <v>74</v>
      </c>
      <c r="AY647" t="s">
        <v>74</v>
      </c>
      <c r="AZ647" t="s">
        <v>74</v>
      </c>
      <c r="BA647" t="s">
        <v>74</v>
      </c>
      <c r="BB647" t="s">
        <v>74</v>
      </c>
      <c r="BC647" t="s">
        <v>74</v>
      </c>
      <c r="BD647">
        <v>131717</v>
      </c>
      <c r="BE647" t="s">
        <v>12600</v>
      </c>
      <c r="BF647" t="str">
        <f>HYPERLINK("http://dx.doi.org/10.1016/j.colsurfa.2023.131717","http://dx.doi.org/10.1016/j.colsurfa.2023.131717")</f>
        <v>http://dx.doi.org/10.1016/j.colsurfa.2023.131717</v>
      </c>
      <c r="BG647" t="s">
        <v>74</v>
      </c>
      <c r="BH647" t="s">
        <v>10102</v>
      </c>
      <c r="BI647">
        <v>12</v>
      </c>
      <c r="BJ647" t="s">
        <v>12601</v>
      </c>
      <c r="BK647" t="s">
        <v>104</v>
      </c>
      <c r="BL647" t="s">
        <v>4838</v>
      </c>
      <c r="BM647" t="s">
        <v>12602</v>
      </c>
      <c r="BN647" t="s">
        <v>74</v>
      </c>
      <c r="BO647" t="s">
        <v>74</v>
      </c>
      <c r="BP647" t="s">
        <v>74</v>
      </c>
      <c r="BQ647" t="s">
        <v>74</v>
      </c>
      <c r="BR647" t="s">
        <v>107</v>
      </c>
      <c r="BS647" t="s">
        <v>12603</v>
      </c>
      <c r="BT647" t="str">
        <f>HYPERLINK("https%3A%2F%2Fwww.webofscience.com%2Fwos%2Fwoscc%2Ffull-record%2FWOS:001054708200001","View Full Record in Web of Science")</f>
        <v>View Full Record in Web of Science</v>
      </c>
    </row>
    <row r="648" spans="1:72" x14ac:dyDescent="0.15">
      <c r="A648" t="s">
        <v>72</v>
      </c>
      <c r="B648" t="s">
        <v>12604</v>
      </c>
      <c r="C648" t="s">
        <v>74</v>
      </c>
      <c r="D648" t="s">
        <v>74</v>
      </c>
      <c r="E648" t="s">
        <v>74</v>
      </c>
      <c r="F648" t="s">
        <v>12605</v>
      </c>
      <c r="G648" t="s">
        <v>74</v>
      </c>
      <c r="H648" t="s">
        <v>74</v>
      </c>
      <c r="I648" t="s">
        <v>12606</v>
      </c>
      <c r="J648" t="s">
        <v>2917</v>
      </c>
      <c r="K648" t="s">
        <v>74</v>
      </c>
      <c r="L648" t="s">
        <v>74</v>
      </c>
      <c r="M648" t="s">
        <v>78</v>
      </c>
      <c r="N648" t="s">
        <v>79</v>
      </c>
      <c r="O648" t="s">
        <v>74</v>
      </c>
      <c r="P648" t="s">
        <v>74</v>
      </c>
      <c r="Q648" t="s">
        <v>74</v>
      </c>
      <c r="R648" t="s">
        <v>74</v>
      </c>
      <c r="S648" t="s">
        <v>74</v>
      </c>
      <c r="T648" t="s">
        <v>74</v>
      </c>
      <c r="U648" t="s">
        <v>12607</v>
      </c>
      <c r="V648" t="s">
        <v>12608</v>
      </c>
      <c r="W648" t="s">
        <v>12609</v>
      </c>
      <c r="X648" t="s">
        <v>12610</v>
      </c>
      <c r="Y648" t="s">
        <v>12611</v>
      </c>
      <c r="Z648" t="s">
        <v>12612</v>
      </c>
      <c r="AA648" t="s">
        <v>12613</v>
      </c>
      <c r="AB648" t="s">
        <v>12614</v>
      </c>
      <c r="AC648" t="s">
        <v>12615</v>
      </c>
      <c r="AD648" t="s">
        <v>12616</v>
      </c>
      <c r="AE648" t="s">
        <v>12617</v>
      </c>
      <c r="AF648" t="s">
        <v>74</v>
      </c>
      <c r="AG648">
        <v>123</v>
      </c>
      <c r="AH648">
        <v>10</v>
      </c>
      <c r="AI648">
        <v>12</v>
      </c>
      <c r="AJ648">
        <v>24</v>
      </c>
      <c r="AK648">
        <v>37</v>
      </c>
      <c r="AL648" t="s">
        <v>146</v>
      </c>
      <c r="AM648" t="s">
        <v>147</v>
      </c>
      <c r="AN648" t="s">
        <v>148</v>
      </c>
      <c r="AO648" t="s">
        <v>74</v>
      </c>
      <c r="AP648" t="s">
        <v>2929</v>
      </c>
      <c r="AQ648" t="s">
        <v>74</v>
      </c>
      <c r="AR648" t="s">
        <v>2930</v>
      </c>
      <c r="AS648" t="s">
        <v>2931</v>
      </c>
      <c r="AT648" t="s">
        <v>12618</v>
      </c>
      <c r="AU648">
        <v>2023</v>
      </c>
      <c r="AV648">
        <v>14</v>
      </c>
      <c r="AW648">
        <v>1</v>
      </c>
      <c r="AX648" t="s">
        <v>74</v>
      </c>
      <c r="AY648" t="s">
        <v>74</v>
      </c>
      <c r="AZ648" t="s">
        <v>74</v>
      </c>
      <c r="BA648" t="s">
        <v>74</v>
      </c>
      <c r="BB648" t="s">
        <v>74</v>
      </c>
      <c r="BC648" t="s">
        <v>74</v>
      </c>
      <c r="BD648">
        <v>3412</v>
      </c>
      <c r="BE648" t="s">
        <v>12619</v>
      </c>
      <c r="BF648" t="str">
        <f>HYPERLINK("http://dx.doi.org/10.1038/s41467-023-38567-6","http://dx.doi.org/10.1038/s41467-023-38567-6")</f>
        <v>http://dx.doi.org/10.1038/s41467-023-38567-6</v>
      </c>
      <c r="BG648" t="s">
        <v>74</v>
      </c>
      <c r="BH648" t="s">
        <v>74</v>
      </c>
      <c r="BI648">
        <v>16</v>
      </c>
      <c r="BJ648" t="s">
        <v>1881</v>
      </c>
      <c r="BK648" t="s">
        <v>104</v>
      </c>
      <c r="BL648" t="s">
        <v>1882</v>
      </c>
      <c r="BM648" t="s">
        <v>12620</v>
      </c>
      <c r="BN648">
        <v>37296119</v>
      </c>
      <c r="BO648" t="s">
        <v>12621</v>
      </c>
      <c r="BP648" t="s">
        <v>74</v>
      </c>
      <c r="BQ648" t="s">
        <v>74</v>
      </c>
      <c r="BR648" t="s">
        <v>107</v>
      </c>
      <c r="BS648" t="s">
        <v>12622</v>
      </c>
      <c r="BT648" t="str">
        <f>HYPERLINK("https%3A%2F%2Fwww.webofscience.com%2Fwos%2Fwoscc%2Ffull-record%2FWOS:001026289800005","View Full Record in Web of Science")</f>
        <v>View Full Record in Web of Science</v>
      </c>
    </row>
    <row r="649" spans="1:72" x14ac:dyDescent="0.15">
      <c r="A649" t="s">
        <v>72</v>
      </c>
      <c r="B649" t="s">
        <v>12623</v>
      </c>
      <c r="C649" t="s">
        <v>74</v>
      </c>
      <c r="D649" t="s">
        <v>74</v>
      </c>
      <c r="E649" t="s">
        <v>74</v>
      </c>
      <c r="F649" t="s">
        <v>12624</v>
      </c>
      <c r="G649" t="s">
        <v>74</v>
      </c>
      <c r="H649" t="s">
        <v>74</v>
      </c>
      <c r="I649" t="s">
        <v>12625</v>
      </c>
      <c r="J649" t="s">
        <v>1330</v>
      </c>
      <c r="K649" t="s">
        <v>74</v>
      </c>
      <c r="L649" t="s">
        <v>74</v>
      </c>
      <c r="M649" t="s">
        <v>78</v>
      </c>
      <c r="N649" t="s">
        <v>79</v>
      </c>
      <c r="O649" t="s">
        <v>74</v>
      </c>
      <c r="P649" t="s">
        <v>74</v>
      </c>
      <c r="Q649" t="s">
        <v>74</v>
      </c>
      <c r="R649" t="s">
        <v>74</v>
      </c>
      <c r="S649" t="s">
        <v>74</v>
      </c>
      <c r="T649" t="s">
        <v>12626</v>
      </c>
      <c r="U649" t="s">
        <v>12627</v>
      </c>
      <c r="V649" t="s">
        <v>12628</v>
      </c>
      <c r="W649" t="s">
        <v>12629</v>
      </c>
      <c r="X649" t="s">
        <v>12630</v>
      </c>
      <c r="Y649" t="s">
        <v>12631</v>
      </c>
      <c r="Z649" t="s">
        <v>12632</v>
      </c>
      <c r="AA649" t="s">
        <v>12633</v>
      </c>
      <c r="AB649" t="s">
        <v>12634</v>
      </c>
      <c r="AC649" t="s">
        <v>12635</v>
      </c>
      <c r="AD649" t="s">
        <v>12636</v>
      </c>
      <c r="AE649" t="s">
        <v>12637</v>
      </c>
      <c r="AF649" t="s">
        <v>74</v>
      </c>
      <c r="AG649">
        <v>52</v>
      </c>
      <c r="AH649">
        <v>2</v>
      </c>
      <c r="AI649">
        <v>2</v>
      </c>
      <c r="AJ649">
        <v>20</v>
      </c>
      <c r="AK649">
        <v>48</v>
      </c>
      <c r="AL649" t="s">
        <v>1343</v>
      </c>
      <c r="AM649" t="s">
        <v>589</v>
      </c>
      <c r="AN649" t="s">
        <v>1344</v>
      </c>
      <c r="AO649" t="s">
        <v>1345</v>
      </c>
      <c r="AP649" t="s">
        <v>1346</v>
      </c>
      <c r="AQ649" t="s">
        <v>74</v>
      </c>
      <c r="AR649" t="s">
        <v>1347</v>
      </c>
      <c r="AS649" t="s">
        <v>1348</v>
      </c>
      <c r="AT649" t="s">
        <v>12618</v>
      </c>
      <c r="AU649">
        <v>2023</v>
      </c>
      <c r="AV649">
        <v>57</v>
      </c>
      <c r="AW649">
        <v>25</v>
      </c>
      <c r="AX649" t="s">
        <v>74</v>
      </c>
      <c r="AY649" t="s">
        <v>74</v>
      </c>
      <c r="AZ649" t="s">
        <v>74</v>
      </c>
      <c r="BA649" t="s">
        <v>74</v>
      </c>
      <c r="BB649">
        <v>9342</v>
      </c>
      <c r="BC649">
        <v>9352</v>
      </c>
      <c r="BD649" t="s">
        <v>74</v>
      </c>
      <c r="BE649" t="s">
        <v>12638</v>
      </c>
      <c r="BF649" t="str">
        <f>HYPERLINK("http://dx.doi.org/10.1021/acs.est.3c01866","http://dx.doi.org/10.1021/acs.est.3c01866")</f>
        <v>http://dx.doi.org/10.1021/acs.est.3c01866</v>
      </c>
      <c r="BG649" t="s">
        <v>74</v>
      </c>
      <c r="BH649" t="s">
        <v>10102</v>
      </c>
      <c r="BI649">
        <v>11</v>
      </c>
      <c r="BJ649" t="s">
        <v>1350</v>
      </c>
      <c r="BK649" t="s">
        <v>104</v>
      </c>
      <c r="BL649" t="s">
        <v>1351</v>
      </c>
      <c r="BM649" t="s">
        <v>12639</v>
      </c>
      <c r="BN649">
        <v>37294896</v>
      </c>
      <c r="BO649" t="s">
        <v>883</v>
      </c>
      <c r="BP649" t="s">
        <v>74</v>
      </c>
      <c r="BQ649" t="s">
        <v>74</v>
      </c>
      <c r="BR649" t="s">
        <v>107</v>
      </c>
      <c r="BS649" t="s">
        <v>12640</v>
      </c>
      <c r="BT649" t="str">
        <f>HYPERLINK("https%3A%2F%2Fwww.webofscience.com%2Fwos%2Fwoscc%2Ffull-record%2FWOS:001006294300001","View Full Record in Web of Science")</f>
        <v>View Full Record in Web of Science</v>
      </c>
    </row>
    <row r="650" spans="1:72" x14ac:dyDescent="0.15">
      <c r="A650" t="s">
        <v>72</v>
      </c>
      <c r="B650" t="s">
        <v>12641</v>
      </c>
      <c r="C650" t="s">
        <v>74</v>
      </c>
      <c r="D650" t="s">
        <v>74</v>
      </c>
      <c r="E650" t="s">
        <v>74</v>
      </c>
      <c r="F650" t="s">
        <v>12642</v>
      </c>
      <c r="G650" t="s">
        <v>74</v>
      </c>
      <c r="H650" t="s">
        <v>74</v>
      </c>
      <c r="I650" t="s">
        <v>12643</v>
      </c>
      <c r="J650" t="s">
        <v>6948</v>
      </c>
      <c r="K650" t="s">
        <v>74</v>
      </c>
      <c r="L650" t="s">
        <v>74</v>
      </c>
      <c r="M650" t="s">
        <v>78</v>
      </c>
      <c r="N650" t="s">
        <v>79</v>
      </c>
      <c r="O650" t="s">
        <v>74</v>
      </c>
      <c r="P650" t="s">
        <v>74</v>
      </c>
      <c r="Q650" t="s">
        <v>74</v>
      </c>
      <c r="R650" t="s">
        <v>74</v>
      </c>
      <c r="S650" t="s">
        <v>74</v>
      </c>
      <c r="T650" t="s">
        <v>74</v>
      </c>
      <c r="U650" t="s">
        <v>12644</v>
      </c>
      <c r="V650" t="s">
        <v>12645</v>
      </c>
      <c r="W650" t="s">
        <v>12646</v>
      </c>
      <c r="X650" t="s">
        <v>315</v>
      </c>
      <c r="Y650" t="s">
        <v>4773</v>
      </c>
      <c r="Z650" t="s">
        <v>4774</v>
      </c>
      <c r="AA650" t="s">
        <v>12647</v>
      </c>
      <c r="AB650" t="s">
        <v>4776</v>
      </c>
      <c r="AC650" t="s">
        <v>74</v>
      </c>
      <c r="AD650" t="s">
        <v>74</v>
      </c>
      <c r="AE650" t="s">
        <v>74</v>
      </c>
      <c r="AF650" t="s">
        <v>74</v>
      </c>
      <c r="AG650">
        <v>70</v>
      </c>
      <c r="AH650">
        <v>1</v>
      </c>
      <c r="AI650">
        <v>1</v>
      </c>
      <c r="AJ650">
        <v>0</v>
      </c>
      <c r="AK650">
        <v>0</v>
      </c>
      <c r="AL650" t="s">
        <v>2305</v>
      </c>
      <c r="AM650" t="s">
        <v>538</v>
      </c>
      <c r="AN650" t="s">
        <v>2306</v>
      </c>
      <c r="AO650" t="s">
        <v>6959</v>
      </c>
      <c r="AP650" t="s">
        <v>6960</v>
      </c>
      <c r="AQ650" t="s">
        <v>74</v>
      </c>
      <c r="AR650" t="s">
        <v>6961</v>
      </c>
      <c r="AS650" t="s">
        <v>6962</v>
      </c>
      <c r="AT650" t="s">
        <v>4689</v>
      </c>
      <c r="AU650">
        <v>2023</v>
      </c>
      <c r="AV650">
        <v>249</v>
      </c>
      <c r="AW650" t="s">
        <v>74</v>
      </c>
      <c r="AX650" t="s">
        <v>74</v>
      </c>
      <c r="AY650" t="s">
        <v>74</v>
      </c>
      <c r="AZ650" t="s">
        <v>74</v>
      </c>
      <c r="BA650" t="s">
        <v>74</v>
      </c>
      <c r="BB650" t="s">
        <v>74</v>
      </c>
      <c r="BC650" t="s">
        <v>74</v>
      </c>
      <c r="BD650">
        <v>106096</v>
      </c>
      <c r="BE650" t="s">
        <v>12648</v>
      </c>
      <c r="BF650" t="str">
        <f>HYPERLINK("http://dx.doi.org/10.1016/j.jastp.2023.106096","http://dx.doi.org/10.1016/j.jastp.2023.106096")</f>
        <v>http://dx.doi.org/10.1016/j.jastp.2023.106096</v>
      </c>
      <c r="BG650" t="s">
        <v>74</v>
      </c>
      <c r="BH650" t="s">
        <v>10102</v>
      </c>
      <c r="BI650">
        <v>9</v>
      </c>
      <c r="BJ650" t="s">
        <v>6964</v>
      </c>
      <c r="BK650" t="s">
        <v>104</v>
      </c>
      <c r="BL650" t="s">
        <v>6964</v>
      </c>
      <c r="BM650" t="s">
        <v>12649</v>
      </c>
      <c r="BN650" t="s">
        <v>74</v>
      </c>
      <c r="BO650" t="s">
        <v>74</v>
      </c>
      <c r="BP650" t="s">
        <v>74</v>
      </c>
      <c r="BQ650" t="s">
        <v>74</v>
      </c>
      <c r="BR650" t="s">
        <v>107</v>
      </c>
      <c r="BS650" t="s">
        <v>12650</v>
      </c>
      <c r="BT650" t="str">
        <f>HYPERLINK("https%3A%2F%2Fwww.webofscience.com%2Fwos%2Fwoscc%2Ffull-record%2FWOS:001024998600001","View Full Record in Web of Science")</f>
        <v>View Full Record in Web of Science</v>
      </c>
    </row>
    <row r="651" spans="1:72" x14ac:dyDescent="0.15">
      <c r="A651" t="s">
        <v>72</v>
      </c>
      <c r="B651" t="s">
        <v>12651</v>
      </c>
      <c r="C651" t="s">
        <v>74</v>
      </c>
      <c r="D651" t="s">
        <v>74</v>
      </c>
      <c r="E651" t="s">
        <v>74</v>
      </c>
      <c r="F651" t="s">
        <v>12652</v>
      </c>
      <c r="G651" t="s">
        <v>74</v>
      </c>
      <c r="H651" t="s">
        <v>74</v>
      </c>
      <c r="I651" t="s">
        <v>12653</v>
      </c>
      <c r="J651" t="s">
        <v>12654</v>
      </c>
      <c r="K651" t="s">
        <v>74</v>
      </c>
      <c r="L651" t="s">
        <v>74</v>
      </c>
      <c r="M651" t="s">
        <v>78</v>
      </c>
      <c r="N651" t="s">
        <v>79</v>
      </c>
      <c r="O651" t="s">
        <v>74</v>
      </c>
      <c r="P651" t="s">
        <v>74</v>
      </c>
      <c r="Q651" t="s">
        <v>74</v>
      </c>
      <c r="R651" t="s">
        <v>74</v>
      </c>
      <c r="S651" t="s">
        <v>74</v>
      </c>
      <c r="T651" t="s">
        <v>12655</v>
      </c>
      <c r="U651" t="s">
        <v>12656</v>
      </c>
      <c r="V651" t="s">
        <v>12657</v>
      </c>
      <c r="W651" t="s">
        <v>12658</v>
      </c>
      <c r="X651" t="s">
        <v>216</v>
      </c>
      <c r="Y651" t="s">
        <v>12659</v>
      </c>
      <c r="Z651" t="s">
        <v>218</v>
      </c>
      <c r="AA651" t="s">
        <v>12660</v>
      </c>
      <c r="AB651" t="s">
        <v>74</v>
      </c>
      <c r="AC651" t="s">
        <v>12661</v>
      </c>
      <c r="AD651" t="s">
        <v>367</v>
      </c>
      <c r="AE651" t="s">
        <v>12662</v>
      </c>
      <c r="AF651" t="s">
        <v>74</v>
      </c>
      <c r="AG651">
        <v>67</v>
      </c>
      <c r="AH651">
        <v>4</v>
      </c>
      <c r="AI651">
        <v>4</v>
      </c>
      <c r="AJ651">
        <v>11</v>
      </c>
      <c r="AK651">
        <v>18</v>
      </c>
      <c r="AL651" t="s">
        <v>924</v>
      </c>
      <c r="AM651" t="s">
        <v>299</v>
      </c>
      <c r="AN651" t="s">
        <v>925</v>
      </c>
      <c r="AO651" t="s">
        <v>12663</v>
      </c>
      <c r="AP651" t="s">
        <v>12664</v>
      </c>
      <c r="AQ651" t="s">
        <v>74</v>
      </c>
      <c r="AR651" t="s">
        <v>12665</v>
      </c>
      <c r="AS651" t="s">
        <v>12666</v>
      </c>
      <c r="AT651" t="s">
        <v>544</v>
      </c>
      <c r="AU651">
        <v>2023</v>
      </c>
      <c r="AV651">
        <v>292</v>
      </c>
      <c r="AW651" t="s">
        <v>74</v>
      </c>
      <c r="AX651" t="s">
        <v>74</v>
      </c>
      <c r="AY651" t="s">
        <v>74</v>
      </c>
      <c r="AZ651" t="s">
        <v>74</v>
      </c>
      <c r="BA651" t="s">
        <v>74</v>
      </c>
      <c r="BB651" t="s">
        <v>74</v>
      </c>
      <c r="BC651" t="s">
        <v>74</v>
      </c>
      <c r="BD651">
        <v>106847</v>
      </c>
      <c r="BE651" t="s">
        <v>12667</v>
      </c>
      <c r="BF651" t="str">
        <f>HYPERLINK("http://dx.doi.org/10.1016/j.atmosres.2023.106847","http://dx.doi.org/10.1016/j.atmosres.2023.106847")</f>
        <v>http://dx.doi.org/10.1016/j.atmosres.2023.106847</v>
      </c>
      <c r="BG651" t="s">
        <v>74</v>
      </c>
      <c r="BH651" t="s">
        <v>10102</v>
      </c>
      <c r="BI651">
        <v>11</v>
      </c>
      <c r="BJ651" t="s">
        <v>103</v>
      </c>
      <c r="BK651" t="s">
        <v>104</v>
      </c>
      <c r="BL651" t="s">
        <v>103</v>
      </c>
      <c r="BM651" t="s">
        <v>12668</v>
      </c>
      <c r="BN651" t="s">
        <v>74</v>
      </c>
      <c r="BO651" t="s">
        <v>74</v>
      </c>
      <c r="BP651" t="s">
        <v>74</v>
      </c>
      <c r="BQ651" t="s">
        <v>74</v>
      </c>
      <c r="BR651" t="s">
        <v>107</v>
      </c>
      <c r="BS651" t="s">
        <v>12669</v>
      </c>
      <c r="BT651" t="str">
        <f>HYPERLINK("https%3A%2F%2Fwww.webofscience.com%2Fwos%2Fwoscc%2Ffull-record%2FWOS:001024252400001","View Full Record in Web of Science")</f>
        <v>View Full Record in Web of Science</v>
      </c>
    </row>
    <row r="652" spans="1:72" x14ac:dyDescent="0.15">
      <c r="A652" t="s">
        <v>72</v>
      </c>
      <c r="B652" t="s">
        <v>12670</v>
      </c>
      <c r="C652" t="s">
        <v>74</v>
      </c>
      <c r="D652" t="s">
        <v>74</v>
      </c>
      <c r="E652" t="s">
        <v>74</v>
      </c>
      <c r="F652" t="s">
        <v>12671</v>
      </c>
      <c r="G652" t="s">
        <v>74</v>
      </c>
      <c r="H652" t="s">
        <v>74</v>
      </c>
      <c r="I652" t="s">
        <v>12672</v>
      </c>
      <c r="J652" t="s">
        <v>12673</v>
      </c>
      <c r="K652" t="s">
        <v>74</v>
      </c>
      <c r="L652" t="s">
        <v>74</v>
      </c>
      <c r="M652" t="s">
        <v>78</v>
      </c>
      <c r="N652" t="s">
        <v>424</v>
      </c>
      <c r="O652" t="s">
        <v>74</v>
      </c>
      <c r="P652" t="s">
        <v>74</v>
      </c>
      <c r="Q652" t="s">
        <v>74</v>
      </c>
      <c r="R652" t="s">
        <v>74</v>
      </c>
      <c r="S652" t="s">
        <v>74</v>
      </c>
      <c r="T652" t="s">
        <v>74</v>
      </c>
      <c r="U652" t="s">
        <v>12674</v>
      </c>
      <c r="V652" t="s">
        <v>12675</v>
      </c>
      <c r="W652" t="s">
        <v>12676</v>
      </c>
      <c r="X652" t="s">
        <v>12677</v>
      </c>
      <c r="Y652" t="s">
        <v>12678</v>
      </c>
      <c r="Z652" t="s">
        <v>12679</v>
      </c>
      <c r="AA652" t="s">
        <v>74</v>
      </c>
      <c r="AB652" t="s">
        <v>12680</v>
      </c>
      <c r="AC652" t="s">
        <v>12681</v>
      </c>
      <c r="AD652" t="s">
        <v>12682</v>
      </c>
      <c r="AE652" t="s">
        <v>12683</v>
      </c>
      <c r="AF652" t="s">
        <v>74</v>
      </c>
      <c r="AG652">
        <v>280</v>
      </c>
      <c r="AH652">
        <v>1</v>
      </c>
      <c r="AI652">
        <v>1</v>
      </c>
      <c r="AJ652">
        <v>12</v>
      </c>
      <c r="AK652">
        <v>30</v>
      </c>
      <c r="AL652" t="s">
        <v>2617</v>
      </c>
      <c r="AM652" t="s">
        <v>1528</v>
      </c>
      <c r="AN652" t="s">
        <v>2618</v>
      </c>
      <c r="AO652" t="s">
        <v>74</v>
      </c>
      <c r="AP652" t="s">
        <v>12684</v>
      </c>
      <c r="AQ652" t="s">
        <v>74</v>
      </c>
      <c r="AR652" t="s">
        <v>12685</v>
      </c>
      <c r="AS652" t="s">
        <v>12686</v>
      </c>
      <c r="AT652" t="s">
        <v>3612</v>
      </c>
      <c r="AU652">
        <v>2023</v>
      </c>
      <c r="AV652">
        <v>4</v>
      </c>
      <c r="AW652">
        <v>7</v>
      </c>
      <c r="AX652" t="s">
        <v>74</v>
      </c>
      <c r="AY652" t="s">
        <v>74</v>
      </c>
      <c r="AZ652" t="s">
        <v>74</v>
      </c>
      <c r="BA652" t="s">
        <v>74</v>
      </c>
      <c r="BB652">
        <v>454</v>
      </c>
      <c r="BC652">
        <v>470</v>
      </c>
      <c r="BD652" t="s">
        <v>74</v>
      </c>
      <c r="BE652" t="s">
        <v>12687</v>
      </c>
      <c r="BF652" t="str">
        <f>HYPERLINK("http://dx.doi.org/10.1038/s43017-023-00436-7","http://dx.doi.org/10.1038/s43017-023-00436-7")</f>
        <v>http://dx.doi.org/10.1038/s43017-023-00436-7</v>
      </c>
      <c r="BG652" t="s">
        <v>74</v>
      </c>
      <c r="BH652" t="s">
        <v>10102</v>
      </c>
      <c r="BI652">
        <v>17</v>
      </c>
      <c r="BJ652" t="s">
        <v>1171</v>
      </c>
      <c r="BK652" t="s">
        <v>104</v>
      </c>
      <c r="BL652" t="s">
        <v>248</v>
      </c>
      <c r="BM652" t="s">
        <v>12688</v>
      </c>
      <c r="BN652" t="s">
        <v>74</v>
      </c>
      <c r="BO652" t="s">
        <v>74</v>
      </c>
      <c r="BP652" t="s">
        <v>74</v>
      </c>
      <c r="BQ652" t="s">
        <v>74</v>
      </c>
      <c r="BR652" t="s">
        <v>107</v>
      </c>
      <c r="BS652" t="s">
        <v>12689</v>
      </c>
      <c r="BT652" t="str">
        <f>HYPERLINK("https%3A%2F%2Fwww.webofscience.com%2Fwos%2Fwoscc%2Ffull-record%2FWOS:001003891600001","View Full Record in Web of Science")</f>
        <v>View Full Record in Web of Science</v>
      </c>
    </row>
    <row r="653" spans="1:72" x14ac:dyDescent="0.15">
      <c r="A653" t="s">
        <v>72</v>
      </c>
      <c r="B653" t="s">
        <v>12690</v>
      </c>
      <c r="C653" t="s">
        <v>74</v>
      </c>
      <c r="D653" t="s">
        <v>74</v>
      </c>
      <c r="E653" t="s">
        <v>74</v>
      </c>
      <c r="F653" t="s">
        <v>12691</v>
      </c>
      <c r="G653" t="s">
        <v>74</v>
      </c>
      <c r="H653" t="s">
        <v>74</v>
      </c>
      <c r="I653" t="s">
        <v>12692</v>
      </c>
      <c r="J653" t="s">
        <v>3286</v>
      </c>
      <c r="K653" t="s">
        <v>74</v>
      </c>
      <c r="L653" t="s">
        <v>74</v>
      </c>
      <c r="M653" t="s">
        <v>78</v>
      </c>
      <c r="N653" t="s">
        <v>79</v>
      </c>
      <c r="O653" t="s">
        <v>74</v>
      </c>
      <c r="P653" t="s">
        <v>74</v>
      </c>
      <c r="Q653" t="s">
        <v>74</v>
      </c>
      <c r="R653" t="s">
        <v>74</v>
      </c>
      <c r="S653" t="s">
        <v>74</v>
      </c>
      <c r="T653" t="s">
        <v>74</v>
      </c>
      <c r="U653" t="s">
        <v>12693</v>
      </c>
      <c r="V653" t="s">
        <v>12694</v>
      </c>
      <c r="W653" t="s">
        <v>12695</v>
      </c>
      <c r="X653" t="s">
        <v>5491</v>
      </c>
      <c r="Y653" t="s">
        <v>12696</v>
      </c>
      <c r="Z653" t="s">
        <v>12697</v>
      </c>
      <c r="AA653" t="s">
        <v>12698</v>
      </c>
      <c r="AB653" t="s">
        <v>12699</v>
      </c>
      <c r="AC653" t="s">
        <v>12700</v>
      </c>
      <c r="AD653" t="s">
        <v>12701</v>
      </c>
      <c r="AE653" t="s">
        <v>12702</v>
      </c>
      <c r="AF653" t="s">
        <v>74</v>
      </c>
      <c r="AG653">
        <v>72</v>
      </c>
      <c r="AH653">
        <v>0</v>
      </c>
      <c r="AI653">
        <v>0</v>
      </c>
      <c r="AJ653">
        <v>8</v>
      </c>
      <c r="AK653">
        <v>12</v>
      </c>
      <c r="AL653" t="s">
        <v>1775</v>
      </c>
      <c r="AM653" t="s">
        <v>1776</v>
      </c>
      <c r="AN653" t="s">
        <v>1777</v>
      </c>
      <c r="AO653" t="s">
        <v>3298</v>
      </c>
      <c r="AP653" t="s">
        <v>3299</v>
      </c>
      <c r="AQ653" t="s">
        <v>74</v>
      </c>
      <c r="AR653" t="s">
        <v>3300</v>
      </c>
      <c r="AS653" t="s">
        <v>3301</v>
      </c>
      <c r="AT653" t="s">
        <v>12618</v>
      </c>
      <c r="AU653">
        <v>2023</v>
      </c>
      <c r="AV653">
        <v>23</v>
      </c>
      <c r="AW653">
        <v>11</v>
      </c>
      <c r="AX653" t="s">
        <v>74</v>
      </c>
      <c r="AY653" t="s">
        <v>74</v>
      </c>
      <c r="AZ653" t="s">
        <v>74</v>
      </c>
      <c r="BA653" t="s">
        <v>74</v>
      </c>
      <c r="BB653">
        <v>6339</v>
      </c>
      <c r="BC653">
        <v>6355</v>
      </c>
      <c r="BD653" t="s">
        <v>74</v>
      </c>
      <c r="BE653" t="s">
        <v>12703</v>
      </c>
      <c r="BF653" t="str">
        <f>HYPERLINK("http://dx.doi.org/10.5194/acp-23-6339-2023","http://dx.doi.org/10.5194/acp-23-6339-2023")</f>
        <v>http://dx.doi.org/10.5194/acp-23-6339-2023</v>
      </c>
      <c r="BG653" t="s">
        <v>74</v>
      </c>
      <c r="BH653" t="s">
        <v>74</v>
      </c>
      <c r="BI653">
        <v>17</v>
      </c>
      <c r="BJ653" t="s">
        <v>3303</v>
      </c>
      <c r="BK653" t="s">
        <v>104</v>
      </c>
      <c r="BL653" t="s">
        <v>2372</v>
      </c>
      <c r="BM653" t="s">
        <v>12704</v>
      </c>
      <c r="BN653" t="s">
        <v>74</v>
      </c>
      <c r="BO653" t="s">
        <v>771</v>
      </c>
      <c r="BP653" t="s">
        <v>74</v>
      </c>
      <c r="BQ653" t="s">
        <v>74</v>
      </c>
      <c r="BR653" t="s">
        <v>107</v>
      </c>
      <c r="BS653" t="s">
        <v>12705</v>
      </c>
      <c r="BT653" t="str">
        <f>HYPERLINK("https%3A%2F%2Fwww.webofscience.com%2Fwos%2Fwoscc%2Ffull-record%2FWOS:001005120800001","View Full Record in Web of Science")</f>
        <v>View Full Record in Web of Science</v>
      </c>
    </row>
    <row r="654" spans="1:72" x14ac:dyDescent="0.15">
      <c r="A654" t="s">
        <v>72</v>
      </c>
      <c r="B654" t="s">
        <v>12706</v>
      </c>
      <c r="C654" t="s">
        <v>74</v>
      </c>
      <c r="D654" t="s">
        <v>74</v>
      </c>
      <c r="E654" t="s">
        <v>74</v>
      </c>
      <c r="F654" t="s">
        <v>12707</v>
      </c>
      <c r="G654" t="s">
        <v>74</v>
      </c>
      <c r="H654" t="s">
        <v>74</v>
      </c>
      <c r="I654" t="s">
        <v>12708</v>
      </c>
      <c r="J654" t="s">
        <v>12709</v>
      </c>
      <c r="K654" t="s">
        <v>74</v>
      </c>
      <c r="L654" t="s">
        <v>74</v>
      </c>
      <c r="M654" t="s">
        <v>78</v>
      </c>
      <c r="N654" t="s">
        <v>1911</v>
      </c>
      <c r="O654" t="s">
        <v>74</v>
      </c>
      <c r="P654" t="s">
        <v>74</v>
      </c>
      <c r="Q654" t="s">
        <v>74</v>
      </c>
      <c r="R654" t="s">
        <v>74</v>
      </c>
      <c r="S654" t="s">
        <v>74</v>
      </c>
      <c r="T654" t="s">
        <v>12710</v>
      </c>
      <c r="U654" t="s">
        <v>12711</v>
      </c>
      <c r="V654" t="s">
        <v>12712</v>
      </c>
      <c r="W654" t="s">
        <v>12713</v>
      </c>
      <c r="X654" t="s">
        <v>12714</v>
      </c>
      <c r="Y654" t="s">
        <v>12715</v>
      </c>
      <c r="Z654" t="s">
        <v>12716</v>
      </c>
      <c r="AA654" t="s">
        <v>74</v>
      </c>
      <c r="AB654" t="s">
        <v>74</v>
      </c>
      <c r="AC654" t="s">
        <v>12717</v>
      </c>
      <c r="AD654" t="s">
        <v>12718</v>
      </c>
      <c r="AE654" t="s">
        <v>12719</v>
      </c>
      <c r="AF654" t="s">
        <v>74</v>
      </c>
      <c r="AG654">
        <v>69</v>
      </c>
      <c r="AH654">
        <v>1</v>
      </c>
      <c r="AI654">
        <v>1</v>
      </c>
      <c r="AJ654">
        <v>36</v>
      </c>
      <c r="AK654">
        <v>49</v>
      </c>
      <c r="AL654" t="s">
        <v>10390</v>
      </c>
      <c r="AM654" t="s">
        <v>10391</v>
      </c>
      <c r="AN654" t="s">
        <v>10392</v>
      </c>
      <c r="AO654" t="s">
        <v>12720</v>
      </c>
      <c r="AP654" t="s">
        <v>12721</v>
      </c>
      <c r="AQ654" t="s">
        <v>74</v>
      </c>
      <c r="AR654" t="s">
        <v>12722</v>
      </c>
      <c r="AS654" t="s">
        <v>12723</v>
      </c>
      <c r="AT654" t="s">
        <v>12724</v>
      </c>
      <c r="AU654">
        <v>2023</v>
      </c>
      <c r="AV654" t="s">
        <v>74</v>
      </c>
      <c r="AW654" t="s">
        <v>74</v>
      </c>
      <c r="AX654" t="s">
        <v>74</v>
      </c>
      <c r="AY654" t="s">
        <v>74</v>
      </c>
      <c r="AZ654" t="s">
        <v>74</v>
      </c>
      <c r="BA654" t="s">
        <v>74</v>
      </c>
      <c r="BB654" t="s">
        <v>74</v>
      </c>
      <c r="BC654" t="s">
        <v>74</v>
      </c>
      <c r="BD654" t="s">
        <v>74</v>
      </c>
      <c r="BE654" t="s">
        <v>12725</v>
      </c>
      <c r="BF654" t="str">
        <f>HYPERLINK("http://dx.doi.org/10.1080/15320383.2023.2218481","http://dx.doi.org/10.1080/15320383.2023.2218481")</f>
        <v>http://dx.doi.org/10.1080/15320383.2023.2218481</v>
      </c>
      <c r="BG654" t="s">
        <v>74</v>
      </c>
      <c r="BH654" t="s">
        <v>10102</v>
      </c>
      <c r="BI654">
        <v>17</v>
      </c>
      <c r="BJ654" t="s">
        <v>2050</v>
      </c>
      <c r="BK654" t="s">
        <v>104</v>
      </c>
      <c r="BL654" t="s">
        <v>1535</v>
      </c>
      <c r="BM654" t="s">
        <v>12726</v>
      </c>
      <c r="BN654" t="s">
        <v>74</v>
      </c>
      <c r="BO654" t="s">
        <v>74</v>
      </c>
      <c r="BP654" t="s">
        <v>74</v>
      </c>
      <c r="BQ654" t="s">
        <v>74</v>
      </c>
      <c r="BR654" t="s">
        <v>107</v>
      </c>
      <c r="BS654" t="s">
        <v>12727</v>
      </c>
      <c r="BT654" t="str">
        <f>HYPERLINK("https%3A%2F%2Fwww.webofscience.com%2Fwos%2Fwoscc%2Ffull-record%2FWOS:001003000500001","View Full Record in Web of Science")</f>
        <v>View Full Record in Web of Science</v>
      </c>
    </row>
    <row r="655" spans="1:72" x14ac:dyDescent="0.15">
      <c r="A655" t="s">
        <v>72</v>
      </c>
      <c r="B655" t="s">
        <v>12728</v>
      </c>
      <c r="C655" t="s">
        <v>74</v>
      </c>
      <c r="D655" t="s">
        <v>74</v>
      </c>
      <c r="E655" t="s">
        <v>74</v>
      </c>
      <c r="F655" t="s">
        <v>12729</v>
      </c>
      <c r="G655" t="s">
        <v>74</v>
      </c>
      <c r="H655" t="s">
        <v>74</v>
      </c>
      <c r="I655" t="s">
        <v>12730</v>
      </c>
      <c r="J655" t="s">
        <v>12731</v>
      </c>
      <c r="K655" t="s">
        <v>74</v>
      </c>
      <c r="L655" t="s">
        <v>74</v>
      </c>
      <c r="M655" t="s">
        <v>78</v>
      </c>
      <c r="N655" t="s">
        <v>1911</v>
      </c>
      <c r="O655" t="s">
        <v>74</v>
      </c>
      <c r="P655" t="s">
        <v>74</v>
      </c>
      <c r="Q655" t="s">
        <v>74</v>
      </c>
      <c r="R655" t="s">
        <v>74</v>
      </c>
      <c r="S655" t="s">
        <v>74</v>
      </c>
      <c r="T655" t="s">
        <v>74</v>
      </c>
      <c r="U655" t="s">
        <v>12732</v>
      </c>
      <c r="V655" t="s">
        <v>12733</v>
      </c>
      <c r="W655" t="s">
        <v>12734</v>
      </c>
      <c r="X655" t="s">
        <v>4147</v>
      </c>
      <c r="Y655" t="s">
        <v>12735</v>
      </c>
      <c r="Z655" t="s">
        <v>12736</v>
      </c>
      <c r="AA655" t="s">
        <v>74</v>
      </c>
      <c r="AB655" t="s">
        <v>74</v>
      </c>
      <c r="AC655" t="s">
        <v>12737</v>
      </c>
      <c r="AD655" t="s">
        <v>12738</v>
      </c>
      <c r="AE655" t="s">
        <v>12739</v>
      </c>
      <c r="AF655" t="s">
        <v>74</v>
      </c>
      <c r="AG655">
        <v>71</v>
      </c>
      <c r="AH655">
        <v>1</v>
      </c>
      <c r="AI655">
        <v>1</v>
      </c>
      <c r="AJ655">
        <v>0</v>
      </c>
      <c r="AK655">
        <v>4</v>
      </c>
      <c r="AL655" t="s">
        <v>537</v>
      </c>
      <c r="AM655" t="s">
        <v>538</v>
      </c>
      <c r="AN655" t="s">
        <v>539</v>
      </c>
      <c r="AO655" t="s">
        <v>12740</v>
      </c>
      <c r="AP655" t="s">
        <v>12741</v>
      </c>
      <c r="AQ655" t="s">
        <v>74</v>
      </c>
      <c r="AR655" t="s">
        <v>12731</v>
      </c>
      <c r="AS655" t="s">
        <v>12742</v>
      </c>
      <c r="AT655" t="s">
        <v>12724</v>
      </c>
      <c r="AU655">
        <v>2023</v>
      </c>
      <c r="AV655" t="s">
        <v>74</v>
      </c>
      <c r="AW655" t="s">
        <v>74</v>
      </c>
      <c r="AX655" t="s">
        <v>74</v>
      </c>
      <c r="AY655" t="s">
        <v>74</v>
      </c>
      <c r="AZ655" t="s">
        <v>74</v>
      </c>
      <c r="BA655" t="s">
        <v>74</v>
      </c>
      <c r="BB655" t="s">
        <v>74</v>
      </c>
      <c r="BC655" t="s">
        <v>74</v>
      </c>
      <c r="BD655" t="s">
        <v>74</v>
      </c>
      <c r="BE655" t="s">
        <v>12743</v>
      </c>
      <c r="BF655" t="str">
        <f>HYPERLINK("http://dx.doi.org/10.1093/forestry/cpad028","http://dx.doi.org/10.1093/forestry/cpad028")</f>
        <v>http://dx.doi.org/10.1093/forestry/cpad028</v>
      </c>
      <c r="BG655" t="s">
        <v>74</v>
      </c>
      <c r="BH655" t="s">
        <v>10102</v>
      </c>
      <c r="BI655">
        <v>10</v>
      </c>
      <c r="BJ655" t="s">
        <v>12742</v>
      </c>
      <c r="BK655" t="s">
        <v>104</v>
      </c>
      <c r="BL655" t="s">
        <v>12742</v>
      </c>
      <c r="BM655" t="s">
        <v>12744</v>
      </c>
      <c r="BN655" t="s">
        <v>74</v>
      </c>
      <c r="BO655" t="s">
        <v>74</v>
      </c>
      <c r="BP655" t="s">
        <v>74</v>
      </c>
      <c r="BQ655" t="s">
        <v>74</v>
      </c>
      <c r="BR655" t="s">
        <v>107</v>
      </c>
      <c r="BS655" t="s">
        <v>12745</v>
      </c>
      <c r="BT655" t="str">
        <f>HYPERLINK("https%3A%2F%2Fwww.webofscience.com%2Fwos%2Fwoscc%2Ffull-record%2FWOS:001003858700001","View Full Record in Web of Science")</f>
        <v>View Full Record in Web of Science</v>
      </c>
    </row>
    <row r="656" spans="1:72" x14ac:dyDescent="0.15">
      <c r="A656" t="s">
        <v>72</v>
      </c>
      <c r="B656" t="s">
        <v>12746</v>
      </c>
      <c r="C656" t="s">
        <v>74</v>
      </c>
      <c r="D656" t="s">
        <v>74</v>
      </c>
      <c r="E656" t="s">
        <v>74</v>
      </c>
      <c r="F656" t="s">
        <v>12747</v>
      </c>
      <c r="G656" t="s">
        <v>74</v>
      </c>
      <c r="H656" t="s">
        <v>74</v>
      </c>
      <c r="I656" t="s">
        <v>12748</v>
      </c>
      <c r="J656" t="s">
        <v>3756</v>
      </c>
      <c r="K656" t="s">
        <v>74</v>
      </c>
      <c r="L656" t="s">
        <v>74</v>
      </c>
      <c r="M656" t="s">
        <v>78</v>
      </c>
      <c r="N656" t="s">
        <v>79</v>
      </c>
      <c r="O656" t="s">
        <v>74</v>
      </c>
      <c r="P656" t="s">
        <v>74</v>
      </c>
      <c r="Q656" t="s">
        <v>74</v>
      </c>
      <c r="R656" t="s">
        <v>74</v>
      </c>
      <c r="S656" t="s">
        <v>74</v>
      </c>
      <c r="T656" t="s">
        <v>12749</v>
      </c>
      <c r="U656" t="s">
        <v>12750</v>
      </c>
      <c r="V656" t="s">
        <v>12751</v>
      </c>
      <c r="W656" t="s">
        <v>12752</v>
      </c>
      <c r="X656" t="s">
        <v>12753</v>
      </c>
      <c r="Y656" t="s">
        <v>12754</v>
      </c>
      <c r="Z656" t="s">
        <v>12755</v>
      </c>
      <c r="AA656" t="s">
        <v>74</v>
      </c>
      <c r="AB656" t="s">
        <v>12756</v>
      </c>
      <c r="AC656" t="s">
        <v>12757</v>
      </c>
      <c r="AD656" t="s">
        <v>12758</v>
      </c>
      <c r="AE656" t="s">
        <v>12759</v>
      </c>
      <c r="AF656" t="s">
        <v>74</v>
      </c>
      <c r="AG656">
        <v>40</v>
      </c>
      <c r="AH656">
        <v>0</v>
      </c>
      <c r="AI656">
        <v>0</v>
      </c>
      <c r="AJ656">
        <v>5</v>
      </c>
      <c r="AK656">
        <v>7</v>
      </c>
      <c r="AL656" t="s">
        <v>298</v>
      </c>
      <c r="AM656" t="s">
        <v>299</v>
      </c>
      <c r="AN656" t="s">
        <v>300</v>
      </c>
      <c r="AO656" t="s">
        <v>3767</v>
      </c>
      <c r="AP656" t="s">
        <v>3768</v>
      </c>
      <c r="AQ656" t="s">
        <v>74</v>
      </c>
      <c r="AR656" t="s">
        <v>3769</v>
      </c>
      <c r="AS656" t="s">
        <v>3770</v>
      </c>
      <c r="AT656" t="s">
        <v>4689</v>
      </c>
      <c r="AU656">
        <v>2023</v>
      </c>
      <c r="AV656">
        <v>46</v>
      </c>
      <c r="AW656">
        <v>8</v>
      </c>
      <c r="AX656" t="s">
        <v>74</v>
      </c>
      <c r="AY656" t="s">
        <v>74</v>
      </c>
      <c r="AZ656" t="s">
        <v>74</v>
      </c>
      <c r="BA656" t="s">
        <v>74</v>
      </c>
      <c r="BB656">
        <v>801</v>
      </c>
      <c r="BC656">
        <v>807</v>
      </c>
      <c r="BD656" t="s">
        <v>74</v>
      </c>
      <c r="BE656" t="s">
        <v>12760</v>
      </c>
      <c r="BF656" t="str">
        <f>HYPERLINK("http://dx.doi.org/10.1007/s00300-023-03156-2","http://dx.doi.org/10.1007/s00300-023-03156-2")</f>
        <v>http://dx.doi.org/10.1007/s00300-023-03156-2</v>
      </c>
      <c r="BG656" t="s">
        <v>74</v>
      </c>
      <c r="BH656" t="s">
        <v>10102</v>
      </c>
      <c r="BI656">
        <v>7</v>
      </c>
      <c r="BJ656" t="s">
        <v>3772</v>
      </c>
      <c r="BK656" t="s">
        <v>104</v>
      </c>
      <c r="BL656" t="s">
        <v>1905</v>
      </c>
      <c r="BM656" t="s">
        <v>11295</v>
      </c>
      <c r="BN656" t="s">
        <v>74</v>
      </c>
      <c r="BO656" t="s">
        <v>74</v>
      </c>
      <c r="BP656" t="s">
        <v>74</v>
      </c>
      <c r="BQ656" t="s">
        <v>74</v>
      </c>
      <c r="BR656" t="s">
        <v>107</v>
      </c>
      <c r="BS656" t="s">
        <v>12761</v>
      </c>
      <c r="BT656" t="str">
        <f>HYPERLINK("https%3A%2F%2Fwww.webofscience.com%2Fwos%2Fwoscc%2Ffull-record%2FWOS:001003255000003","View Full Record in Web of Science")</f>
        <v>View Full Record in Web of Science</v>
      </c>
    </row>
    <row r="657" spans="1:72" x14ac:dyDescent="0.15">
      <c r="A657" t="s">
        <v>72</v>
      </c>
      <c r="B657" t="s">
        <v>12762</v>
      </c>
      <c r="C657" t="s">
        <v>74</v>
      </c>
      <c r="D657" t="s">
        <v>74</v>
      </c>
      <c r="E657" t="s">
        <v>74</v>
      </c>
      <c r="F657" t="s">
        <v>12763</v>
      </c>
      <c r="G657" t="s">
        <v>74</v>
      </c>
      <c r="H657" t="s">
        <v>74</v>
      </c>
      <c r="I657" t="s">
        <v>12764</v>
      </c>
      <c r="J657" t="s">
        <v>2292</v>
      </c>
      <c r="K657" t="s">
        <v>74</v>
      </c>
      <c r="L657" t="s">
        <v>74</v>
      </c>
      <c r="M657" t="s">
        <v>78</v>
      </c>
      <c r="N657" t="s">
        <v>79</v>
      </c>
      <c r="O657" t="s">
        <v>74</v>
      </c>
      <c r="P657" t="s">
        <v>74</v>
      </c>
      <c r="Q657" t="s">
        <v>74</v>
      </c>
      <c r="R657" t="s">
        <v>74</v>
      </c>
      <c r="S657" t="s">
        <v>74</v>
      </c>
      <c r="T657" t="s">
        <v>12765</v>
      </c>
      <c r="U657" t="s">
        <v>12766</v>
      </c>
      <c r="V657" t="s">
        <v>12767</v>
      </c>
      <c r="W657" t="s">
        <v>12768</v>
      </c>
      <c r="X657" t="s">
        <v>12769</v>
      </c>
      <c r="Y657" t="s">
        <v>12770</v>
      </c>
      <c r="Z657" t="s">
        <v>12771</v>
      </c>
      <c r="AA657" t="s">
        <v>74</v>
      </c>
      <c r="AB657" t="s">
        <v>12772</v>
      </c>
      <c r="AC657" t="s">
        <v>12773</v>
      </c>
      <c r="AD657" t="s">
        <v>12774</v>
      </c>
      <c r="AE657" t="s">
        <v>12775</v>
      </c>
      <c r="AF657" t="s">
        <v>74</v>
      </c>
      <c r="AG657">
        <v>98</v>
      </c>
      <c r="AH657">
        <v>1</v>
      </c>
      <c r="AI657">
        <v>1</v>
      </c>
      <c r="AJ657">
        <v>5</v>
      </c>
      <c r="AK657">
        <v>8</v>
      </c>
      <c r="AL657" t="s">
        <v>2305</v>
      </c>
      <c r="AM657" t="s">
        <v>538</v>
      </c>
      <c r="AN657" t="s">
        <v>2306</v>
      </c>
      <c r="AO657" t="s">
        <v>2307</v>
      </c>
      <c r="AP657" t="s">
        <v>2308</v>
      </c>
      <c r="AQ657" t="s">
        <v>74</v>
      </c>
      <c r="AR657" t="s">
        <v>2309</v>
      </c>
      <c r="AS657" t="s">
        <v>2310</v>
      </c>
      <c r="AT657" t="s">
        <v>3612</v>
      </c>
      <c r="AU657">
        <v>2023</v>
      </c>
      <c r="AV657">
        <v>192</v>
      </c>
      <c r="AW657" t="s">
        <v>74</v>
      </c>
      <c r="AX657" t="s">
        <v>74</v>
      </c>
      <c r="AY657" t="s">
        <v>74</v>
      </c>
      <c r="AZ657" t="s">
        <v>74</v>
      </c>
      <c r="BA657" t="s">
        <v>74</v>
      </c>
      <c r="BB657" t="s">
        <v>74</v>
      </c>
      <c r="BC657" t="s">
        <v>74</v>
      </c>
      <c r="BD657">
        <v>115104</v>
      </c>
      <c r="BE657" t="s">
        <v>12776</v>
      </c>
      <c r="BF657" t="str">
        <f>HYPERLINK("http://dx.doi.org/10.1016/j.marpolbul.2023.115104","http://dx.doi.org/10.1016/j.marpolbul.2023.115104")</f>
        <v>http://dx.doi.org/10.1016/j.marpolbul.2023.115104</v>
      </c>
      <c r="BG657" t="s">
        <v>74</v>
      </c>
      <c r="BH657" t="s">
        <v>10102</v>
      </c>
      <c r="BI657">
        <v>10</v>
      </c>
      <c r="BJ657" t="s">
        <v>1001</v>
      </c>
      <c r="BK657" t="s">
        <v>104</v>
      </c>
      <c r="BL657" t="s">
        <v>1002</v>
      </c>
      <c r="BM657" t="s">
        <v>12777</v>
      </c>
      <c r="BN657">
        <v>37301006</v>
      </c>
      <c r="BO657" t="s">
        <v>74</v>
      </c>
      <c r="BP657" t="s">
        <v>74</v>
      </c>
      <c r="BQ657" t="s">
        <v>74</v>
      </c>
      <c r="BR657" t="s">
        <v>107</v>
      </c>
      <c r="BS657" t="s">
        <v>12778</v>
      </c>
      <c r="BT657" t="str">
        <f>HYPERLINK("https%3A%2F%2Fwww.webofscience.com%2Fwos%2Fwoscc%2Ffull-record%2FWOS:001019326400001","View Full Record in Web of Science")</f>
        <v>View Full Record in Web of Science</v>
      </c>
    </row>
    <row r="658" spans="1:72" x14ac:dyDescent="0.15">
      <c r="A658" t="s">
        <v>72</v>
      </c>
      <c r="B658" t="s">
        <v>12779</v>
      </c>
      <c r="C658" t="s">
        <v>74</v>
      </c>
      <c r="D658" t="s">
        <v>74</v>
      </c>
      <c r="E658" t="s">
        <v>74</v>
      </c>
      <c r="F658" t="s">
        <v>12780</v>
      </c>
      <c r="G658" t="s">
        <v>74</v>
      </c>
      <c r="H658" t="s">
        <v>74</v>
      </c>
      <c r="I658" t="s">
        <v>12781</v>
      </c>
      <c r="J658" t="s">
        <v>2193</v>
      </c>
      <c r="K658" t="s">
        <v>74</v>
      </c>
      <c r="L658" t="s">
        <v>74</v>
      </c>
      <c r="M658" t="s">
        <v>78</v>
      </c>
      <c r="N658" t="s">
        <v>79</v>
      </c>
      <c r="O658" t="s">
        <v>74</v>
      </c>
      <c r="P658" t="s">
        <v>74</v>
      </c>
      <c r="Q658" t="s">
        <v>74</v>
      </c>
      <c r="R658" t="s">
        <v>74</v>
      </c>
      <c r="S658" t="s">
        <v>74</v>
      </c>
      <c r="T658" t="s">
        <v>74</v>
      </c>
      <c r="U658" t="s">
        <v>12782</v>
      </c>
      <c r="V658" t="s">
        <v>12783</v>
      </c>
      <c r="W658" t="s">
        <v>12784</v>
      </c>
      <c r="X658" t="s">
        <v>12785</v>
      </c>
      <c r="Y658" t="s">
        <v>12786</v>
      </c>
      <c r="Z658" t="s">
        <v>12787</v>
      </c>
      <c r="AA658" t="s">
        <v>12788</v>
      </c>
      <c r="AB658" t="s">
        <v>12789</v>
      </c>
      <c r="AC658" t="s">
        <v>12790</v>
      </c>
      <c r="AD658" t="s">
        <v>12791</v>
      </c>
      <c r="AE658" t="s">
        <v>12792</v>
      </c>
      <c r="AF658" t="s">
        <v>74</v>
      </c>
      <c r="AG658">
        <v>85</v>
      </c>
      <c r="AH658">
        <v>1</v>
      </c>
      <c r="AI658">
        <v>1</v>
      </c>
      <c r="AJ658">
        <v>4</v>
      </c>
      <c r="AK658">
        <v>9</v>
      </c>
      <c r="AL658" t="s">
        <v>146</v>
      </c>
      <c r="AM658" t="s">
        <v>147</v>
      </c>
      <c r="AN658" t="s">
        <v>148</v>
      </c>
      <c r="AO658" t="s">
        <v>2204</v>
      </c>
      <c r="AP658" t="s">
        <v>74</v>
      </c>
      <c r="AQ658" t="s">
        <v>74</v>
      </c>
      <c r="AR658" t="s">
        <v>2205</v>
      </c>
      <c r="AS658" t="s">
        <v>2206</v>
      </c>
      <c r="AT658" t="s">
        <v>12793</v>
      </c>
      <c r="AU658">
        <v>2023</v>
      </c>
      <c r="AV658">
        <v>13</v>
      </c>
      <c r="AW658">
        <v>1</v>
      </c>
      <c r="AX658" t="s">
        <v>74</v>
      </c>
      <c r="AY658" t="s">
        <v>74</v>
      </c>
      <c r="AZ658" t="s">
        <v>74</v>
      </c>
      <c r="BA658" t="s">
        <v>74</v>
      </c>
      <c r="BB658" t="s">
        <v>74</v>
      </c>
      <c r="BC658" t="s">
        <v>74</v>
      </c>
      <c r="BD658">
        <v>9340</v>
      </c>
      <c r="BE658" t="s">
        <v>12794</v>
      </c>
      <c r="BF658" t="str">
        <f>HYPERLINK("http://dx.doi.org/10.1038/s41598-023-35658-8","http://dx.doi.org/10.1038/s41598-023-35658-8")</f>
        <v>http://dx.doi.org/10.1038/s41598-023-35658-8</v>
      </c>
      <c r="BG658" t="s">
        <v>74</v>
      </c>
      <c r="BH658" t="s">
        <v>74</v>
      </c>
      <c r="BI658">
        <v>13</v>
      </c>
      <c r="BJ658" t="s">
        <v>1881</v>
      </c>
      <c r="BK658" t="s">
        <v>104</v>
      </c>
      <c r="BL658" t="s">
        <v>1882</v>
      </c>
      <c r="BM658" t="s">
        <v>12795</v>
      </c>
      <c r="BN658">
        <v>37291243</v>
      </c>
      <c r="BO658" t="s">
        <v>821</v>
      </c>
      <c r="BP658" t="s">
        <v>74</v>
      </c>
      <c r="BQ658" t="s">
        <v>74</v>
      </c>
      <c r="BR658" t="s">
        <v>107</v>
      </c>
      <c r="BS658" t="s">
        <v>12796</v>
      </c>
      <c r="BT658" t="str">
        <f>HYPERLINK("https%3A%2F%2Fwww.webofscience.com%2Fwos%2Fwoscc%2Ffull-record%2FWOS:001005311300047","View Full Record in Web of Science")</f>
        <v>View Full Record in Web of Science</v>
      </c>
    </row>
    <row r="659" spans="1:72" x14ac:dyDescent="0.15">
      <c r="A659" t="s">
        <v>72</v>
      </c>
      <c r="B659" t="s">
        <v>12797</v>
      </c>
      <c r="C659" t="s">
        <v>74</v>
      </c>
      <c r="D659" t="s">
        <v>74</v>
      </c>
      <c r="E659" t="s">
        <v>74</v>
      </c>
      <c r="F659" t="s">
        <v>12798</v>
      </c>
      <c r="G659" t="s">
        <v>74</v>
      </c>
      <c r="H659" t="s">
        <v>74</v>
      </c>
      <c r="I659" t="s">
        <v>12799</v>
      </c>
      <c r="J659" t="s">
        <v>4580</v>
      </c>
      <c r="K659" t="s">
        <v>74</v>
      </c>
      <c r="L659" t="s">
        <v>74</v>
      </c>
      <c r="M659" t="s">
        <v>78</v>
      </c>
      <c r="N659" t="s">
        <v>79</v>
      </c>
      <c r="O659" t="s">
        <v>74</v>
      </c>
      <c r="P659" t="s">
        <v>74</v>
      </c>
      <c r="Q659" t="s">
        <v>74</v>
      </c>
      <c r="R659" t="s">
        <v>74</v>
      </c>
      <c r="S659" t="s">
        <v>74</v>
      </c>
      <c r="T659" t="s">
        <v>12800</v>
      </c>
      <c r="U659" t="s">
        <v>12801</v>
      </c>
      <c r="V659" t="s">
        <v>12802</v>
      </c>
      <c r="W659" t="s">
        <v>12803</v>
      </c>
      <c r="X659" t="s">
        <v>12804</v>
      </c>
      <c r="Y659" t="s">
        <v>12805</v>
      </c>
      <c r="Z659" t="s">
        <v>12806</v>
      </c>
      <c r="AA659" t="s">
        <v>12807</v>
      </c>
      <c r="AB659" t="s">
        <v>12808</v>
      </c>
      <c r="AC659" t="s">
        <v>12809</v>
      </c>
      <c r="AD659" t="s">
        <v>12810</v>
      </c>
      <c r="AE659" t="s">
        <v>12811</v>
      </c>
      <c r="AF659" t="s">
        <v>74</v>
      </c>
      <c r="AG659">
        <v>219</v>
      </c>
      <c r="AH659">
        <v>1</v>
      </c>
      <c r="AI659">
        <v>1</v>
      </c>
      <c r="AJ659">
        <v>11</v>
      </c>
      <c r="AK659">
        <v>18</v>
      </c>
      <c r="AL659" t="s">
        <v>460</v>
      </c>
      <c r="AM659" t="s">
        <v>461</v>
      </c>
      <c r="AN659" t="s">
        <v>462</v>
      </c>
      <c r="AO659" t="s">
        <v>4593</v>
      </c>
      <c r="AP659" t="s">
        <v>4594</v>
      </c>
      <c r="AQ659" t="s">
        <v>74</v>
      </c>
      <c r="AR659" t="s">
        <v>4595</v>
      </c>
      <c r="AS659" t="s">
        <v>4596</v>
      </c>
      <c r="AT659" t="s">
        <v>97</v>
      </c>
      <c r="AU659">
        <v>2023</v>
      </c>
      <c r="AV659">
        <v>24</v>
      </c>
      <c r="AW659">
        <v>5</v>
      </c>
      <c r="AX659" t="s">
        <v>74</v>
      </c>
      <c r="AY659" t="s">
        <v>74</v>
      </c>
      <c r="AZ659" t="s">
        <v>74</v>
      </c>
      <c r="BA659" t="s">
        <v>74</v>
      </c>
      <c r="BB659">
        <v>796</v>
      </c>
      <c r="BC659">
        <v>811</v>
      </c>
      <c r="BD659" t="s">
        <v>74</v>
      </c>
      <c r="BE659" t="s">
        <v>12812</v>
      </c>
      <c r="BF659" t="str">
        <f>HYPERLINK("http://dx.doi.org/10.1111/faf.12770","http://dx.doi.org/10.1111/faf.12770")</f>
        <v>http://dx.doi.org/10.1111/faf.12770</v>
      </c>
      <c r="BG659" t="s">
        <v>74</v>
      </c>
      <c r="BH659" t="s">
        <v>10102</v>
      </c>
      <c r="BI659">
        <v>16</v>
      </c>
      <c r="BJ659" t="s">
        <v>4598</v>
      </c>
      <c r="BK659" t="s">
        <v>104</v>
      </c>
      <c r="BL659" t="s">
        <v>4598</v>
      </c>
      <c r="BM659" t="s">
        <v>12813</v>
      </c>
      <c r="BN659" t="s">
        <v>74</v>
      </c>
      <c r="BO659" t="s">
        <v>549</v>
      </c>
      <c r="BP659" t="s">
        <v>74</v>
      </c>
      <c r="BQ659" t="s">
        <v>74</v>
      </c>
      <c r="BR659" t="s">
        <v>107</v>
      </c>
      <c r="BS659" t="s">
        <v>12814</v>
      </c>
      <c r="BT659" t="str">
        <f>HYPERLINK("https%3A%2F%2Fwww.webofscience.com%2Fwos%2Fwoscc%2Ffull-record%2FWOS:001004230800001","View Full Record in Web of Science")</f>
        <v>View Full Record in Web of Science</v>
      </c>
    </row>
    <row r="660" spans="1:72" x14ac:dyDescent="0.15">
      <c r="A660" t="s">
        <v>72</v>
      </c>
      <c r="B660" t="s">
        <v>12815</v>
      </c>
      <c r="C660" t="s">
        <v>74</v>
      </c>
      <c r="D660" t="s">
        <v>74</v>
      </c>
      <c r="E660" t="s">
        <v>74</v>
      </c>
      <c r="F660" t="s">
        <v>12816</v>
      </c>
      <c r="G660" t="s">
        <v>74</v>
      </c>
      <c r="H660" t="s">
        <v>74</v>
      </c>
      <c r="I660" t="s">
        <v>12817</v>
      </c>
      <c r="J660" t="s">
        <v>12818</v>
      </c>
      <c r="K660" t="s">
        <v>74</v>
      </c>
      <c r="L660" t="s">
        <v>74</v>
      </c>
      <c r="M660" t="s">
        <v>78</v>
      </c>
      <c r="N660" t="s">
        <v>79</v>
      </c>
      <c r="O660" t="s">
        <v>74</v>
      </c>
      <c r="P660" t="s">
        <v>74</v>
      </c>
      <c r="Q660" t="s">
        <v>74</v>
      </c>
      <c r="R660" t="s">
        <v>74</v>
      </c>
      <c r="S660" t="s">
        <v>74</v>
      </c>
      <c r="T660" t="s">
        <v>12819</v>
      </c>
      <c r="U660" t="s">
        <v>12820</v>
      </c>
      <c r="V660" t="s">
        <v>12821</v>
      </c>
      <c r="W660" t="s">
        <v>12822</v>
      </c>
      <c r="X660" t="s">
        <v>12823</v>
      </c>
      <c r="Y660" t="s">
        <v>12824</v>
      </c>
      <c r="Z660" t="s">
        <v>12825</v>
      </c>
      <c r="AA660" t="s">
        <v>74</v>
      </c>
      <c r="AB660" t="s">
        <v>74</v>
      </c>
      <c r="AC660" t="s">
        <v>74</v>
      </c>
      <c r="AD660" t="s">
        <v>74</v>
      </c>
      <c r="AE660" t="s">
        <v>74</v>
      </c>
      <c r="AF660" t="s">
        <v>74</v>
      </c>
      <c r="AG660">
        <v>86</v>
      </c>
      <c r="AH660">
        <v>1</v>
      </c>
      <c r="AI660">
        <v>1</v>
      </c>
      <c r="AJ660">
        <v>6</v>
      </c>
      <c r="AK660">
        <v>9</v>
      </c>
      <c r="AL660" t="s">
        <v>2305</v>
      </c>
      <c r="AM660" t="s">
        <v>538</v>
      </c>
      <c r="AN660" t="s">
        <v>2306</v>
      </c>
      <c r="AO660" t="s">
        <v>12826</v>
      </c>
      <c r="AP660" t="s">
        <v>12827</v>
      </c>
      <c r="AQ660" t="s">
        <v>74</v>
      </c>
      <c r="AR660" t="s">
        <v>12828</v>
      </c>
      <c r="AS660" t="s">
        <v>12829</v>
      </c>
      <c r="AT660" t="s">
        <v>2486</v>
      </c>
      <c r="AU660">
        <v>2023</v>
      </c>
      <c r="AV660">
        <v>254</v>
      </c>
      <c r="AW660" t="s">
        <v>74</v>
      </c>
      <c r="AX660" t="s">
        <v>74</v>
      </c>
      <c r="AY660" t="s">
        <v>74</v>
      </c>
      <c r="AZ660" t="s">
        <v>74</v>
      </c>
      <c r="BA660" t="s">
        <v>74</v>
      </c>
      <c r="BB660" t="s">
        <v>74</v>
      </c>
      <c r="BC660" t="s">
        <v>74</v>
      </c>
      <c r="BD660">
        <v>105741</v>
      </c>
      <c r="BE660" t="s">
        <v>12830</v>
      </c>
      <c r="BF660" t="str">
        <f>HYPERLINK("http://dx.doi.org/10.1016/j.jseaes.2023.105741","http://dx.doi.org/10.1016/j.jseaes.2023.105741")</f>
        <v>http://dx.doi.org/10.1016/j.jseaes.2023.105741</v>
      </c>
      <c r="BG660" t="s">
        <v>74</v>
      </c>
      <c r="BH660" t="s">
        <v>10102</v>
      </c>
      <c r="BI660">
        <v>14</v>
      </c>
      <c r="BJ660" t="s">
        <v>155</v>
      </c>
      <c r="BK660" t="s">
        <v>104</v>
      </c>
      <c r="BL660" t="s">
        <v>156</v>
      </c>
      <c r="BM660" t="s">
        <v>12831</v>
      </c>
      <c r="BN660" t="s">
        <v>74</v>
      </c>
      <c r="BO660" t="s">
        <v>74</v>
      </c>
      <c r="BP660" t="s">
        <v>74</v>
      </c>
      <c r="BQ660" t="s">
        <v>74</v>
      </c>
      <c r="BR660" t="s">
        <v>107</v>
      </c>
      <c r="BS660" t="s">
        <v>12832</v>
      </c>
      <c r="BT660" t="str">
        <f>HYPERLINK("https%3A%2F%2Fwww.webofscience.com%2Fwos%2Fwoscc%2Ffull-record%2FWOS:001016641600001","View Full Record in Web of Science")</f>
        <v>View Full Record in Web of Science</v>
      </c>
    </row>
    <row r="661" spans="1:72" x14ac:dyDescent="0.15">
      <c r="A661" t="s">
        <v>72</v>
      </c>
      <c r="B661" t="s">
        <v>12833</v>
      </c>
      <c r="C661" t="s">
        <v>74</v>
      </c>
      <c r="D661" t="s">
        <v>74</v>
      </c>
      <c r="E661" t="s">
        <v>74</v>
      </c>
      <c r="F661" t="s">
        <v>12834</v>
      </c>
      <c r="G661" t="s">
        <v>74</v>
      </c>
      <c r="H661" t="s">
        <v>74</v>
      </c>
      <c r="I661" t="s">
        <v>12835</v>
      </c>
      <c r="J661" t="s">
        <v>3756</v>
      </c>
      <c r="K661" t="s">
        <v>74</v>
      </c>
      <c r="L661" t="s">
        <v>74</v>
      </c>
      <c r="M661" t="s">
        <v>78</v>
      </c>
      <c r="N661" t="s">
        <v>79</v>
      </c>
      <c r="O661" t="s">
        <v>74</v>
      </c>
      <c r="P661" t="s">
        <v>74</v>
      </c>
      <c r="Q661" t="s">
        <v>74</v>
      </c>
      <c r="R661" t="s">
        <v>74</v>
      </c>
      <c r="S661" t="s">
        <v>74</v>
      </c>
      <c r="T661" t="s">
        <v>12836</v>
      </c>
      <c r="U661" t="s">
        <v>12837</v>
      </c>
      <c r="V661" t="s">
        <v>12838</v>
      </c>
      <c r="W661" t="s">
        <v>12839</v>
      </c>
      <c r="X661" t="s">
        <v>12840</v>
      </c>
      <c r="Y661" t="s">
        <v>12841</v>
      </c>
      <c r="Z661" t="s">
        <v>12842</v>
      </c>
      <c r="AA661" t="s">
        <v>74</v>
      </c>
      <c r="AB661" t="s">
        <v>12843</v>
      </c>
      <c r="AC661" t="s">
        <v>74</v>
      </c>
      <c r="AD661" t="s">
        <v>74</v>
      </c>
      <c r="AE661" t="s">
        <v>74</v>
      </c>
      <c r="AF661" t="s">
        <v>74</v>
      </c>
      <c r="AG661">
        <v>65</v>
      </c>
      <c r="AH661">
        <v>2</v>
      </c>
      <c r="AI661">
        <v>2</v>
      </c>
      <c r="AJ661">
        <v>3</v>
      </c>
      <c r="AK661">
        <v>7</v>
      </c>
      <c r="AL661" t="s">
        <v>298</v>
      </c>
      <c r="AM661" t="s">
        <v>299</v>
      </c>
      <c r="AN661" t="s">
        <v>300</v>
      </c>
      <c r="AO661" t="s">
        <v>3767</v>
      </c>
      <c r="AP661" t="s">
        <v>3768</v>
      </c>
      <c r="AQ661" t="s">
        <v>74</v>
      </c>
      <c r="AR661" t="s">
        <v>3769</v>
      </c>
      <c r="AS661" t="s">
        <v>3770</v>
      </c>
      <c r="AT661" t="s">
        <v>4689</v>
      </c>
      <c r="AU661">
        <v>2023</v>
      </c>
      <c r="AV661">
        <v>46</v>
      </c>
      <c r="AW661">
        <v>8</v>
      </c>
      <c r="AX661" t="s">
        <v>74</v>
      </c>
      <c r="AY661" t="s">
        <v>74</v>
      </c>
      <c r="AZ661" t="s">
        <v>74</v>
      </c>
      <c r="BA661" t="s">
        <v>74</v>
      </c>
      <c r="BB661">
        <v>707</v>
      </c>
      <c r="BC661">
        <v>718</v>
      </c>
      <c r="BD661" t="s">
        <v>74</v>
      </c>
      <c r="BE661" t="s">
        <v>12844</v>
      </c>
      <c r="BF661" t="str">
        <f>HYPERLINK("http://dx.doi.org/10.1007/s00300-023-03148-2","http://dx.doi.org/10.1007/s00300-023-03148-2")</f>
        <v>http://dx.doi.org/10.1007/s00300-023-03148-2</v>
      </c>
      <c r="BG661" t="s">
        <v>74</v>
      </c>
      <c r="BH661" t="s">
        <v>10102</v>
      </c>
      <c r="BI661">
        <v>12</v>
      </c>
      <c r="BJ661" t="s">
        <v>3772</v>
      </c>
      <c r="BK661" t="s">
        <v>104</v>
      </c>
      <c r="BL661" t="s">
        <v>1905</v>
      </c>
      <c r="BM661" t="s">
        <v>11295</v>
      </c>
      <c r="BN661" t="s">
        <v>74</v>
      </c>
      <c r="BO661" t="s">
        <v>74</v>
      </c>
      <c r="BP661" t="s">
        <v>74</v>
      </c>
      <c r="BQ661" t="s">
        <v>74</v>
      </c>
      <c r="BR661" t="s">
        <v>107</v>
      </c>
      <c r="BS661" t="s">
        <v>12845</v>
      </c>
      <c r="BT661" t="str">
        <f>HYPERLINK("https%3A%2F%2Fwww.webofscience.com%2Fwos%2Fwoscc%2Ffull-record%2FWOS:001003255000001","View Full Record in Web of Science")</f>
        <v>View Full Record in Web of Science</v>
      </c>
    </row>
    <row r="662" spans="1:72" x14ac:dyDescent="0.15">
      <c r="A662" t="s">
        <v>72</v>
      </c>
      <c r="B662" t="s">
        <v>12846</v>
      </c>
      <c r="C662" t="s">
        <v>74</v>
      </c>
      <c r="D662" t="s">
        <v>74</v>
      </c>
      <c r="E662" t="s">
        <v>74</v>
      </c>
      <c r="F662" t="s">
        <v>12847</v>
      </c>
      <c r="G662" t="s">
        <v>74</v>
      </c>
      <c r="H662" t="s">
        <v>74</v>
      </c>
      <c r="I662" t="s">
        <v>12848</v>
      </c>
      <c r="J662" t="s">
        <v>3756</v>
      </c>
      <c r="K662" t="s">
        <v>74</v>
      </c>
      <c r="L662" t="s">
        <v>74</v>
      </c>
      <c r="M662" t="s">
        <v>78</v>
      </c>
      <c r="N662" t="s">
        <v>79</v>
      </c>
      <c r="O662" t="s">
        <v>74</v>
      </c>
      <c r="P662" t="s">
        <v>74</v>
      </c>
      <c r="Q662" t="s">
        <v>74</v>
      </c>
      <c r="R662" t="s">
        <v>74</v>
      </c>
      <c r="S662" t="s">
        <v>74</v>
      </c>
      <c r="T662" t="s">
        <v>12849</v>
      </c>
      <c r="U662" t="s">
        <v>12850</v>
      </c>
      <c r="V662" t="s">
        <v>12851</v>
      </c>
      <c r="W662" t="s">
        <v>12852</v>
      </c>
      <c r="X662" t="s">
        <v>12853</v>
      </c>
      <c r="Y662" t="s">
        <v>12854</v>
      </c>
      <c r="Z662" t="s">
        <v>12855</v>
      </c>
      <c r="AA662" t="s">
        <v>12856</v>
      </c>
      <c r="AB662" t="s">
        <v>12857</v>
      </c>
      <c r="AC662" t="s">
        <v>12858</v>
      </c>
      <c r="AD662" t="s">
        <v>12859</v>
      </c>
      <c r="AE662" t="s">
        <v>12860</v>
      </c>
      <c r="AF662" t="s">
        <v>74</v>
      </c>
      <c r="AG662">
        <v>85</v>
      </c>
      <c r="AH662">
        <v>0</v>
      </c>
      <c r="AI662">
        <v>0</v>
      </c>
      <c r="AJ662">
        <v>9</v>
      </c>
      <c r="AK662">
        <v>17</v>
      </c>
      <c r="AL662" t="s">
        <v>298</v>
      </c>
      <c r="AM662" t="s">
        <v>299</v>
      </c>
      <c r="AN662" t="s">
        <v>300</v>
      </c>
      <c r="AO662" t="s">
        <v>3767</v>
      </c>
      <c r="AP662" t="s">
        <v>3768</v>
      </c>
      <c r="AQ662" t="s">
        <v>74</v>
      </c>
      <c r="AR662" t="s">
        <v>3769</v>
      </c>
      <c r="AS662" t="s">
        <v>3770</v>
      </c>
      <c r="AT662" t="s">
        <v>4689</v>
      </c>
      <c r="AU662">
        <v>2023</v>
      </c>
      <c r="AV662">
        <v>46</v>
      </c>
      <c r="AW662">
        <v>8</v>
      </c>
      <c r="AX662" t="s">
        <v>74</v>
      </c>
      <c r="AY662" t="s">
        <v>74</v>
      </c>
      <c r="AZ662" t="s">
        <v>74</v>
      </c>
      <c r="BA662" t="s">
        <v>74</v>
      </c>
      <c r="BB662">
        <v>719</v>
      </c>
      <c r="BC662">
        <v>735</v>
      </c>
      <c r="BD662" t="s">
        <v>74</v>
      </c>
      <c r="BE662" t="s">
        <v>12861</v>
      </c>
      <c r="BF662" t="str">
        <f>HYPERLINK("http://dx.doi.org/10.1007/s00300-023-03157-1","http://dx.doi.org/10.1007/s00300-023-03157-1")</f>
        <v>http://dx.doi.org/10.1007/s00300-023-03157-1</v>
      </c>
      <c r="BG662" t="s">
        <v>74</v>
      </c>
      <c r="BH662" t="s">
        <v>10102</v>
      </c>
      <c r="BI662">
        <v>17</v>
      </c>
      <c r="BJ662" t="s">
        <v>3772</v>
      </c>
      <c r="BK662" t="s">
        <v>104</v>
      </c>
      <c r="BL662" t="s">
        <v>1905</v>
      </c>
      <c r="BM662" t="s">
        <v>11295</v>
      </c>
      <c r="BN662" t="s">
        <v>74</v>
      </c>
      <c r="BO662" t="s">
        <v>74</v>
      </c>
      <c r="BP662" t="s">
        <v>74</v>
      </c>
      <c r="BQ662" t="s">
        <v>74</v>
      </c>
      <c r="BR662" t="s">
        <v>107</v>
      </c>
      <c r="BS662" t="s">
        <v>12862</v>
      </c>
      <c r="BT662" t="str">
        <f>HYPERLINK("https%3A%2F%2Fwww.webofscience.com%2Fwos%2Fwoscc%2Ffull-record%2FWOS:001003255000002","View Full Record in Web of Science")</f>
        <v>View Full Record in Web of Science</v>
      </c>
    </row>
    <row r="663" spans="1:72" x14ac:dyDescent="0.15">
      <c r="A663" t="s">
        <v>72</v>
      </c>
      <c r="B663" t="s">
        <v>12863</v>
      </c>
      <c r="C663" t="s">
        <v>74</v>
      </c>
      <c r="D663" t="s">
        <v>74</v>
      </c>
      <c r="E663" t="s">
        <v>74</v>
      </c>
      <c r="F663" t="s">
        <v>12864</v>
      </c>
      <c r="G663" t="s">
        <v>74</v>
      </c>
      <c r="H663" t="s">
        <v>74</v>
      </c>
      <c r="I663" t="s">
        <v>12865</v>
      </c>
      <c r="J663" t="s">
        <v>4165</v>
      </c>
      <c r="K663" t="s">
        <v>74</v>
      </c>
      <c r="L663" t="s">
        <v>74</v>
      </c>
      <c r="M663" t="s">
        <v>78</v>
      </c>
      <c r="N663" t="s">
        <v>79</v>
      </c>
      <c r="O663" t="s">
        <v>74</v>
      </c>
      <c r="P663" t="s">
        <v>74</v>
      </c>
      <c r="Q663" t="s">
        <v>74</v>
      </c>
      <c r="R663" t="s">
        <v>74</v>
      </c>
      <c r="S663" t="s">
        <v>74</v>
      </c>
      <c r="T663" t="s">
        <v>74</v>
      </c>
      <c r="U663" t="s">
        <v>12866</v>
      </c>
      <c r="V663" t="s">
        <v>12867</v>
      </c>
      <c r="W663" t="s">
        <v>12868</v>
      </c>
      <c r="X663" t="s">
        <v>12869</v>
      </c>
      <c r="Y663" t="s">
        <v>12870</v>
      </c>
      <c r="Z663" t="s">
        <v>12871</v>
      </c>
      <c r="AA663" t="s">
        <v>12872</v>
      </c>
      <c r="AB663" t="s">
        <v>12873</v>
      </c>
      <c r="AC663" t="s">
        <v>12874</v>
      </c>
      <c r="AD663" t="s">
        <v>12875</v>
      </c>
      <c r="AE663" t="s">
        <v>12876</v>
      </c>
      <c r="AF663" t="s">
        <v>74</v>
      </c>
      <c r="AG663">
        <v>75</v>
      </c>
      <c r="AH663">
        <v>0</v>
      </c>
      <c r="AI663">
        <v>0</v>
      </c>
      <c r="AJ663">
        <v>3</v>
      </c>
      <c r="AK663">
        <v>7</v>
      </c>
      <c r="AL663" t="s">
        <v>1775</v>
      </c>
      <c r="AM663" t="s">
        <v>1776</v>
      </c>
      <c r="AN663" t="s">
        <v>1777</v>
      </c>
      <c r="AO663" t="s">
        <v>4177</v>
      </c>
      <c r="AP663" t="s">
        <v>4178</v>
      </c>
      <c r="AQ663" t="s">
        <v>74</v>
      </c>
      <c r="AR663" t="s">
        <v>4179</v>
      </c>
      <c r="AS663" t="s">
        <v>4180</v>
      </c>
      <c r="AT663" t="s">
        <v>12793</v>
      </c>
      <c r="AU663">
        <v>2023</v>
      </c>
      <c r="AV663">
        <v>16</v>
      </c>
      <c r="AW663">
        <v>11</v>
      </c>
      <c r="AX663" t="s">
        <v>74</v>
      </c>
      <c r="AY663" t="s">
        <v>74</v>
      </c>
      <c r="AZ663" t="s">
        <v>74</v>
      </c>
      <c r="BA663" t="s">
        <v>74</v>
      </c>
      <c r="BB663">
        <v>3203</v>
      </c>
      <c r="BC663">
        <v>3219</v>
      </c>
      <c r="BD663" t="s">
        <v>74</v>
      </c>
      <c r="BE663" t="s">
        <v>12877</v>
      </c>
      <c r="BF663" t="str">
        <f>HYPERLINK("http://dx.doi.org/10.5194/gmd-16-3203-2023","http://dx.doi.org/10.5194/gmd-16-3203-2023")</f>
        <v>http://dx.doi.org/10.5194/gmd-16-3203-2023</v>
      </c>
      <c r="BG663" t="s">
        <v>74</v>
      </c>
      <c r="BH663" t="s">
        <v>74</v>
      </c>
      <c r="BI663">
        <v>17</v>
      </c>
      <c r="BJ663" t="s">
        <v>155</v>
      </c>
      <c r="BK663" t="s">
        <v>104</v>
      </c>
      <c r="BL663" t="s">
        <v>156</v>
      </c>
      <c r="BM663" t="s">
        <v>12878</v>
      </c>
      <c r="BN663" t="s">
        <v>74</v>
      </c>
      <c r="BO663" t="s">
        <v>181</v>
      </c>
      <c r="BP663" t="s">
        <v>74</v>
      </c>
      <c r="BQ663" t="s">
        <v>74</v>
      </c>
      <c r="BR663" t="s">
        <v>107</v>
      </c>
      <c r="BS663" t="s">
        <v>12879</v>
      </c>
      <c r="BT663" t="str">
        <f>HYPERLINK("https%3A%2F%2Fwww.webofscience.com%2Fwos%2Fwoscc%2Ffull-record%2FWOS:001004250100001","View Full Record in Web of Science")</f>
        <v>View Full Record in Web of Science</v>
      </c>
    </row>
    <row r="664" spans="1:72" x14ac:dyDescent="0.15">
      <c r="A664" t="s">
        <v>72</v>
      </c>
      <c r="B664" t="s">
        <v>12880</v>
      </c>
      <c r="C664" t="s">
        <v>74</v>
      </c>
      <c r="D664" t="s">
        <v>74</v>
      </c>
      <c r="E664" t="s">
        <v>74</v>
      </c>
      <c r="F664" t="s">
        <v>12881</v>
      </c>
      <c r="G664" t="s">
        <v>74</v>
      </c>
      <c r="H664" t="s">
        <v>74</v>
      </c>
      <c r="I664" t="s">
        <v>12882</v>
      </c>
      <c r="J664" t="s">
        <v>6909</v>
      </c>
      <c r="K664" t="s">
        <v>74</v>
      </c>
      <c r="L664" t="s">
        <v>74</v>
      </c>
      <c r="M664" t="s">
        <v>78</v>
      </c>
      <c r="N664" t="s">
        <v>79</v>
      </c>
      <c r="O664" t="s">
        <v>74</v>
      </c>
      <c r="P664" t="s">
        <v>74</v>
      </c>
      <c r="Q664" t="s">
        <v>74</v>
      </c>
      <c r="R664" t="s">
        <v>74</v>
      </c>
      <c r="S664" t="s">
        <v>74</v>
      </c>
      <c r="T664" t="s">
        <v>12883</v>
      </c>
      <c r="U664" t="s">
        <v>12884</v>
      </c>
      <c r="V664" t="s">
        <v>12885</v>
      </c>
      <c r="W664" t="s">
        <v>12886</v>
      </c>
      <c r="X664" t="s">
        <v>11434</v>
      </c>
      <c r="Y664" t="s">
        <v>275</v>
      </c>
      <c r="Z664" t="s">
        <v>12887</v>
      </c>
      <c r="AA664" t="s">
        <v>12888</v>
      </c>
      <c r="AB664" t="s">
        <v>12889</v>
      </c>
      <c r="AC664" t="s">
        <v>12890</v>
      </c>
      <c r="AD664" t="s">
        <v>12891</v>
      </c>
      <c r="AE664" t="s">
        <v>12892</v>
      </c>
      <c r="AF664" t="s">
        <v>74</v>
      </c>
      <c r="AG664">
        <v>69</v>
      </c>
      <c r="AH664">
        <v>0</v>
      </c>
      <c r="AI664">
        <v>0</v>
      </c>
      <c r="AJ664">
        <v>1</v>
      </c>
      <c r="AK664">
        <v>11</v>
      </c>
      <c r="AL664" t="s">
        <v>460</v>
      </c>
      <c r="AM664" t="s">
        <v>461</v>
      </c>
      <c r="AN664" t="s">
        <v>462</v>
      </c>
      <c r="AO664" t="s">
        <v>6922</v>
      </c>
      <c r="AP664" t="s">
        <v>6923</v>
      </c>
      <c r="AQ664" t="s">
        <v>74</v>
      </c>
      <c r="AR664" t="s">
        <v>6924</v>
      </c>
      <c r="AS664" t="s">
        <v>6925</v>
      </c>
      <c r="AT664" t="s">
        <v>97</v>
      </c>
      <c r="AU664">
        <v>2023</v>
      </c>
      <c r="AV664">
        <v>103</v>
      </c>
      <c r="AW664">
        <v>3</v>
      </c>
      <c r="AX664" t="s">
        <v>74</v>
      </c>
      <c r="AY664" t="s">
        <v>74</v>
      </c>
      <c r="AZ664" t="s">
        <v>74</v>
      </c>
      <c r="BA664" t="s">
        <v>74</v>
      </c>
      <c r="BB664">
        <v>460</v>
      </c>
      <c r="BC664">
        <v>471</v>
      </c>
      <c r="BD664" t="s">
        <v>74</v>
      </c>
      <c r="BE664" t="s">
        <v>12893</v>
      </c>
      <c r="BF664" t="str">
        <f>HYPERLINK("http://dx.doi.org/10.1111/jfb.15461","http://dx.doi.org/10.1111/jfb.15461")</f>
        <v>http://dx.doi.org/10.1111/jfb.15461</v>
      </c>
      <c r="BG664" t="s">
        <v>74</v>
      </c>
      <c r="BH664" t="s">
        <v>10102</v>
      </c>
      <c r="BI664">
        <v>12</v>
      </c>
      <c r="BJ664" t="s">
        <v>1757</v>
      </c>
      <c r="BK664" t="s">
        <v>104</v>
      </c>
      <c r="BL664" t="s">
        <v>1757</v>
      </c>
      <c r="BM664" t="s">
        <v>12894</v>
      </c>
      <c r="BN664">
        <v>37222289</v>
      </c>
      <c r="BO664" t="s">
        <v>74</v>
      </c>
      <c r="BP664" t="s">
        <v>74</v>
      </c>
      <c r="BQ664" t="s">
        <v>74</v>
      </c>
      <c r="BR664" t="s">
        <v>107</v>
      </c>
      <c r="BS664" t="s">
        <v>12895</v>
      </c>
      <c r="BT664" t="str">
        <f>HYPERLINK("https%3A%2F%2Fwww.webofscience.com%2Fwos%2Fwoscc%2Ffull-record%2FWOS:001007088200001","View Full Record in Web of Science")</f>
        <v>View Full Record in Web of Science</v>
      </c>
    </row>
    <row r="665" spans="1:72" x14ac:dyDescent="0.15">
      <c r="A665" t="s">
        <v>72</v>
      </c>
      <c r="B665" t="s">
        <v>12896</v>
      </c>
      <c r="C665" t="s">
        <v>74</v>
      </c>
      <c r="D665" t="s">
        <v>74</v>
      </c>
      <c r="E665" t="s">
        <v>74</v>
      </c>
      <c r="F665" t="s">
        <v>12897</v>
      </c>
      <c r="G665" t="s">
        <v>74</v>
      </c>
      <c r="H665" t="s">
        <v>74</v>
      </c>
      <c r="I665" t="s">
        <v>12898</v>
      </c>
      <c r="J665" t="s">
        <v>7978</v>
      </c>
      <c r="K665" t="s">
        <v>74</v>
      </c>
      <c r="L665" t="s">
        <v>74</v>
      </c>
      <c r="M665" t="s">
        <v>78</v>
      </c>
      <c r="N665" t="s">
        <v>79</v>
      </c>
      <c r="O665" t="s">
        <v>74</v>
      </c>
      <c r="P665" t="s">
        <v>74</v>
      </c>
      <c r="Q665" t="s">
        <v>74</v>
      </c>
      <c r="R665" t="s">
        <v>74</v>
      </c>
      <c r="S665" t="s">
        <v>74</v>
      </c>
      <c r="T665" t="s">
        <v>12899</v>
      </c>
      <c r="U665" t="s">
        <v>12900</v>
      </c>
      <c r="V665" t="s">
        <v>12901</v>
      </c>
      <c r="W665" t="s">
        <v>12902</v>
      </c>
      <c r="X665" t="s">
        <v>12903</v>
      </c>
      <c r="Y665" t="s">
        <v>12904</v>
      </c>
      <c r="Z665" t="s">
        <v>12905</v>
      </c>
      <c r="AA665" t="s">
        <v>12906</v>
      </c>
      <c r="AB665" t="s">
        <v>12907</v>
      </c>
      <c r="AC665" t="s">
        <v>12908</v>
      </c>
      <c r="AD665" t="s">
        <v>12909</v>
      </c>
      <c r="AE665" t="s">
        <v>12910</v>
      </c>
      <c r="AF665" t="s">
        <v>74</v>
      </c>
      <c r="AG665">
        <v>52</v>
      </c>
      <c r="AH665">
        <v>0</v>
      </c>
      <c r="AI665">
        <v>0</v>
      </c>
      <c r="AJ665">
        <v>0</v>
      </c>
      <c r="AK665">
        <v>1</v>
      </c>
      <c r="AL665" t="s">
        <v>1803</v>
      </c>
      <c r="AM665" t="s">
        <v>1804</v>
      </c>
      <c r="AN665" t="s">
        <v>1805</v>
      </c>
      <c r="AO665" t="s">
        <v>7990</v>
      </c>
      <c r="AP665" t="s">
        <v>7991</v>
      </c>
      <c r="AQ665" t="s">
        <v>74</v>
      </c>
      <c r="AR665" t="s">
        <v>7992</v>
      </c>
      <c r="AS665" t="s">
        <v>7993</v>
      </c>
      <c r="AT665" t="s">
        <v>97</v>
      </c>
      <c r="AU665">
        <v>2022</v>
      </c>
      <c r="AV665">
        <v>63</v>
      </c>
      <c r="AW665" t="s">
        <v>7994</v>
      </c>
      <c r="AX665" t="s">
        <v>74</v>
      </c>
      <c r="AY665" t="s">
        <v>74</v>
      </c>
      <c r="AZ665" t="s">
        <v>74</v>
      </c>
      <c r="BA665" t="s">
        <v>74</v>
      </c>
      <c r="BB665">
        <v>132</v>
      </c>
      <c r="BC665">
        <v>136</v>
      </c>
      <c r="BD665" t="s">
        <v>12911</v>
      </c>
      <c r="BE665" t="s">
        <v>12912</v>
      </c>
      <c r="BF665" t="str">
        <f>HYPERLINK("http://dx.doi.org/10.1017/aog.2023.41","http://dx.doi.org/10.1017/aog.2023.41")</f>
        <v>http://dx.doi.org/10.1017/aog.2023.41</v>
      </c>
      <c r="BG665" t="s">
        <v>74</v>
      </c>
      <c r="BH665" t="s">
        <v>10102</v>
      </c>
      <c r="BI665">
        <v>5</v>
      </c>
      <c r="BJ665" t="s">
        <v>1783</v>
      </c>
      <c r="BK665" t="s">
        <v>104</v>
      </c>
      <c r="BL665" t="s">
        <v>1784</v>
      </c>
      <c r="BM665" t="s">
        <v>7996</v>
      </c>
      <c r="BN665" t="s">
        <v>74</v>
      </c>
      <c r="BO665" t="s">
        <v>821</v>
      </c>
      <c r="BP665" t="s">
        <v>74</v>
      </c>
      <c r="BQ665" t="s">
        <v>74</v>
      </c>
      <c r="BR665" t="s">
        <v>107</v>
      </c>
      <c r="BS665" t="s">
        <v>12913</v>
      </c>
      <c r="BT665" t="str">
        <f>HYPERLINK("https%3A%2F%2Fwww.webofscience.com%2Fwos%2Fwoscc%2Ffull-record%2FWOS:001007756600001","View Full Record in Web of Science")</f>
        <v>View Full Record in Web of Science</v>
      </c>
    </row>
    <row r="666" spans="1:72" x14ac:dyDescent="0.15">
      <c r="A666" t="s">
        <v>72</v>
      </c>
      <c r="B666" t="s">
        <v>12914</v>
      </c>
      <c r="C666" t="s">
        <v>74</v>
      </c>
      <c r="D666" t="s">
        <v>74</v>
      </c>
      <c r="E666" t="s">
        <v>74</v>
      </c>
      <c r="F666" t="s">
        <v>12915</v>
      </c>
      <c r="G666" t="s">
        <v>74</v>
      </c>
      <c r="H666" t="s">
        <v>74</v>
      </c>
      <c r="I666" t="s">
        <v>12916</v>
      </c>
      <c r="J666" t="s">
        <v>12917</v>
      </c>
      <c r="K666" t="s">
        <v>74</v>
      </c>
      <c r="L666" t="s">
        <v>74</v>
      </c>
      <c r="M666" t="s">
        <v>78</v>
      </c>
      <c r="N666" t="s">
        <v>79</v>
      </c>
      <c r="O666" t="s">
        <v>74</v>
      </c>
      <c r="P666" t="s">
        <v>74</v>
      </c>
      <c r="Q666" t="s">
        <v>74</v>
      </c>
      <c r="R666" t="s">
        <v>74</v>
      </c>
      <c r="S666" t="s">
        <v>74</v>
      </c>
      <c r="T666" t="s">
        <v>12918</v>
      </c>
      <c r="U666" t="s">
        <v>12919</v>
      </c>
      <c r="V666" t="s">
        <v>12920</v>
      </c>
      <c r="W666" t="s">
        <v>12921</v>
      </c>
      <c r="X666" t="s">
        <v>12922</v>
      </c>
      <c r="Y666" t="s">
        <v>12923</v>
      </c>
      <c r="Z666" t="s">
        <v>12924</v>
      </c>
      <c r="AA666" t="s">
        <v>12925</v>
      </c>
      <c r="AB666" t="s">
        <v>12926</v>
      </c>
      <c r="AC666" t="s">
        <v>12927</v>
      </c>
      <c r="AD666" t="s">
        <v>74</v>
      </c>
      <c r="AE666" t="s">
        <v>12928</v>
      </c>
      <c r="AF666" t="s">
        <v>74</v>
      </c>
      <c r="AG666">
        <v>53</v>
      </c>
      <c r="AH666">
        <v>2</v>
      </c>
      <c r="AI666">
        <v>2</v>
      </c>
      <c r="AJ666">
        <v>1</v>
      </c>
      <c r="AK666">
        <v>1</v>
      </c>
      <c r="AL666" t="s">
        <v>12929</v>
      </c>
      <c r="AM666" t="s">
        <v>12930</v>
      </c>
      <c r="AN666" t="s">
        <v>12931</v>
      </c>
      <c r="AO666" t="s">
        <v>12932</v>
      </c>
      <c r="AP666" t="s">
        <v>12933</v>
      </c>
      <c r="AQ666" t="s">
        <v>74</v>
      </c>
      <c r="AR666" t="s">
        <v>12934</v>
      </c>
      <c r="AS666" t="s">
        <v>12935</v>
      </c>
      <c r="AT666" t="s">
        <v>1394</v>
      </c>
      <c r="AU666">
        <v>2023</v>
      </c>
      <c r="AV666">
        <v>64</v>
      </c>
      <c r="AW666">
        <v>4</v>
      </c>
      <c r="AX666" t="s">
        <v>74</v>
      </c>
      <c r="AY666" t="s">
        <v>74</v>
      </c>
      <c r="AZ666" t="s">
        <v>74</v>
      </c>
      <c r="BA666" t="s">
        <v>74</v>
      </c>
      <c r="BB666">
        <v>367</v>
      </c>
      <c r="BC666">
        <v>386</v>
      </c>
      <c r="BD666" t="s">
        <v>74</v>
      </c>
      <c r="BE666" t="s">
        <v>12936</v>
      </c>
      <c r="BF666" t="str">
        <f>HYPERLINK("http://dx.doi.org/10.4430/bgo00417","http://dx.doi.org/10.4430/bgo00417")</f>
        <v>http://dx.doi.org/10.4430/bgo00417</v>
      </c>
      <c r="BG666" t="s">
        <v>74</v>
      </c>
      <c r="BH666" t="s">
        <v>10102</v>
      </c>
      <c r="BI666">
        <v>20</v>
      </c>
      <c r="BJ666" t="s">
        <v>597</v>
      </c>
      <c r="BK666" t="s">
        <v>104</v>
      </c>
      <c r="BL666" t="s">
        <v>597</v>
      </c>
      <c r="BM666" t="s">
        <v>12937</v>
      </c>
      <c r="BN666" t="s">
        <v>74</v>
      </c>
      <c r="BO666" t="s">
        <v>74</v>
      </c>
      <c r="BP666" t="s">
        <v>74</v>
      </c>
      <c r="BQ666" t="s">
        <v>74</v>
      </c>
      <c r="BR666" t="s">
        <v>107</v>
      </c>
      <c r="BS666" t="s">
        <v>12938</v>
      </c>
      <c r="BT666" t="str">
        <f>HYPERLINK("https%3A%2F%2Fwww.webofscience.com%2Fwos%2Fwoscc%2Ffull-record%2FWOS:001007355900001","View Full Record in Web of Science")</f>
        <v>View Full Record in Web of Science</v>
      </c>
    </row>
    <row r="667" spans="1:72" x14ac:dyDescent="0.15">
      <c r="A667" t="s">
        <v>72</v>
      </c>
      <c r="B667" t="s">
        <v>12939</v>
      </c>
      <c r="C667" t="s">
        <v>74</v>
      </c>
      <c r="D667" t="s">
        <v>74</v>
      </c>
      <c r="E667" t="s">
        <v>74</v>
      </c>
      <c r="F667" t="s">
        <v>12940</v>
      </c>
      <c r="G667" t="s">
        <v>74</v>
      </c>
      <c r="H667" t="s">
        <v>74</v>
      </c>
      <c r="I667" t="s">
        <v>12941</v>
      </c>
      <c r="J667" t="s">
        <v>2081</v>
      </c>
      <c r="K667" t="s">
        <v>74</v>
      </c>
      <c r="L667" t="s">
        <v>74</v>
      </c>
      <c r="M667" t="s">
        <v>78</v>
      </c>
      <c r="N667" t="s">
        <v>79</v>
      </c>
      <c r="O667" t="s">
        <v>74</v>
      </c>
      <c r="P667" t="s">
        <v>74</v>
      </c>
      <c r="Q667" t="s">
        <v>74</v>
      </c>
      <c r="R667" t="s">
        <v>74</v>
      </c>
      <c r="S667" t="s">
        <v>74</v>
      </c>
      <c r="T667" t="s">
        <v>12942</v>
      </c>
      <c r="U667" t="s">
        <v>12943</v>
      </c>
      <c r="V667" t="s">
        <v>12944</v>
      </c>
      <c r="W667" t="s">
        <v>12945</v>
      </c>
      <c r="X667" t="s">
        <v>12946</v>
      </c>
      <c r="Y667" t="s">
        <v>12947</v>
      </c>
      <c r="Z667" t="s">
        <v>12948</v>
      </c>
      <c r="AA667" t="s">
        <v>12949</v>
      </c>
      <c r="AB667" t="s">
        <v>12950</v>
      </c>
      <c r="AC667" t="s">
        <v>12951</v>
      </c>
      <c r="AD667" t="s">
        <v>12952</v>
      </c>
      <c r="AE667" t="s">
        <v>12953</v>
      </c>
      <c r="AF667" t="s">
        <v>74</v>
      </c>
      <c r="AG667">
        <v>74</v>
      </c>
      <c r="AH667">
        <v>1</v>
      </c>
      <c r="AI667">
        <v>1</v>
      </c>
      <c r="AJ667">
        <v>3</v>
      </c>
      <c r="AK667">
        <v>7</v>
      </c>
      <c r="AL667" t="s">
        <v>460</v>
      </c>
      <c r="AM667" t="s">
        <v>461</v>
      </c>
      <c r="AN667" t="s">
        <v>462</v>
      </c>
      <c r="AO667" t="s">
        <v>2094</v>
      </c>
      <c r="AP667" t="s">
        <v>2095</v>
      </c>
      <c r="AQ667" t="s">
        <v>74</v>
      </c>
      <c r="AR667" t="s">
        <v>2096</v>
      </c>
      <c r="AS667" t="s">
        <v>2097</v>
      </c>
      <c r="AT667" t="s">
        <v>97</v>
      </c>
      <c r="AU667">
        <v>2023</v>
      </c>
      <c r="AV667">
        <v>43</v>
      </c>
      <c r="AW667">
        <v>11</v>
      </c>
      <c r="AX667" t="s">
        <v>74</v>
      </c>
      <c r="AY667" t="s">
        <v>74</v>
      </c>
      <c r="AZ667" t="s">
        <v>74</v>
      </c>
      <c r="BA667" t="s">
        <v>74</v>
      </c>
      <c r="BB667">
        <v>5055</v>
      </c>
      <c r="BC667">
        <v>5076</v>
      </c>
      <c r="BD667" t="s">
        <v>74</v>
      </c>
      <c r="BE667" t="s">
        <v>12954</v>
      </c>
      <c r="BF667" t="str">
        <f>HYPERLINK("http://dx.doi.org/10.1002/joc.8132","http://dx.doi.org/10.1002/joc.8132")</f>
        <v>http://dx.doi.org/10.1002/joc.8132</v>
      </c>
      <c r="BG667" t="s">
        <v>74</v>
      </c>
      <c r="BH667" t="s">
        <v>10102</v>
      </c>
      <c r="BI667">
        <v>22</v>
      </c>
      <c r="BJ667" t="s">
        <v>103</v>
      </c>
      <c r="BK667" t="s">
        <v>104</v>
      </c>
      <c r="BL667" t="s">
        <v>103</v>
      </c>
      <c r="BM667" t="s">
        <v>12955</v>
      </c>
      <c r="BN667" t="s">
        <v>74</v>
      </c>
      <c r="BO667" t="s">
        <v>549</v>
      </c>
      <c r="BP667" t="s">
        <v>74</v>
      </c>
      <c r="BQ667" t="s">
        <v>74</v>
      </c>
      <c r="BR667" t="s">
        <v>107</v>
      </c>
      <c r="BS667" t="s">
        <v>12956</v>
      </c>
      <c r="BT667" t="str">
        <f>HYPERLINK("https%3A%2F%2Fwww.webofscience.com%2Fwos%2Fwoscc%2Ffull-record%2FWOS:001007031000001","View Full Record in Web of Science")</f>
        <v>View Full Record in Web of Science</v>
      </c>
    </row>
    <row r="668" spans="1:72" x14ac:dyDescent="0.15">
      <c r="A668" t="s">
        <v>72</v>
      </c>
      <c r="B668" t="s">
        <v>12957</v>
      </c>
      <c r="C668" t="s">
        <v>74</v>
      </c>
      <c r="D668" t="s">
        <v>74</v>
      </c>
      <c r="E668" t="s">
        <v>74</v>
      </c>
      <c r="F668" t="s">
        <v>12958</v>
      </c>
      <c r="G668" t="s">
        <v>74</v>
      </c>
      <c r="H668" t="s">
        <v>74</v>
      </c>
      <c r="I668" t="s">
        <v>12959</v>
      </c>
      <c r="J668" t="s">
        <v>1763</v>
      </c>
      <c r="K668" t="s">
        <v>74</v>
      </c>
      <c r="L668" t="s">
        <v>74</v>
      </c>
      <c r="M668" t="s">
        <v>78</v>
      </c>
      <c r="N668" t="s">
        <v>79</v>
      </c>
      <c r="O668" t="s">
        <v>74</v>
      </c>
      <c r="P668" t="s">
        <v>74</v>
      </c>
      <c r="Q668" t="s">
        <v>74</v>
      </c>
      <c r="R668" t="s">
        <v>74</v>
      </c>
      <c r="S668" t="s">
        <v>74</v>
      </c>
      <c r="T668" t="s">
        <v>74</v>
      </c>
      <c r="U668" t="s">
        <v>12960</v>
      </c>
      <c r="V668" t="s">
        <v>12961</v>
      </c>
      <c r="W668" t="s">
        <v>12962</v>
      </c>
      <c r="X668" t="s">
        <v>12963</v>
      </c>
      <c r="Y668" t="s">
        <v>12964</v>
      </c>
      <c r="Z668" t="s">
        <v>12965</v>
      </c>
      <c r="AA668" t="s">
        <v>12966</v>
      </c>
      <c r="AB668" t="s">
        <v>12967</v>
      </c>
      <c r="AC668" t="s">
        <v>12968</v>
      </c>
      <c r="AD668" t="s">
        <v>12969</v>
      </c>
      <c r="AE668" t="s">
        <v>12970</v>
      </c>
      <c r="AF668" t="s">
        <v>74</v>
      </c>
      <c r="AG668">
        <v>50</v>
      </c>
      <c r="AH668">
        <v>4</v>
      </c>
      <c r="AI668">
        <v>4</v>
      </c>
      <c r="AJ668">
        <v>1</v>
      </c>
      <c r="AK668">
        <v>7</v>
      </c>
      <c r="AL668" t="s">
        <v>1775</v>
      </c>
      <c r="AM668" t="s">
        <v>1776</v>
      </c>
      <c r="AN668" t="s">
        <v>1777</v>
      </c>
      <c r="AO668" t="s">
        <v>1778</v>
      </c>
      <c r="AP668" t="s">
        <v>1779</v>
      </c>
      <c r="AQ668" t="s">
        <v>74</v>
      </c>
      <c r="AR668" t="s">
        <v>1763</v>
      </c>
      <c r="AS668" t="s">
        <v>1780</v>
      </c>
      <c r="AT668" t="s">
        <v>12793</v>
      </c>
      <c r="AU668">
        <v>2023</v>
      </c>
      <c r="AV668">
        <v>17</v>
      </c>
      <c r="AW668">
        <v>6</v>
      </c>
      <c r="AX668" t="s">
        <v>74</v>
      </c>
      <c r="AY668" t="s">
        <v>74</v>
      </c>
      <c r="AZ668" t="s">
        <v>74</v>
      </c>
      <c r="BA668" t="s">
        <v>74</v>
      </c>
      <c r="BB668">
        <v>2323</v>
      </c>
      <c r="BC668">
        <v>2342</v>
      </c>
      <c r="BD668" t="s">
        <v>74</v>
      </c>
      <c r="BE668" t="s">
        <v>12971</v>
      </c>
      <c r="BF668" t="str">
        <f>HYPERLINK("http://dx.doi.org/10.5194/tc-17-2323-2023","http://dx.doi.org/10.5194/tc-17-2323-2023")</f>
        <v>http://dx.doi.org/10.5194/tc-17-2323-2023</v>
      </c>
      <c r="BG668" t="s">
        <v>74</v>
      </c>
      <c r="BH668" t="s">
        <v>74</v>
      </c>
      <c r="BI668">
        <v>20</v>
      </c>
      <c r="BJ668" t="s">
        <v>1783</v>
      </c>
      <c r="BK668" t="s">
        <v>104</v>
      </c>
      <c r="BL668" t="s">
        <v>1784</v>
      </c>
      <c r="BM668" t="s">
        <v>12972</v>
      </c>
      <c r="BN668" t="s">
        <v>74</v>
      </c>
      <c r="BO668" t="s">
        <v>3243</v>
      </c>
      <c r="BP668" t="s">
        <v>74</v>
      </c>
      <c r="BQ668" t="s">
        <v>74</v>
      </c>
      <c r="BR668" t="s">
        <v>107</v>
      </c>
      <c r="BS668" t="s">
        <v>12973</v>
      </c>
      <c r="BT668" t="str">
        <f>HYPERLINK("https%3A%2F%2Fwww.webofscience.com%2Fwos%2Fwoscc%2Ffull-record%2FWOS:001004348800001","View Full Record in Web of Science")</f>
        <v>View Full Record in Web of Science</v>
      </c>
    </row>
    <row r="669" spans="1:72" x14ac:dyDescent="0.15">
      <c r="A669" t="s">
        <v>72</v>
      </c>
      <c r="B669" t="s">
        <v>12974</v>
      </c>
      <c r="C669" t="s">
        <v>74</v>
      </c>
      <c r="D669" t="s">
        <v>74</v>
      </c>
      <c r="E669" t="s">
        <v>74</v>
      </c>
      <c r="F669" t="s">
        <v>12975</v>
      </c>
      <c r="G669" t="s">
        <v>74</v>
      </c>
      <c r="H669" t="s">
        <v>74</v>
      </c>
      <c r="I669" t="s">
        <v>12976</v>
      </c>
      <c r="J669" t="s">
        <v>12977</v>
      </c>
      <c r="K669" t="s">
        <v>74</v>
      </c>
      <c r="L669" t="s">
        <v>74</v>
      </c>
      <c r="M669" t="s">
        <v>78</v>
      </c>
      <c r="N669" t="s">
        <v>424</v>
      </c>
      <c r="O669" t="s">
        <v>74</v>
      </c>
      <c r="P669" t="s">
        <v>74</v>
      </c>
      <c r="Q669" t="s">
        <v>74</v>
      </c>
      <c r="R669" t="s">
        <v>74</v>
      </c>
      <c r="S669" t="s">
        <v>74</v>
      </c>
      <c r="T669" t="s">
        <v>12978</v>
      </c>
      <c r="U669" t="s">
        <v>12979</v>
      </c>
      <c r="V669" t="s">
        <v>12980</v>
      </c>
      <c r="W669" t="s">
        <v>12981</v>
      </c>
      <c r="X669" t="s">
        <v>12982</v>
      </c>
      <c r="Y669" t="s">
        <v>12983</v>
      </c>
      <c r="Z669" t="s">
        <v>12984</v>
      </c>
      <c r="AA669" t="s">
        <v>74</v>
      </c>
      <c r="AB669" t="s">
        <v>12985</v>
      </c>
      <c r="AC669" t="s">
        <v>74</v>
      </c>
      <c r="AD669" t="s">
        <v>74</v>
      </c>
      <c r="AE669" t="s">
        <v>74</v>
      </c>
      <c r="AF669" t="s">
        <v>74</v>
      </c>
      <c r="AG669">
        <v>118</v>
      </c>
      <c r="AH669">
        <v>1</v>
      </c>
      <c r="AI669">
        <v>1</v>
      </c>
      <c r="AJ669">
        <v>10</v>
      </c>
      <c r="AK669">
        <v>16</v>
      </c>
      <c r="AL669" t="s">
        <v>298</v>
      </c>
      <c r="AM669" t="s">
        <v>299</v>
      </c>
      <c r="AN669" t="s">
        <v>300</v>
      </c>
      <c r="AO669" t="s">
        <v>12986</v>
      </c>
      <c r="AP669" t="s">
        <v>12987</v>
      </c>
      <c r="AQ669" t="s">
        <v>74</v>
      </c>
      <c r="AR669" t="s">
        <v>12988</v>
      </c>
      <c r="AS669" t="s">
        <v>12989</v>
      </c>
      <c r="AT669" t="s">
        <v>97</v>
      </c>
      <c r="AU669">
        <v>2023</v>
      </c>
      <c r="AV669">
        <v>54</v>
      </c>
      <c r="AW669">
        <v>3</v>
      </c>
      <c r="AX669" t="s">
        <v>74</v>
      </c>
      <c r="AY669" t="s">
        <v>74</v>
      </c>
      <c r="AZ669" t="s">
        <v>74</v>
      </c>
      <c r="BA669" t="s">
        <v>74</v>
      </c>
      <c r="BB669">
        <v>1675</v>
      </c>
      <c r="BC669">
        <v>1687</v>
      </c>
      <c r="BD669" t="s">
        <v>74</v>
      </c>
      <c r="BE669" t="s">
        <v>12990</v>
      </c>
      <c r="BF669" t="str">
        <f>HYPERLINK("http://dx.doi.org/10.1007/s42770-023-01011-4","http://dx.doi.org/10.1007/s42770-023-01011-4")</f>
        <v>http://dx.doi.org/10.1007/s42770-023-01011-4</v>
      </c>
      <c r="BG669" t="s">
        <v>74</v>
      </c>
      <c r="BH669" t="s">
        <v>10102</v>
      </c>
      <c r="BI669">
        <v>13</v>
      </c>
      <c r="BJ669" t="s">
        <v>702</v>
      </c>
      <c r="BK669" t="s">
        <v>104</v>
      </c>
      <c r="BL669" t="s">
        <v>702</v>
      </c>
      <c r="BM669" t="s">
        <v>12991</v>
      </c>
      <c r="BN669">
        <v>37286926</v>
      </c>
      <c r="BO669" t="s">
        <v>74</v>
      </c>
      <c r="BP669" t="s">
        <v>74</v>
      </c>
      <c r="BQ669" t="s">
        <v>74</v>
      </c>
      <c r="BR669" t="s">
        <v>107</v>
      </c>
      <c r="BS669" t="s">
        <v>12992</v>
      </c>
      <c r="BT669" t="str">
        <f>HYPERLINK("https%3A%2F%2Fwww.webofscience.com%2Fwos%2Fwoscc%2Ffull-record%2FWOS:001002948200001","View Full Record in Web of Science")</f>
        <v>View Full Record in Web of Science</v>
      </c>
    </row>
    <row r="670" spans="1:72" x14ac:dyDescent="0.15">
      <c r="A670" t="s">
        <v>72</v>
      </c>
      <c r="B670" t="s">
        <v>12993</v>
      </c>
      <c r="C670" t="s">
        <v>74</v>
      </c>
      <c r="D670" t="s">
        <v>74</v>
      </c>
      <c r="E670" t="s">
        <v>74</v>
      </c>
      <c r="F670" t="s">
        <v>12994</v>
      </c>
      <c r="G670" t="s">
        <v>74</v>
      </c>
      <c r="H670" t="s">
        <v>74</v>
      </c>
      <c r="I670" t="s">
        <v>12995</v>
      </c>
      <c r="J670" t="s">
        <v>3154</v>
      </c>
      <c r="K670" t="s">
        <v>74</v>
      </c>
      <c r="L670" t="s">
        <v>74</v>
      </c>
      <c r="M670" t="s">
        <v>78</v>
      </c>
      <c r="N670" t="s">
        <v>79</v>
      </c>
      <c r="O670" t="s">
        <v>74</v>
      </c>
      <c r="P670" t="s">
        <v>74</v>
      </c>
      <c r="Q670" t="s">
        <v>74</v>
      </c>
      <c r="R670" t="s">
        <v>74</v>
      </c>
      <c r="S670" t="s">
        <v>74</v>
      </c>
      <c r="T670" t="s">
        <v>12996</v>
      </c>
      <c r="U670" t="s">
        <v>12997</v>
      </c>
      <c r="V670" t="s">
        <v>12998</v>
      </c>
      <c r="W670" t="s">
        <v>12999</v>
      </c>
      <c r="X670" t="s">
        <v>13000</v>
      </c>
      <c r="Y670" t="s">
        <v>13001</v>
      </c>
      <c r="Z670" t="s">
        <v>13002</v>
      </c>
      <c r="AA670" t="s">
        <v>74</v>
      </c>
      <c r="AB670" t="s">
        <v>13003</v>
      </c>
      <c r="AC670" t="s">
        <v>13004</v>
      </c>
      <c r="AD670" t="s">
        <v>13005</v>
      </c>
      <c r="AE670" t="s">
        <v>13006</v>
      </c>
      <c r="AF670" t="s">
        <v>74</v>
      </c>
      <c r="AG670">
        <v>117</v>
      </c>
      <c r="AH670">
        <v>1</v>
      </c>
      <c r="AI670">
        <v>1</v>
      </c>
      <c r="AJ670">
        <v>10</v>
      </c>
      <c r="AK670">
        <v>12</v>
      </c>
      <c r="AL670" t="s">
        <v>2305</v>
      </c>
      <c r="AM670" t="s">
        <v>538</v>
      </c>
      <c r="AN670" t="s">
        <v>2306</v>
      </c>
      <c r="AO670" t="s">
        <v>3167</v>
      </c>
      <c r="AP670" t="s">
        <v>3168</v>
      </c>
      <c r="AQ670" t="s">
        <v>74</v>
      </c>
      <c r="AR670" t="s">
        <v>3169</v>
      </c>
      <c r="AS670" t="s">
        <v>3170</v>
      </c>
      <c r="AT670" t="s">
        <v>7247</v>
      </c>
      <c r="AU670">
        <v>2023</v>
      </c>
      <c r="AV670">
        <v>353</v>
      </c>
      <c r="AW670" t="s">
        <v>74</v>
      </c>
      <c r="AX670" t="s">
        <v>74</v>
      </c>
      <c r="AY670" t="s">
        <v>74</v>
      </c>
      <c r="AZ670" t="s">
        <v>74</v>
      </c>
      <c r="BA670" t="s">
        <v>74</v>
      </c>
      <c r="BB670">
        <v>76</v>
      </c>
      <c r="BC670">
        <v>91</v>
      </c>
      <c r="BD670" t="s">
        <v>74</v>
      </c>
      <c r="BE670" t="s">
        <v>13007</v>
      </c>
      <c r="BF670" t="str">
        <f>HYPERLINK("http://dx.doi.org/10.1016/j.gca.2023.04.028","http://dx.doi.org/10.1016/j.gca.2023.04.028")</f>
        <v>http://dx.doi.org/10.1016/j.gca.2023.04.028</v>
      </c>
      <c r="BG670" t="s">
        <v>74</v>
      </c>
      <c r="BH670" t="s">
        <v>10102</v>
      </c>
      <c r="BI670">
        <v>16</v>
      </c>
      <c r="BJ670" t="s">
        <v>597</v>
      </c>
      <c r="BK670" t="s">
        <v>104</v>
      </c>
      <c r="BL670" t="s">
        <v>597</v>
      </c>
      <c r="BM670" t="s">
        <v>13008</v>
      </c>
      <c r="BN670" t="s">
        <v>74</v>
      </c>
      <c r="BO670" t="s">
        <v>74</v>
      </c>
      <c r="BP670" t="s">
        <v>74</v>
      </c>
      <c r="BQ670" t="s">
        <v>74</v>
      </c>
      <c r="BR670" t="s">
        <v>107</v>
      </c>
      <c r="BS670" t="s">
        <v>13009</v>
      </c>
      <c r="BT670" t="str">
        <f>HYPERLINK("https%3A%2F%2Fwww.webofscience.com%2Fwos%2Fwoscc%2Ffull-record%2FWOS:001019020500001","View Full Record in Web of Science")</f>
        <v>View Full Record in Web of Science</v>
      </c>
    </row>
    <row r="671" spans="1:72" x14ac:dyDescent="0.15">
      <c r="A671" t="s">
        <v>72</v>
      </c>
      <c r="B671" t="s">
        <v>13010</v>
      </c>
      <c r="C671" t="s">
        <v>74</v>
      </c>
      <c r="D671" t="s">
        <v>74</v>
      </c>
      <c r="E671" t="s">
        <v>74</v>
      </c>
      <c r="F671" t="s">
        <v>13011</v>
      </c>
      <c r="G671" t="s">
        <v>74</v>
      </c>
      <c r="H671" t="s">
        <v>74</v>
      </c>
      <c r="I671" t="s">
        <v>13012</v>
      </c>
      <c r="J671" t="s">
        <v>11160</v>
      </c>
      <c r="K671" t="s">
        <v>74</v>
      </c>
      <c r="L671" t="s">
        <v>74</v>
      </c>
      <c r="M671" t="s">
        <v>78</v>
      </c>
      <c r="N671" t="s">
        <v>79</v>
      </c>
      <c r="O671" t="s">
        <v>74</v>
      </c>
      <c r="P671" t="s">
        <v>74</v>
      </c>
      <c r="Q671" t="s">
        <v>74</v>
      </c>
      <c r="R671" t="s">
        <v>74</v>
      </c>
      <c r="S671" t="s">
        <v>74</v>
      </c>
      <c r="T671" t="s">
        <v>13013</v>
      </c>
      <c r="U671" t="s">
        <v>13014</v>
      </c>
      <c r="V671" t="s">
        <v>13015</v>
      </c>
      <c r="W671" t="s">
        <v>13016</v>
      </c>
      <c r="X671" t="s">
        <v>13017</v>
      </c>
      <c r="Y671" t="s">
        <v>13018</v>
      </c>
      <c r="Z671" t="s">
        <v>13019</v>
      </c>
      <c r="AA671" t="s">
        <v>13020</v>
      </c>
      <c r="AB671" t="s">
        <v>13021</v>
      </c>
      <c r="AC671" t="s">
        <v>13022</v>
      </c>
      <c r="AD671" t="s">
        <v>13023</v>
      </c>
      <c r="AE671" t="s">
        <v>13024</v>
      </c>
      <c r="AF671" t="s">
        <v>74</v>
      </c>
      <c r="AG671">
        <v>230</v>
      </c>
      <c r="AH671">
        <v>5</v>
      </c>
      <c r="AI671">
        <v>5</v>
      </c>
      <c r="AJ671">
        <v>12</v>
      </c>
      <c r="AK671">
        <v>18</v>
      </c>
      <c r="AL671" t="s">
        <v>172</v>
      </c>
      <c r="AM671" t="s">
        <v>173</v>
      </c>
      <c r="AN671" t="s">
        <v>174</v>
      </c>
      <c r="AO671" t="s">
        <v>11173</v>
      </c>
      <c r="AP671" t="s">
        <v>11174</v>
      </c>
      <c r="AQ671" t="s">
        <v>74</v>
      </c>
      <c r="AR671" t="s">
        <v>11175</v>
      </c>
      <c r="AS671" t="s">
        <v>11176</v>
      </c>
      <c r="AT671" t="s">
        <v>3612</v>
      </c>
      <c r="AU671">
        <v>2023</v>
      </c>
      <c r="AV671">
        <v>242</v>
      </c>
      <c r="AW671" t="s">
        <v>74</v>
      </c>
      <c r="AX671" t="s">
        <v>74</v>
      </c>
      <c r="AY671" t="s">
        <v>74</v>
      </c>
      <c r="AZ671" t="s">
        <v>74</v>
      </c>
      <c r="BA671" t="s">
        <v>74</v>
      </c>
      <c r="BB671" t="s">
        <v>74</v>
      </c>
      <c r="BC671" t="s">
        <v>74</v>
      </c>
      <c r="BD671">
        <v>104458</v>
      </c>
      <c r="BE671" t="s">
        <v>13025</v>
      </c>
      <c r="BF671" t="str">
        <f>HYPERLINK("http://dx.doi.org/10.1016/j.earscirev.2023.104458","http://dx.doi.org/10.1016/j.earscirev.2023.104458")</f>
        <v>http://dx.doi.org/10.1016/j.earscirev.2023.104458</v>
      </c>
      <c r="BG671" t="s">
        <v>74</v>
      </c>
      <c r="BH671" t="s">
        <v>10102</v>
      </c>
      <c r="BI671">
        <v>29</v>
      </c>
      <c r="BJ671" t="s">
        <v>155</v>
      </c>
      <c r="BK671" t="s">
        <v>104</v>
      </c>
      <c r="BL671" t="s">
        <v>156</v>
      </c>
      <c r="BM671" t="s">
        <v>13026</v>
      </c>
      <c r="BN671" t="s">
        <v>74</v>
      </c>
      <c r="BO671" t="s">
        <v>74</v>
      </c>
      <c r="BP671" t="s">
        <v>74</v>
      </c>
      <c r="BQ671" t="s">
        <v>74</v>
      </c>
      <c r="BR671" t="s">
        <v>107</v>
      </c>
      <c r="BS671" t="s">
        <v>13027</v>
      </c>
      <c r="BT671" t="str">
        <f>HYPERLINK("https%3A%2F%2Fwww.webofscience.com%2Fwos%2Fwoscc%2Ffull-record%2FWOS:001019046900001","View Full Record in Web of Science")</f>
        <v>View Full Record in Web of Science</v>
      </c>
    </row>
    <row r="672" spans="1:72" x14ac:dyDescent="0.15">
      <c r="A672" t="s">
        <v>72</v>
      </c>
      <c r="B672" t="s">
        <v>13028</v>
      </c>
      <c r="C672" t="s">
        <v>74</v>
      </c>
      <c r="D672" t="s">
        <v>74</v>
      </c>
      <c r="E672" t="s">
        <v>74</v>
      </c>
      <c r="F672" t="s">
        <v>13029</v>
      </c>
      <c r="G672" t="s">
        <v>74</v>
      </c>
      <c r="H672" t="s">
        <v>74</v>
      </c>
      <c r="I672" t="s">
        <v>13030</v>
      </c>
      <c r="J672" t="s">
        <v>6547</v>
      </c>
      <c r="K672" t="s">
        <v>74</v>
      </c>
      <c r="L672" t="s">
        <v>74</v>
      </c>
      <c r="M672" t="s">
        <v>78</v>
      </c>
      <c r="N672" t="s">
        <v>79</v>
      </c>
      <c r="O672" t="s">
        <v>74</v>
      </c>
      <c r="P672" t="s">
        <v>74</v>
      </c>
      <c r="Q672" t="s">
        <v>74</v>
      </c>
      <c r="R672" t="s">
        <v>74</v>
      </c>
      <c r="S672" t="s">
        <v>74</v>
      </c>
      <c r="T672" t="s">
        <v>13031</v>
      </c>
      <c r="U672" t="s">
        <v>13032</v>
      </c>
      <c r="V672" t="s">
        <v>13033</v>
      </c>
      <c r="W672" t="s">
        <v>13034</v>
      </c>
      <c r="X672" t="s">
        <v>13035</v>
      </c>
      <c r="Y672" t="s">
        <v>13036</v>
      </c>
      <c r="Z672" t="s">
        <v>13037</v>
      </c>
      <c r="AA672" t="s">
        <v>13038</v>
      </c>
      <c r="AB672" t="s">
        <v>13039</v>
      </c>
      <c r="AC672" t="s">
        <v>13040</v>
      </c>
      <c r="AD672" t="s">
        <v>13041</v>
      </c>
      <c r="AE672" t="s">
        <v>13042</v>
      </c>
      <c r="AF672" t="s">
        <v>74</v>
      </c>
      <c r="AG672">
        <v>76</v>
      </c>
      <c r="AH672">
        <v>1</v>
      </c>
      <c r="AI672">
        <v>1</v>
      </c>
      <c r="AJ672">
        <v>1</v>
      </c>
      <c r="AK672">
        <v>1</v>
      </c>
      <c r="AL672" t="s">
        <v>172</v>
      </c>
      <c r="AM672" t="s">
        <v>173</v>
      </c>
      <c r="AN672" t="s">
        <v>174</v>
      </c>
      <c r="AO672" t="s">
        <v>6559</v>
      </c>
      <c r="AP672" t="s">
        <v>6560</v>
      </c>
      <c r="AQ672" t="s">
        <v>74</v>
      </c>
      <c r="AR672" t="s">
        <v>6561</v>
      </c>
      <c r="AS672" t="s">
        <v>6562</v>
      </c>
      <c r="AT672" t="s">
        <v>4689</v>
      </c>
      <c r="AU672">
        <v>2023</v>
      </c>
      <c r="AV672">
        <v>227</v>
      </c>
      <c r="AW672" t="s">
        <v>74</v>
      </c>
      <c r="AX672" t="s">
        <v>74</v>
      </c>
      <c r="AY672" t="s">
        <v>74</v>
      </c>
      <c r="AZ672" t="s">
        <v>74</v>
      </c>
      <c r="BA672" t="s">
        <v>74</v>
      </c>
      <c r="BB672" t="s">
        <v>74</v>
      </c>
      <c r="BC672" t="s">
        <v>74</v>
      </c>
      <c r="BD672">
        <v>104143</v>
      </c>
      <c r="BE672" t="s">
        <v>13043</v>
      </c>
      <c r="BF672" t="str">
        <f>HYPERLINK("http://dx.doi.org/10.1016/j.gloplacha.2023.104143","http://dx.doi.org/10.1016/j.gloplacha.2023.104143")</f>
        <v>http://dx.doi.org/10.1016/j.gloplacha.2023.104143</v>
      </c>
      <c r="BG672" t="s">
        <v>74</v>
      </c>
      <c r="BH672" t="s">
        <v>10102</v>
      </c>
      <c r="BI672">
        <v>14</v>
      </c>
      <c r="BJ672" t="s">
        <v>1783</v>
      </c>
      <c r="BK672" t="s">
        <v>104</v>
      </c>
      <c r="BL672" t="s">
        <v>1784</v>
      </c>
      <c r="BM672" t="s">
        <v>13044</v>
      </c>
      <c r="BN672" t="s">
        <v>74</v>
      </c>
      <c r="BO672" t="s">
        <v>74</v>
      </c>
      <c r="BP672" t="s">
        <v>74</v>
      </c>
      <c r="BQ672" t="s">
        <v>74</v>
      </c>
      <c r="BR672" t="s">
        <v>107</v>
      </c>
      <c r="BS672" t="s">
        <v>13045</v>
      </c>
      <c r="BT672" t="str">
        <f>HYPERLINK("https%3A%2F%2Fwww.webofscience.com%2Fwos%2Fwoscc%2Ffull-record%2FWOS:001021237500001","View Full Record in Web of Science")</f>
        <v>View Full Record in Web of Science</v>
      </c>
    </row>
    <row r="673" spans="1:72" x14ac:dyDescent="0.15">
      <c r="A673" t="s">
        <v>72</v>
      </c>
      <c r="B673" t="s">
        <v>13046</v>
      </c>
      <c r="C673" t="s">
        <v>74</v>
      </c>
      <c r="D673" t="s">
        <v>74</v>
      </c>
      <c r="E673" t="s">
        <v>74</v>
      </c>
      <c r="F673" t="s">
        <v>13047</v>
      </c>
      <c r="G673" t="s">
        <v>74</v>
      </c>
      <c r="H673" t="s">
        <v>74</v>
      </c>
      <c r="I673" t="s">
        <v>13048</v>
      </c>
      <c r="J673" t="s">
        <v>3662</v>
      </c>
      <c r="K673" t="s">
        <v>74</v>
      </c>
      <c r="L673" t="s">
        <v>74</v>
      </c>
      <c r="M673" t="s">
        <v>78</v>
      </c>
      <c r="N673" t="s">
        <v>79</v>
      </c>
      <c r="O673" t="s">
        <v>74</v>
      </c>
      <c r="P673" t="s">
        <v>74</v>
      </c>
      <c r="Q673" t="s">
        <v>74</v>
      </c>
      <c r="R673" t="s">
        <v>74</v>
      </c>
      <c r="S673" t="s">
        <v>74</v>
      </c>
      <c r="T673" t="s">
        <v>13049</v>
      </c>
      <c r="U673" t="s">
        <v>13050</v>
      </c>
      <c r="V673" t="s">
        <v>13051</v>
      </c>
      <c r="W673" t="s">
        <v>13052</v>
      </c>
      <c r="X673" t="s">
        <v>13053</v>
      </c>
      <c r="Y673" t="s">
        <v>13054</v>
      </c>
      <c r="Z673" t="s">
        <v>13055</v>
      </c>
      <c r="AA673" t="s">
        <v>13056</v>
      </c>
      <c r="AB673" t="s">
        <v>13057</v>
      </c>
      <c r="AC673" t="s">
        <v>13058</v>
      </c>
      <c r="AD673" t="s">
        <v>13059</v>
      </c>
      <c r="AE673" t="s">
        <v>13060</v>
      </c>
      <c r="AF673" t="s">
        <v>74</v>
      </c>
      <c r="AG673">
        <v>110</v>
      </c>
      <c r="AH673">
        <v>2</v>
      </c>
      <c r="AI673">
        <v>2</v>
      </c>
      <c r="AJ673">
        <v>7</v>
      </c>
      <c r="AK673">
        <v>11</v>
      </c>
      <c r="AL673" t="s">
        <v>3672</v>
      </c>
      <c r="AM673" t="s">
        <v>538</v>
      </c>
      <c r="AN673" t="s">
        <v>3673</v>
      </c>
      <c r="AO673" t="s">
        <v>3674</v>
      </c>
      <c r="AP673" t="s">
        <v>3675</v>
      </c>
      <c r="AQ673" t="s">
        <v>74</v>
      </c>
      <c r="AR673" t="s">
        <v>3676</v>
      </c>
      <c r="AS673" t="s">
        <v>3677</v>
      </c>
      <c r="AT673" t="s">
        <v>3612</v>
      </c>
      <c r="AU673">
        <v>2023</v>
      </c>
      <c r="AV673">
        <v>189</v>
      </c>
      <c r="AW673" t="s">
        <v>74</v>
      </c>
      <c r="AX673" t="s">
        <v>74</v>
      </c>
      <c r="AY673" t="s">
        <v>74</v>
      </c>
      <c r="AZ673" t="s">
        <v>74</v>
      </c>
      <c r="BA673" t="s">
        <v>74</v>
      </c>
      <c r="BB673" t="s">
        <v>74</v>
      </c>
      <c r="BC673" t="s">
        <v>74</v>
      </c>
      <c r="BD673">
        <v>106046</v>
      </c>
      <c r="BE673" t="s">
        <v>13061</v>
      </c>
      <c r="BF673" t="str">
        <f>HYPERLINK("http://dx.doi.org/10.1016/j.marenvres.2023.106046","http://dx.doi.org/10.1016/j.marenvres.2023.106046")</f>
        <v>http://dx.doi.org/10.1016/j.marenvres.2023.106046</v>
      </c>
      <c r="BG673" t="s">
        <v>74</v>
      </c>
      <c r="BH673" t="s">
        <v>10102</v>
      </c>
      <c r="BI673">
        <v>18</v>
      </c>
      <c r="BJ673" t="s">
        <v>3679</v>
      </c>
      <c r="BK673" t="s">
        <v>104</v>
      </c>
      <c r="BL673" t="s">
        <v>3680</v>
      </c>
      <c r="BM673" t="s">
        <v>13062</v>
      </c>
      <c r="BN673">
        <v>37295307</v>
      </c>
      <c r="BO673" t="s">
        <v>1217</v>
      </c>
      <c r="BP673" t="s">
        <v>74</v>
      </c>
      <c r="BQ673" t="s">
        <v>74</v>
      </c>
      <c r="BR673" t="s">
        <v>107</v>
      </c>
      <c r="BS673" t="s">
        <v>13063</v>
      </c>
      <c r="BT673" t="str">
        <f>HYPERLINK("https%3A%2F%2Fwww.webofscience.com%2Fwos%2Fwoscc%2Ffull-record%2FWOS:001021216800001","View Full Record in Web of Science")</f>
        <v>View Full Record in Web of Science</v>
      </c>
    </row>
    <row r="674" spans="1:72" x14ac:dyDescent="0.15">
      <c r="A674" t="s">
        <v>72</v>
      </c>
      <c r="B674" t="s">
        <v>13064</v>
      </c>
      <c r="C674" t="s">
        <v>74</v>
      </c>
      <c r="D674" t="s">
        <v>74</v>
      </c>
      <c r="E674" t="s">
        <v>74</v>
      </c>
      <c r="F674" t="s">
        <v>13065</v>
      </c>
      <c r="G674" t="s">
        <v>74</v>
      </c>
      <c r="H674" t="s">
        <v>74</v>
      </c>
      <c r="I674" t="s">
        <v>13066</v>
      </c>
      <c r="J674" t="s">
        <v>2105</v>
      </c>
      <c r="K674" t="s">
        <v>74</v>
      </c>
      <c r="L674" t="s">
        <v>74</v>
      </c>
      <c r="M674" t="s">
        <v>78</v>
      </c>
      <c r="N674" t="s">
        <v>79</v>
      </c>
      <c r="O674" t="s">
        <v>74</v>
      </c>
      <c r="P674" t="s">
        <v>74</v>
      </c>
      <c r="Q674" t="s">
        <v>74</v>
      </c>
      <c r="R674" t="s">
        <v>74</v>
      </c>
      <c r="S674" t="s">
        <v>74</v>
      </c>
      <c r="T674" t="s">
        <v>13067</v>
      </c>
      <c r="U674" t="s">
        <v>13068</v>
      </c>
      <c r="V674" t="s">
        <v>13069</v>
      </c>
      <c r="W674" t="s">
        <v>13070</v>
      </c>
      <c r="X674" t="s">
        <v>13071</v>
      </c>
      <c r="Y674" t="s">
        <v>13072</v>
      </c>
      <c r="Z674" t="s">
        <v>13073</v>
      </c>
      <c r="AA674" t="s">
        <v>13074</v>
      </c>
      <c r="AB674" t="s">
        <v>13075</v>
      </c>
      <c r="AC674" t="s">
        <v>13076</v>
      </c>
      <c r="AD674" t="s">
        <v>13077</v>
      </c>
      <c r="AE674" t="s">
        <v>13078</v>
      </c>
      <c r="AF674" t="s">
        <v>74</v>
      </c>
      <c r="AG674">
        <v>53</v>
      </c>
      <c r="AH674">
        <v>2</v>
      </c>
      <c r="AI674">
        <v>2</v>
      </c>
      <c r="AJ674">
        <v>1</v>
      </c>
      <c r="AK674">
        <v>6</v>
      </c>
      <c r="AL674" t="s">
        <v>2118</v>
      </c>
      <c r="AM674" t="s">
        <v>2119</v>
      </c>
      <c r="AN674" t="s">
        <v>2120</v>
      </c>
      <c r="AO674" t="s">
        <v>2121</v>
      </c>
      <c r="AP674" t="s">
        <v>2122</v>
      </c>
      <c r="AQ674" t="s">
        <v>74</v>
      </c>
      <c r="AR674" t="s">
        <v>2123</v>
      </c>
      <c r="AS674" t="s">
        <v>2124</v>
      </c>
      <c r="AT674" t="s">
        <v>3551</v>
      </c>
      <c r="AU674">
        <v>2023</v>
      </c>
      <c r="AV674">
        <v>231</v>
      </c>
      <c r="AW674" t="s">
        <v>74</v>
      </c>
      <c r="AX674">
        <v>3</v>
      </c>
      <c r="AY674" t="s">
        <v>74</v>
      </c>
      <c r="AZ674" t="s">
        <v>74</v>
      </c>
      <c r="BA674" t="s">
        <v>74</v>
      </c>
      <c r="BB674" t="s">
        <v>74</v>
      </c>
      <c r="BC674" t="s">
        <v>74</v>
      </c>
      <c r="BD674">
        <v>116273</v>
      </c>
      <c r="BE674" t="s">
        <v>13079</v>
      </c>
      <c r="BF674" t="str">
        <f>HYPERLINK("http://dx.doi.org/10.1016/j.envres.2023.116273","http://dx.doi.org/10.1016/j.envres.2023.116273")</f>
        <v>http://dx.doi.org/10.1016/j.envres.2023.116273</v>
      </c>
      <c r="BG674" t="s">
        <v>74</v>
      </c>
      <c r="BH674" t="s">
        <v>10102</v>
      </c>
      <c r="BI674">
        <v>12</v>
      </c>
      <c r="BJ674" t="s">
        <v>2127</v>
      </c>
      <c r="BK674" t="s">
        <v>104</v>
      </c>
      <c r="BL674" t="s">
        <v>2128</v>
      </c>
      <c r="BM674" t="s">
        <v>13080</v>
      </c>
      <c r="BN674">
        <v>37257748</v>
      </c>
      <c r="BO674" t="s">
        <v>74</v>
      </c>
      <c r="BP674" t="s">
        <v>74</v>
      </c>
      <c r="BQ674" t="s">
        <v>74</v>
      </c>
      <c r="BR674" t="s">
        <v>107</v>
      </c>
      <c r="BS674" t="s">
        <v>13081</v>
      </c>
      <c r="BT674" t="str">
        <f>HYPERLINK("https%3A%2F%2Fwww.webofscience.com%2Fwos%2Fwoscc%2Ffull-record%2FWOS:001018896900001","View Full Record in Web of Science")</f>
        <v>View Full Record in Web of Science</v>
      </c>
    </row>
    <row r="675" spans="1:72" x14ac:dyDescent="0.15">
      <c r="A675" t="s">
        <v>72</v>
      </c>
      <c r="B675" t="s">
        <v>13082</v>
      </c>
      <c r="C675" t="s">
        <v>74</v>
      </c>
      <c r="D675" t="s">
        <v>74</v>
      </c>
      <c r="E675" t="s">
        <v>74</v>
      </c>
      <c r="F675" t="s">
        <v>13083</v>
      </c>
      <c r="G675" t="s">
        <v>74</v>
      </c>
      <c r="H675" t="s">
        <v>74</v>
      </c>
      <c r="I675" t="s">
        <v>13084</v>
      </c>
      <c r="J675" t="s">
        <v>8462</v>
      </c>
      <c r="K675" t="s">
        <v>74</v>
      </c>
      <c r="L675" t="s">
        <v>74</v>
      </c>
      <c r="M675" t="s">
        <v>78</v>
      </c>
      <c r="N675" t="s">
        <v>79</v>
      </c>
      <c r="O675" t="s">
        <v>74</v>
      </c>
      <c r="P675" t="s">
        <v>74</v>
      </c>
      <c r="Q675" t="s">
        <v>74</v>
      </c>
      <c r="R675" t="s">
        <v>74</v>
      </c>
      <c r="S675" t="s">
        <v>74</v>
      </c>
      <c r="T675" t="s">
        <v>13085</v>
      </c>
      <c r="U675" t="s">
        <v>13086</v>
      </c>
      <c r="V675" t="s">
        <v>13087</v>
      </c>
      <c r="W675" t="s">
        <v>13088</v>
      </c>
      <c r="X675" t="s">
        <v>13089</v>
      </c>
      <c r="Y675" t="s">
        <v>13090</v>
      </c>
      <c r="Z675" t="s">
        <v>13091</v>
      </c>
      <c r="AA675" t="s">
        <v>74</v>
      </c>
      <c r="AB675" t="s">
        <v>74</v>
      </c>
      <c r="AC675" t="s">
        <v>13092</v>
      </c>
      <c r="AD675" t="s">
        <v>13093</v>
      </c>
      <c r="AE675" t="s">
        <v>13094</v>
      </c>
      <c r="AF675" t="s">
        <v>74</v>
      </c>
      <c r="AG675">
        <v>71</v>
      </c>
      <c r="AH675">
        <v>1</v>
      </c>
      <c r="AI675">
        <v>1</v>
      </c>
      <c r="AJ675">
        <v>3</v>
      </c>
      <c r="AK675">
        <v>3</v>
      </c>
      <c r="AL675" t="s">
        <v>994</v>
      </c>
      <c r="AM675" t="s">
        <v>995</v>
      </c>
      <c r="AN675" t="s">
        <v>996</v>
      </c>
      <c r="AO675" t="s">
        <v>8472</v>
      </c>
      <c r="AP675" t="s">
        <v>74</v>
      </c>
      <c r="AQ675" t="s">
        <v>74</v>
      </c>
      <c r="AR675" t="s">
        <v>8473</v>
      </c>
      <c r="AS675" t="s">
        <v>8474</v>
      </c>
      <c r="AT675" t="s">
        <v>13095</v>
      </c>
      <c r="AU675">
        <v>2023</v>
      </c>
      <c r="AV675">
        <v>11</v>
      </c>
      <c r="AW675" t="s">
        <v>74</v>
      </c>
      <c r="AX675" t="s">
        <v>74</v>
      </c>
      <c r="AY675" t="s">
        <v>74</v>
      </c>
      <c r="AZ675" t="s">
        <v>74</v>
      </c>
      <c r="BA675" t="s">
        <v>74</v>
      </c>
      <c r="BB675" t="s">
        <v>74</v>
      </c>
      <c r="BC675" t="s">
        <v>74</v>
      </c>
      <c r="BD675">
        <v>1099028</v>
      </c>
      <c r="BE675" t="s">
        <v>13096</v>
      </c>
      <c r="BF675" t="str">
        <f>HYPERLINK("http://dx.doi.org/10.3389/fevo.2023.1099028","http://dx.doi.org/10.3389/fevo.2023.1099028")</f>
        <v>http://dx.doi.org/10.3389/fevo.2023.1099028</v>
      </c>
      <c r="BG675" t="s">
        <v>74</v>
      </c>
      <c r="BH675" t="s">
        <v>74</v>
      </c>
      <c r="BI675">
        <v>11</v>
      </c>
      <c r="BJ675" t="s">
        <v>1534</v>
      </c>
      <c r="BK675" t="s">
        <v>104</v>
      </c>
      <c r="BL675" t="s">
        <v>1535</v>
      </c>
      <c r="BM675" t="s">
        <v>13097</v>
      </c>
      <c r="BN675" t="s">
        <v>74</v>
      </c>
      <c r="BO675" t="s">
        <v>821</v>
      </c>
      <c r="BP675" t="s">
        <v>74</v>
      </c>
      <c r="BQ675" t="s">
        <v>74</v>
      </c>
      <c r="BR675" t="s">
        <v>107</v>
      </c>
      <c r="BS675" t="s">
        <v>13098</v>
      </c>
      <c r="BT675" t="str">
        <f>HYPERLINK("https%3A%2F%2Fwww.webofscience.com%2Fwos%2Fwoscc%2Ffull-record%2FWOS:001012306000001","View Full Record in Web of Science")</f>
        <v>View Full Record in Web of Science</v>
      </c>
    </row>
    <row r="676" spans="1:72" x14ac:dyDescent="0.15">
      <c r="A676" t="s">
        <v>72</v>
      </c>
      <c r="B676" t="s">
        <v>13099</v>
      </c>
      <c r="C676" t="s">
        <v>74</v>
      </c>
      <c r="D676" t="s">
        <v>74</v>
      </c>
      <c r="E676" t="s">
        <v>74</v>
      </c>
      <c r="F676" t="s">
        <v>13100</v>
      </c>
      <c r="G676" t="s">
        <v>74</v>
      </c>
      <c r="H676" t="s">
        <v>74</v>
      </c>
      <c r="I676" t="s">
        <v>13101</v>
      </c>
      <c r="J676" t="s">
        <v>3334</v>
      </c>
      <c r="K676" t="s">
        <v>74</v>
      </c>
      <c r="L676" t="s">
        <v>74</v>
      </c>
      <c r="M676" t="s">
        <v>78</v>
      </c>
      <c r="N676" t="s">
        <v>79</v>
      </c>
      <c r="O676" t="s">
        <v>74</v>
      </c>
      <c r="P676" t="s">
        <v>74</v>
      </c>
      <c r="Q676" t="s">
        <v>74</v>
      </c>
      <c r="R676" t="s">
        <v>74</v>
      </c>
      <c r="S676" t="s">
        <v>74</v>
      </c>
      <c r="T676" t="s">
        <v>74</v>
      </c>
      <c r="U676" t="s">
        <v>13102</v>
      </c>
      <c r="V676" t="s">
        <v>13103</v>
      </c>
      <c r="W676" t="s">
        <v>13104</v>
      </c>
      <c r="X676" t="s">
        <v>13105</v>
      </c>
      <c r="Y676" t="s">
        <v>13106</v>
      </c>
      <c r="Z676" t="s">
        <v>13107</v>
      </c>
      <c r="AA676" t="s">
        <v>13108</v>
      </c>
      <c r="AB676" t="s">
        <v>13109</v>
      </c>
      <c r="AC676" t="s">
        <v>13110</v>
      </c>
      <c r="AD676" t="s">
        <v>13111</v>
      </c>
      <c r="AE676" t="s">
        <v>13112</v>
      </c>
      <c r="AF676" t="s">
        <v>74</v>
      </c>
      <c r="AG676">
        <v>94</v>
      </c>
      <c r="AH676">
        <v>2</v>
      </c>
      <c r="AI676">
        <v>2</v>
      </c>
      <c r="AJ676">
        <v>5</v>
      </c>
      <c r="AK676">
        <v>8</v>
      </c>
      <c r="AL676" t="s">
        <v>1775</v>
      </c>
      <c r="AM676" t="s">
        <v>1776</v>
      </c>
      <c r="AN676" t="s">
        <v>1777</v>
      </c>
      <c r="AO676" t="s">
        <v>3346</v>
      </c>
      <c r="AP676" t="s">
        <v>3347</v>
      </c>
      <c r="AQ676" t="s">
        <v>74</v>
      </c>
      <c r="AR676" t="s">
        <v>3348</v>
      </c>
      <c r="AS676" t="s">
        <v>3349</v>
      </c>
      <c r="AT676" t="s">
        <v>13095</v>
      </c>
      <c r="AU676">
        <v>2023</v>
      </c>
      <c r="AV676">
        <v>19</v>
      </c>
      <c r="AW676">
        <v>6</v>
      </c>
      <c r="AX676" t="s">
        <v>74</v>
      </c>
      <c r="AY676" t="s">
        <v>74</v>
      </c>
      <c r="AZ676" t="s">
        <v>74</v>
      </c>
      <c r="BA676" t="s">
        <v>74</v>
      </c>
      <c r="BB676">
        <v>1125</v>
      </c>
      <c r="BC676">
        <v>1152</v>
      </c>
      <c r="BD676" t="s">
        <v>74</v>
      </c>
      <c r="BE676" t="s">
        <v>13113</v>
      </c>
      <c r="BF676" t="str">
        <f>HYPERLINK("http://dx.doi.org/10.5194/cp-19-1125-2023","http://dx.doi.org/10.5194/cp-19-1125-2023")</f>
        <v>http://dx.doi.org/10.5194/cp-19-1125-2023</v>
      </c>
      <c r="BG676" t="s">
        <v>74</v>
      </c>
      <c r="BH676" t="s">
        <v>74</v>
      </c>
      <c r="BI676">
        <v>28</v>
      </c>
      <c r="BJ676" t="s">
        <v>3351</v>
      </c>
      <c r="BK676" t="s">
        <v>104</v>
      </c>
      <c r="BL676" t="s">
        <v>3352</v>
      </c>
      <c r="BM676" t="s">
        <v>13114</v>
      </c>
      <c r="BN676" t="s">
        <v>74</v>
      </c>
      <c r="BO676" t="s">
        <v>771</v>
      </c>
      <c r="BP676" t="s">
        <v>74</v>
      </c>
      <c r="BQ676" t="s">
        <v>74</v>
      </c>
      <c r="BR676" t="s">
        <v>107</v>
      </c>
      <c r="BS676" t="s">
        <v>13115</v>
      </c>
      <c r="BT676" t="str">
        <f>HYPERLINK("https%3A%2F%2Fwww.webofscience.com%2Fwos%2Fwoscc%2Ffull-record%2FWOS:001004464300001","View Full Record in Web of Science")</f>
        <v>View Full Record in Web of Science</v>
      </c>
    </row>
    <row r="677" spans="1:72" x14ac:dyDescent="0.15">
      <c r="A677" t="s">
        <v>72</v>
      </c>
      <c r="B677" t="s">
        <v>13116</v>
      </c>
      <c r="C677" t="s">
        <v>74</v>
      </c>
      <c r="D677" t="s">
        <v>74</v>
      </c>
      <c r="E677" t="s">
        <v>74</v>
      </c>
      <c r="F677" t="s">
        <v>13117</v>
      </c>
      <c r="G677" t="s">
        <v>74</v>
      </c>
      <c r="H677" t="s">
        <v>74</v>
      </c>
      <c r="I677" t="s">
        <v>13118</v>
      </c>
      <c r="J677" t="s">
        <v>1763</v>
      </c>
      <c r="K677" t="s">
        <v>74</v>
      </c>
      <c r="L677" t="s">
        <v>74</v>
      </c>
      <c r="M677" t="s">
        <v>78</v>
      </c>
      <c r="N677" t="s">
        <v>79</v>
      </c>
      <c r="O677" t="s">
        <v>74</v>
      </c>
      <c r="P677" t="s">
        <v>74</v>
      </c>
      <c r="Q677" t="s">
        <v>74</v>
      </c>
      <c r="R677" t="s">
        <v>74</v>
      </c>
      <c r="S677" t="s">
        <v>74</v>
      </c>
      <c r="T677" t="s">
        <v>74</v>
      </c>
      <c r="U677" t="s">
        <v>13119</v>
      </c>
      <c r="V677" t="s">
        <v>13120</v>
      </c>
      <c r="W677" t="s">
        <v>13121</v>
      </c>
      <c r="X677" t="s">
        <v>13122</v>
      </c>
      <c r="Y677" t="s">
        <v>13123</v>
      </c>
      <c r="Z677" t="s">
        <v>13124</v>
      </c>
      <c r="AA677" t="s">
        <v>13125</v>
      </c>
      <c r="AB677" t="s">
        <v>13126</v>
      </c>
      <c r="AC677" t="s">
        <v>13127</v>
      </c>
      <c r="AD677" t="s">
        <v>13128</v>
      </c>
      <c r="AE677" t="s">
        <v>13129</v>
      </c>
      <c r="AF677" t="s">
        <v>74</v>
      </c>
      <c r="AG677">
        <v>61</v>
      </c>
      <c r="AH677">
        <v>1</v>
      </c>
      <c r="AI677">
        <v>1</v>
      </c>
      <c r="AJ677">
        <v>2</v>
      </c>
      <c r="AK677">
        <v>2</v>
      </c>
      <c r="AL677" t="s">
        <v>1775</v>
      </c>
      <c r="AM677" t="s">
        <v>1776</v>
      </c>
      <c r="AN677" t="s">
        <v>1777</v>
      </c>
      <c r="AO677" t="s">
        <v>1778</v>
      </c>
      <c r="AP677" t="s">
        <v>1779</v>
      </c>
      <c r="AQ677" t="s">
        <v>74</v>
      </c>
      <c r="AR677" t="s">
        <v>1763</v>
      </c>
      <c r="AS677" t="s">
        <v>1780</v>
      </c>
      <c r="AT677" t="s">
        <v>13095</v>
      </c>
      <c r="AU677">
        <v>2023</v>
      </c>
      <c r="AV677">
        <v>17</v>
      </c>
      <c r="AW677">
        <v>6</v>
      </c>
      <c r="AX677" t="s">
        <v>74</v>
      </c>
      <c r="AY677" t="s">
        <v>74</v>
      </c>
      <c r="AZ677" t="s">
        <v>74</v>
      </c>
      <c r="BA677" t="s">
        <v>74</v>
      </c>
      <c r="BB677">
        <v>2261</v>
      </c>
      <c r="BC677">
        <v>2283</v>
      </c>
      <c r="BD677" t="s">
        <v>74</v>
      </c>
      <c r="BE677" t="s">
        <v>13130</v>
      </c>
      <c r="BF677" t="str">
        <f>HYPERLINK("http://dx.doi.org/10.5194/tc-17-2261-2023","http://dx.doi.org/10.5194/tc-17-2261-2023")</f>
        <v>http://dx.doi.org/10.5194/tc-17-2261-2023</v>
      </c>
      <c r="BG677" t="s">
        <v>74</v>
      </c>
      <c r="BH677" t="s">
        <v>74</v>
      </c>
      <c r="BI677">
        <v>23</v>
      </c>
      <c r="BJ677" t="s">
        <v>1783</v>
      </c>
      <c r="BK677" t="s">
        <v>104</v>
      </c>
      <c r="BL677" t="s">
        <v>1784</v>
      </c>
      <c r="BM677" t="s">
        <v>13131</v>
      </c>
      <c r="BN677" t="s">
        <v>74</v>
      </c>
      <c r="BO677" t="s">
        <v>821</v>
      </c>
      <c r="BP677" t="s">
        <v>74</v>
      </c>
      <c r="BQ677" t="s">
        <v>74</v>
      </c>
      <c r="BR677" t="s">
        <v>107</v>
      </c>
      <c r="BS677" t="s">
        <v>13132</v>
      </c>
      <c r="BT677" t="str">
        <f>HYPERLINK("https%3A%2F%2Fwww.webofscience.com%2Fwos%2Fwoscc%2Ffull-record%2FWOS:001002662200001","View Full Record in Web of Science")</f>
        <v>View Full Record in Web of Science</v>
      </c>
    </row>
    <row r="678" spans="1:72" x14ac:dyDescent="0.15">
      <c r="A678" t="s">
        <v>72</v>
      </c>
      <c r="B678" t="s">
        <v>13133</v>
      </c>
      <c r="C678" t="s">
        <v>74</v>
      </c>
      <c r="D678" t="s">
        <v>74</v>
      </c>
      <c r="E678" t="s">
        <v>74</v>
      </c>
      <c r="F678" t="s">
        <v>13134</v>
      </c>
      <c r="G678" t="s">
        <v>74</v>
      </c>
      <c r="H678" t="s">
        <v>74</v>
      </c>
      <c r="I678" t="s">
        <v>13135</v>
      </c>
      <c r="J678" t="s">
        <v>13136</v>
      </c>
      <c r="K678" t="s">
        <v>74</v>
      </c>
      <c r="L678" t="s">
        <v>74</v>
      </c>
      <c r="M678" t="s">
        <v>78</v>
      </c>
      <c r="N678" t="s">
        <v>79</v>
      </c>
      <c r="O678" t="s">
        <v>74</v>
      </c>
      <c r="P678" t="s">
        <v>74</v>
      </c>
      <c r="Q678" t="s">
        <v>74</v>
      </c>
      <c r="R678" t="s">
        <v>74</v>
      </c>
      <c r="S678" t="s">
        <v>74</v>
      </c>
      <c r="T678" t="s">
        <v>13137</v>
      </c>
      <c r="U678" t="s">
        <v>13138</v>
      </c>
      <c r="V678" t="s">
        <v>13139</v>
      </c>
      <c r="W678" t="s">
        <v>13140</v>
      </c>
      <c r="X678" t="s">
        <v>4502</v>
      </c>
      <c r="Y678" t="s">
        <v>13141</v>
      </c>
      <c r="Z678" t="s">
        <v>3394</v>
      </c>
      <c r="AA678" t="s">
        <v>74</v>
      </c>
      <c r="AB678" t="s">
        <v>13142</v>
      </c>
      <c r="AC678" t="s">
        <v>74</v>
      </c>
      <c r="AD678" t="s">
        <v>74</v>
      </c>
      <c r="AE678" t="s">
        <v>74</v>
      </c>
      <c r="AF678" t="s">
        <v>74</v>
      </c>
      <c r="AG678">
        <v>45</v>
      </c>
      <c r="AH678">
        <v>2</v>
      </c>
      <c r="AI678">
        <v>2</v>
      </c>
      <c r="AJ678">
        <v>0</v>
      </c>
      <c r="AK678">
        <v>6</v>
      </c>
      <c r="AL678" t="s">
        <v>13143</v>
      </c>
      <c r="AM678" t="s">
        <v>13144</v>
      </c>
      <c r="AN678" t="s">
        <v>13145</v>
      </c>
      <c r="AO678" t="s">
        <v>13146</v>
      </c>
      <c r="AP678" t="s">
        <v>13147</v>
      </c>
      <c r="AQ678" t="s">
        <v>74</v>
      </c>
      <c r="AR678" t="s">
        <v>13148</v>
      </c>
      <c r="AS678" t="s">
        <v>13149</v>
      </c>
      <c r="AT678" t="s">
        <v>8904</v>
      </c>
      <c r="AU678">
        <v>2023</v>
      </c>
      <c r="AV678">
        <v>123</v>
      </c>
      <c r="AW678">
        <v>3</v>
      </c>
      <c r="AX678" t="s">
        <v>74</v>
      </c>
      <c r="AY678" t="s">
        <v>74</v>
      </c>
      <c r="AZ678" t="s">
        <v>74</v>
      </c>
      <c r="BA678" t="s">
        <v>74</v>
      </c>
      <c r="BB678">
        <v>195</v>
      </c>
      <c r="BC678">
        <v>205</v>
      </c>
      <c r="BD678" t="s">
        <v>74</v>
      </c>
      <c r="BE678" t="s">
        <v>13150</v>
      </c>
      <c r="BF678" t="str">
        <f>HYPERLINK("http://dx.doi.org/10.1080/01584197.2023.2214580","http://dx.doi.org/10.1080/01584197.2023.2214580")</f>
        <v>http://dx.doi.org/10.1080/01584197.2023.2214580</v>
      </c>
      <c r="BG678" t="s">
        <v>74</v>
      </c>
      <c r="BH678" t="s">
        <v>10102</v>
      </c>
      <c r="BI678">
        <v>11</v>
      </c>
      <c r="BJ678" t="s">
        <v>8227</v>
      </c>
      <c r="BK678" t="s">
        <v>104</v>
      </c>
      <c r="BL678" t="s">
        <v>620</v>
      </c>
      <c r="BM678" t="s">
        <v>13151</v>
      </c>
      <c r="BN678" t="s">
        <v>74</v>
      </c>
      <c r="BO678" t="s">
        <v>74</v>
      </c>
      <c r="BP678" t="s">
        <v>74</v>
      </c>
      <c r="BQ678" t="s">
        <v>74</v>
      </c>
      <c r="BR678" t="s">
        <v>107</v>
      </c>
      <c r="BS678" t="s">
        <v>13152</v>
      </c>
      <c r="BT678" t="str">
        <f>HYPERLINK("https%3A%2F%2Fwww.webofscience.com%2Fwos%2Fwoscc%2Ffull-record%2FWOS:000999540900001","View Full Record in Web of Science")</f>
        <v>View Full Record in Web of Science</v>
      </c>
    </row>
    <row r="679" spans="1:72" x14ac:dyDescent="0.15">
      <c r="A679" t="s">
        <v>72</v>
      </c>
      <c r="B679" t="s">
        <v>13153</v>
      </c>
      <c r="C679" t="s">
        <v>74</v>
      </c>
      <c r="D679" t="s">
        <v>74</v>
      </c>
      <c r="E679" t="s">
        <v>74</v>
      </c>
      <c r="F679" t="s">
        <v>13154</v>
      </c>
      <c r="G679" t="s">
        <v>74</v>
      </c>
      <c r="H679" t="s">
        <v>74</v>
      </c>
      <c r="I679" t="s">
        <v>13155</v>
      </c>
      <c r="J679" t="s">
        <v>8855</v>
      </c>
      <c r="K679" t="s">
        <v>74</v>
      </c>
      <c r="L679" t="s">
        <v>74</v>
      </c>
      <c r="M679" t="s">
        <v>78</v>
      </c>
      <c r="N679" t="s">
        <v>79</v>
      </c>
      <c r="O679" t="s">
        <v>74</v>
      </c>
      <c r="P679" t="s">
        <v>74</v>
      </c>
      <c r="Q679" t="s">
        <v>74</v>
      </c>
      <c r="R679" t="s">
        <v>74</v>
      </c>
      <c r="S679" t="s">
        <v>74</v>
      </c>
      <c r="T679" t="s">
        <v>74</v>
      </c>
      <c r="U679" t="s">
        <v>13156</v>
      </c>
      <c r="V679" t="s">
        <v>13157</v>
      </c>
      <c r="W679" t="s">
        <v>13158</v>
      </c>
      <c r="X679" t="s">
        <v>13159</v>
      </c>
      <c r="Y679" t="s">
        <v>8916</v>
      </c>
      <c r="Z679" t="s">
        <v>8917</v>
      </c>
      <c r="AA679" t="s">
        <v>13160</v>
      </c>
      <c r="AB679" t="s">
        <v>13161</v>
      </c>
      <c r="AC679" t="s">
        <v>13162</v>
      </c>
      <c r="AD679" t="s">
        <v>13163</v>
      </c>
      <c r="AE679" t="s">
        <v>13164</v>
      </c>
      <c r="AF679" t="s">
        <v>74</v>
      </c>
      <c r="AG679">
        <v>72</v>
      </c>
      <c r="AH679">
        <v>6</v>
      </c>
      <c r="AI679">
        <v>6</v>
      </c>
      <c r="AJ679">
        <v>4</v>
      </c>
      <c r="AK679">
        <v>9</v>
      </c>
      <c r="AL679" t="s">
        <v>146</v>
      </c>
      <c r="AM679" t="s">
        <v>147</v>
      </c>
      <c r="AN679" t="s">
        <v>148</v>
      </c>
      <c r="AO679" t="s">
        <v>74</v>
      </c>
      <c r="AP679" t="s">
        <v>8867</v>
      </c>
      <c r="AQ679" t="s">
        <v>74</v>
      </c>
      <c r="AR679" t="s">
        <v>8868</v>
      </c>
      <c r="AS679" t="s">
        <v>8869</v>
      </c>
      <c r="AT679" t="s">
        <v>13165</v>
      </c>
      <c r="AU679">
        <v>2023</v>
      </c>
      <c r="AV679">
        <v>6</v>
      </c>
      <c r="AW679">
        <v>1</v>
      </c>
      <c r="AX679" t="s">
        <v>74</v>
      </c>
      <c r="AY679" t="s">
        <v>74</v>
      </c>
      <c r="AZ679" t="s">
        <v>74</v>
      </c>
      <c r="BA679" t="s">
        <v>74</v>
      </c>
      <c r="BB679" t="s">
        <v>74</v>
      </c>
      <c r="BC679" t="s">
        <v>74</v>
      </c>
      <c r="BD679">
        <v>607</v>
      </c>
      <c r="BE679" t="s">
        <v>13166</v>
      </c>
      <c r="BF679" t="str">
        <f>HYPERLINK("http://dx.doi.org/10.1038/s42003-023-04962-4","http://dx.doi.org/10.1038/s42003-023-04962-4")</f>
        <v>http://dx.doi.org/10.1038/s42003-023-04962-4</v>
      </c>
      <c r="BG679" t="s">
        <v>74</v>
      </c>
      <c r="BH679" t="s">
        <v>74</v>
      </c>
      <c r="BI679">
        <v>9</v>
      </c>
      <c r="BJ679" t="s">
        <v>8871</v>
      </c>
      <c r="BK679" t="s">
        <v>104</v>
      </c>
      <c r="BL679" t="s">
        <v>8872</v>
      </c>
      <c r="BM679" t="s">
        <v>13167</v>
      </c>
      <c r="BN679">
        <v>37280329</v>
      </c>
      <c r="BO679" t="s">
        <v>821</v>
      </c>
      <c r="BP679" t="s">
        <v>74</v>
      </c>
      <c r="BQ679" t="s">
        <v>74</v>
      </c>
      <c r="BR679" t="s">
        <v>107</v>
      </c>
      <c r="BS679" t="s">
        <v>13168</v>
      </c>
      <c r="BT679" t="str">
        <f>HYPERLINK("https%3A%2F%2Fwww.webofscience.com%2Fwos%2Fwoscc%2Ffull-record%2FWOS:001003821100002","View Full Record in Web of Science")</f>
        <v>View Full Record in Web of Science</v>
      </c>
    </row>
    <row r="680" spans="1:72" x14ac:dyDescent="0.15">
      <c r="A680" t="s">
        <v>72</v>
      </c>
      <c r="B680" t="s">
        <v>13169</v>
      </c>
      <c r="C680" t="s">
        <v>74</v>
      </c>
      <c r="D680" t="s">
        <v>74</v>
      </c>
      <c r="E680" t="s">
        <v>74</v>
      </c>
      <c r="F680" t="s">
        <v>13170</v>
      </c>
      <c r="G680" t="s">
        <v>74</v>
      </c>
      <c r="H680" t="s">
        <v>74</v>
      </c>
      <c r="I680" t="s">
        <v>13171</v>
      </c>
      <c r="J680" t="s">
        <v>13172</v>
      </c>
      <c r="K680" t="s">
        <v>74</v>
      </c>
      <c r="L680" t="s">
        <v>74</v>
      </c>
      <c r="M680" t="s">
        <v>78</v>
      </c>
      <c r="N680" t="s">
        <v>79</v>
      </c>
      <c r="O680" t="s">
        <v>74</v>
      </c>
      <c r="P680" t="s">
        <v>74</v>
      </c>
      <c r="Q680" t="s">
        <v>74</v>
      </c>
      <c r="R680" t="s">
        <v>74</v>
      </c>
      <c r="S680" t="s">
        <v>74</v>
      </c>
      <c r="T680" t="s">
        <v>13173</v>
      </c>
      <c r="U680" t="s">
        <v>13174</v>
      </c>
      <c r="V680" t="s">
        <v>13175</v>
      </c>
      <c r="W680" t="s">
        <v>13176</v>
      </c>
      <c r="X680" t="s">
        <v>3135</v>
      </c>
      <c r="Y680" t="s">
        <v>13177</v>
      </c>
      <c r="Z680" t="s">
        <v>13178</v>
      </c>
      <c r="AA680" t="s">
        <v>74</v>
      </c>
      <c r="AB680" t="s">
        <v>13179</v>
      </c>
      <c r="AC680" t="s">
        <v>7223</v>
      </c>
      <c r="AD680" t="s">
        <v>7224</v>
      </c>
      <c r="AE680" t="s">
        <v>13180</v>
      </c>
      <c r="AF680" t="s">
        <v>74</v>
      </c>
      <c r="AG680">
        <v>27</v>
      </c>
      <c r="AH680">
        <v>0</v>
      </c>
      <c r="AI680">
        <v>0</v>
      </c>
      <c r="AJ680">
        <v>1</v>
      </c>
      <c r="AK680">
        <v>5</v>
      </c>
      <c r="AL680" t="s">
        <v>3672</v>
      </c>
      <c r="AM680" t="s">
        <v>538</v>
      </c>
      <c r="AN680" t="s">
        <v>3673</v>
      </c>
      <c r="AO680" t="s">
        <v>13181</v>
      </c>
      <c r="AP680" t="s">
        <v>13182</v>
      </c>
      <c r="AQ680" t="s">
        <v>74</v>
      </c>
      <c r="AR680" t="s">
        <v>13183</v>
      </c>
      <c r="AS680" t="s">
        <v>13184</v>
      </c>
      <c r="AT680" t="s">
        <v>4689</v>
      </c>
      <c r="AU680">
        <v>2023</v>
      </c>
      <c r="AV680">
        <v>102</v>
      </c>
      <c r="AW680" t="s">
        <v>74</v>
      </c>
      <c r="AX680" t="s">
        <v>74</v>
      </c>
      <c r="AY680" t="s">
        <v>74</v>
      </c>
      <c r="AZ680" t="s">
        <v>74</v>
      </c>
      <c r="BA680" t="s">
        <v>74</v>
      </c>
      <c r="BB680" t="s">
        <v>74</v>
      </c>
      <c r="BC680" t="s">
        <v>74</v>
      </c>
      <c r="BD680">
        <v>102342</v>
      </c>
      <c r="BE680" t="s">
        <v>13185</v>
      </c>
      <c r="BF680" t="str">
        <f>HYPERLINK("http://dx.doi.org/10.1016/j.aquaeng.2023.102342","http://dx.doi.org/10.1016/j.aquaeng.2023.102342")</f>
        <v>http://dx.doi.org/10.1016/j.aquaeng.2023.102342</v>
      </c>
      <c r="BG680" t="s">
        <v>74</v>
      </c>
      <c r="BH680" t="s">
        <v>10102</v>
      </c>
      <c r="BI680">
        <v>10</v>
      </c>
      <c r="BJ680" t="s">
        <v>13186</v>
      </c>
      <c r="BK680" t="s">
        <v>104</v>
      </c>
      <c r="BL680" t="s">
        <v>13187</v>
      </c>
      <c r="BM680" t="s">
        <v>13188</v>
      </c>
      <c r="BN680" t="s">
        <v>74</v>
      </c>
      <c r="BO680" t="s">
        <v>74</v>
      </c>
      <c r="BP680" t="s">
        <v>74</v>
      </c>
      <c r="BQ680" t="s">
        <v>74</v>
      </c>
      <c r="BR680" t="s">
        <v>107</v>
      </c>
      <c r="BS680" t="s">
        <v>13189</v>
      </c>
      <c r="BT680" t="str">
        <f>HYPERLINK("https%3A%2F%2Fwww.webofscience.com%2Fwos%2Fwoscc%2Ffull-record%2FWOS:001015142900001","View Full Record in Web of Science")</f>
        <v>View Full Record in Web of Science</v>
      </c>
    </row>
    <row r="681" spans="1:72" x14ac:dyDescent="0.15">
      <c r="A681" t="s">
        <v>72</v>
      </c>
      <c r="B681" t="s">
        <v>13190</v>
      </c>
      <c r="C681" t="s">
        <v>74</v>
      </c>
      <c r="D681" t="s">
        <v>74</v>
      </c>
      <c r="E681" t="s">
        <v>74</v>
      </c>
      <c r="F681" t="s">
        <v>13191</v>
      </c>
      <c r="G681" t="s">
        <v>74</v>
      </c>
      <c r="H681" t="s">
        <v>74</v>
      </c>
      <c r="I681" t="s">
        <v>13192</v>
      </c>
      <c r="J681" t="s">
        <v>8508</v>
      </c>
      <c r="K681" t="s">
        <v>74</v>
      </c>
      <c r="L681" t="s">
        <v>74</v>
      </c>
      <c r="M681" t="s">
        <v>78</v>
      </c>
      <c r="N681" t="s">
        <v>79</v>
      </c>
      <c r="O681" t="s">
        <v>74</v>
      </c>
      <c r="P681" t="s">
        <v>74</v>
      </c>
      <c r="Q681" t="s">
        <v>74</v>
      </c>
      <c r="R681" t="s">
        <v>74</v>
      </c>
      <c r="S681" t="s">
        <v>74</v>
      </c>
      <c r="T681" t="s">
        <v>74</v>
      </c>
      <c r="U681" t="s">
        <v>74</v>
      </c>
      <c r="V681" t="s">
        <v>74</v>
      </c>
      <c r="W681" t="s">
        <v>13193</v>
      </c>
      <c r="X681" t="s">
        <v>13194</v>
      </c>
      <c r="Y681" t="s">
        <v>13195</v>
      </c>
      <c r="Z681" t="s">
        <v>13196</v>
      </c>
      <c r="AA681" t="s">
        <v>74</v>
      </c>
      <c r="AB681" t="s">
        <v>74</v>
      </c>
      <c r="AC681" t="s">
        <v>13197</v>
      </c>
      <c r="AD681" t="s">
        <v>13198</v>
      </c>
      <c r="AE681" t="s">
        <v>13199</v>
      </c>
      <c r="AF681" t="s">
        <v>74</v>
      </c>
      <c r="AG681">
        <v>2</v>
      </c>
      <c r="AH681">
        <v>0</v>
      </c>
      <c r="AI681">
        <v>0</v>
      </c>
      <c r="AJ681">
        <v>0</v>
      </c>
      <c r="AK681">
        <v>0</v>
      </c>
      <c r="AL681" t="s">
        <v>5368</v>
      </c>
      <c r="AM681" t="s">
        <v>511</v>
      </c>
      <c r="AN681" t="s">
        <v>5369</v>
      </c>
      <c r="AO681" t="s">
        <v>8521</v>
      </c>
      <c r="AP681" t="s">
        <v>8522</v>
      </c>
      <c r="AQ681" t="s">
        <v>74</v>
      </c>
      <c r="AR681" t="s">
        <v>8523</v>
      </c>
      <c r="AS681" t="s">
        <v>8524</v>
      </c>
      <c r="AT681" t="s">
        <v>97</v>
      </c>
      <c r="AU681">
        <v>2023</v>
      </c>
      <c r="AV681">
        <v>40</v>
      </c>
      <c r="AW681">
        <v>9</v>
      </c>
      <c r="AX681" t="s">
        <v>74</v>
      </c>
      <c r="AY681" t="s">
        <v>74</v>
      </c>
      <c r="AZ681" t="s">
        <v>74</v>
      </c>
      <c r="BA681" t="s">
        <v>74</v>
      </c>
      <c r="BB681">
        <v>1722</v>
      </c>
      <c r="BC681">
        <v>1729</v>
      </c>
      <c r="BD681" t="s">
        <v>74</v>
      </c>
      <c r="BE681" t="s">
        <v>13200</v>
      </c>
      <c r="BF681" t="str">
        <f>HYPERLINK("http://dx.doi.org/10.1007/s00376-023-3049-y","http://dx.doi.org/10.1007/s00376-023-3049-y")</f>
        <v>http://dx.doi.org/10.1007/s00376-023-3049-y</v>
      </c>
      <c r="BG681" t="s">
        <v>74</v>
      </c>
      <c r="BH681" t="s">
        <v>10102</v>
      </c>
      <c r="BI681">
        <v>8</v>
      </c>
      <c r="BJ681" t="s">
        <v>103</v>
      </c>
      <c r="BK681" t="s">
        <v>104</v>
      </c>
      <c r="BL681" t="s">
        <v>103</v>
      </c>
      <c r="BM681" t="s">
        <v>13201</v>
      </c>
      <c r="BN681">
        <v>37359907</v>
      </c>
      <c r="BO681" t="s">
        <v>13202</v>
      </c>
      <c r="BP681" t="s">
        <v>74</v>
      </c>
      <c r="BQ681" t="s">
        <v>74</v>
      </c>
      <c r="BR681" t="s">
        <v>107</v>
      </c>
      <c r="BS681" t="s">
        <v>13203</v>
      </c>
      <c r="BT681" t="str">
        <f>HYPERLINK("https%3A%2F%2Fwww.webofscience.com%2Fwos%2Fwoscc%2Ffull-record%2FWOS:001004409800002","View Full Record in Web of Science")</f>
        <v>View Full Record in Web of Science</v>
      </c>
    </row>
    <row r="682" spans="1:72" x14ac:dyDescent="0.15">
      <c r="A682" t="s">
        <v>72</v>
      </c>
      <c r="B682" t="s">
        <v>13204</v>
      </c>
      <c r="C682" t="s">
        <v>74</v>
      </c>
      <c r="D682" t="s">
        <v>74</v>
      </c>
      <c r="E682" t="s">
        <v>74</v>
      </c>
      <c r="F682" t="s">
        <v>13205</v>
      </c>
      <c r="G682" t="s">
        <v>74</v>
      </c>
      <c r="H682" t="s">
        <v>74</v>
      </c>
      <c r="I682" t="s">
        <v>13206</v>
      </c>
      <c r="J682" t="s">
        <v>13207</v>
      </c>
      <c r="K682" t="s">
        <v>74</v>
      </c>
      <c r="L682" t="s">
        <v>74</v>
      </c>
      <c r="M682" t="s">
        <v>78</v>
      </c>
      <c r="N682" t="s">
        <v>79</v>
      </c>
      <c r="O682" t="s">
        <v>74</v>
      </c>
      <c r="P682" t="s">
        <v>74</v>
      </c>
      <c r="Q682" t="s">
        <v>74</v>
      </c>
      <c r="R682" t="s">
        <v>74</v>
      </c>
      <c r="S682" t="s">
        <v>74</v>
      </c>
      <c r="T682" t="s">
        <v>13208</v>
      </c>
      <c r="U682" t="s">
        <v>13209</v>
      </c>
      <c r="V682" t="s">
        <v>13210</v>
      </c>
      <c r="W682" t="s">
        <v>13211</v>
      </c>
      <c r="X682" t="s">
        <v>13212</v>
      </c>
      <c r="Y682" t="s">
        <v>13213</v>
      </c>
      <c r="Z682" t="s">
        <v>13214</v>
      </c>
      <c r="AA682" t="s">
        <v>74</v>
      </c>
      <c r="AB682" t="s">
        <v>13215</v>
      </c>
      <c r="AC682" t="s">
        <v>74</v>
      </c>
      <c r="AD682" t="s">
        <v>74</v>
      </c>
      <c r="AE682" t="s">
        <v>74</v>
      </c>
      <c r="AF682" t="s">
        <v>74</v>
      </c>
      <c r="AG682">
        <v>73</v>
      </c>
      <c r="AH682">
        <v>0</v>
      </c>
      <c r="AI682">
        <v>0</v>
      </c>
      <c r="AJ682">
        <v>4</v>
      </c>
      <c r="AK682">
        <v>7</v>
      </c>
      <c r="AL682" t="s">
        <v>1803</v>
      </c>
      <c r="AM682" t="s">
        <v>299</v>
      </c>
      <c r="AN682" t="s">
        <v>1924</v>
      </c>
      <c r="AO682" t="s">
        <v>13216</v>
      </c>
      <c r="AP682" t="s">
        <v>13217</v>
      </c>
      <c r="AQ682" t="s">
        <v>74</v>
      </c>
      <c r="AR682" t="s">
        <v>13218</v>
      </c>
      <c r="AS682" t="s">
        <v>13219</v>
      </c>
      <c r="AT682" t="s">
        <v>13165</v>
      </c>
      <c r="AU682">
        <v>2023</v>
      </c>
      <c r="AV682">
        <v>103</v>
      </c>
      <c r="AW682" t="s">
        <v>74</v>
      </c>
      <c r="AX682" t="s">
        <v>74</v>
      </c>
      <c r="AY682" t="s">
        <v>74</v>
      </c>
      <c r="AZ682" t="s">
        <v>74</v>
      </c>
      <c r="BA682" t="s">
        <v>74</v>
      </c>
      <c r="BB682" t="s">
        <v>74</v>
      </c>
      <c r="BC682" t="s">
        <v>74</v>
      </c>
      <c r="BD682" t="s">
        <v>13220</v>
      </c>
      <c r="BE682" t="s">
        <v>13221</v>
      </c>
      <c r="BF682" t="str">
        <f>HYPERLINK("http://dx.doi.org/10.1017/S0025315423000255","http://dx.doi.org/10.1017/S0025315423000255")</f>
        <v>http://dx.doi.org/10.1017/S0025315423000255</v>
      </c>
      <c r="BG682" t="s">
        <v>74</v>
      </c>
      <c r="BH682" t="s">
        <v>74</v>
      </c>
      <c r="BI682">
        <v>11</v>
      </c>
      <c r="BJ682" t="s">
        <v>3638</v>
      </c>
      <c r="BK682" t="s">
        <v>104</v>
      </c>
      <c r="BL682" t="s">
        <v>3638</v>
      </c>
      <c r="BM682" t="s">
        <v>13222</v>
      </c>
      <c r="BN682" t="s">
        <v>74</v>
      </c>
      <c r="BO682" t="s">
        <v>1217</v>
      </c>
      <c r="BP682" t="s">
        <v>74</v>
      </c>
      <c r="BQ682" t="s">
        <v>74</v>
      </c>
      <c r="BR682" t="s">
        <v>107</v>
      </c>
      <c r="BS682" t="s">
        <v>13223</v>
      </c>
      <c r="BT682" t="str">
        <f>HYPERLINK("https%3A%2F%2Fwww.webofscience.com%2Fwos%2Fwoscc%2Ffull-record%2FWOS:000999937200001","View Full Record in Web of Science")</f>
        <v>View Full Record in Web of Science</v>
      </c>
    </row>
    <row r="683" spans="1:72" x14ac:dyDescent="0.15">
      <c r="A683" t="s">
        <v>72</v>
      </c>
      <c r="B683" t="s">
        <v>13224</v>
      </c>
      <c r="C683" t="s">
        <v>74</v>
      </c>
      <c r="D683" t="s">
        <v>74</v>
      </c>
      <c r="E683" t="s">
        <v>74</v>
      </c>
      <c r="F683" t="s">
        <v>13225</v>
      </c>
      <c r="G683" t="s">
        <v>74</v>
      </c>
      <c r="H683" t="s">
        <v>74</v>
      </c>
      <c r="I683" t="s">
        <v>13226</v>
      </c>
      <c r="J683" t="s">
        <v>13227</v>
      </c>
      <c r="K683" t="s">
        <v>74</v>
      </c>
      <c r="L683" t="s">
        <v>74</v>
      </c>
      <c r="M683" t="s">
        <v>78</v>
      </c>
      <c r="N683" t="s">
        <v>79</v>
      </c>
      <c r="O683" t="s">
        <v>74</v>
      </c>
      <c r="P683" t="s">
        <v>74</v>
      </c>
      <c r="Q683" t="s">
        <v>74</v>
      </c>
      <c r="R683" t="s">
        <v>74</v>
      </c>
      <c r="S683" t="s">
        <v>74</v>
      </c>
      <c r="T683" t="s">
        <v>13228</v>
      </c>
      <c r="U683" t="s">
        <v>74</v>
      </c>
      <c r="V683" t="s">
        <v>13229</v>
      </c>
      <c r="W683" t="s">
        <v>13230</v>
      </c>
      <c r="X683" t="s">
        <v>13231</v>
      </c>
      <c r="Y683" t="s">
        <v>13232</v>
      </c>
      <c r="Z683" t="s">
        <v>13233</v>
      </c>
      <c r="AA683" t="s">
        <v>13234</v>
      </c>
      <c r="AB683" t="s">
        <v>13235</v>
      </c>
      <c r="AC683" t="s">
        <v>13236</v>
      </c>
      <c r="AD683" t="s">
        <v>13237</v>
      </c>
      <c r="AE683" t="s">
        <v>13238</v>
      </c>
      <c r="AF683" t="s">
        <v>74</v>
      </c>
      <c r="AG683">
        <v>28</v>
      </c>
      <c r="AH683">
        <v>1</v>
      </c>
      <c r="AI683">
        <v>1</v>
      </c>
      <c r="AJ683">
        <v>1</v>
      </c>
      <c r="AK683">
        <v>5</v>
      </c>
      <c r="AL683" t="s">
        <v>994</v>
      </c>
      <c r="AM683" t="s">
        <v>995</v>
      </c>
      <c r="AN683" t="s">
        <v>996</v>
      </c>
      <c r="AO683" t="s">
        <v>13239</v>
      </c>
      <c r="AP683" t="s">
        <v>74</v>
      </c>
      <c r="AQ683" t="s">
        <v>74</v>
      </c>
      <c r="AR683" t="s">
        <v>13240</v>
      </c>
      <c r="AS683" t="s">
        <v>13241</v>
      </c>
      <c r="AT683" t="s">
        <v>13242</v>
      </c>
      <c r="AU683">
        <v>2023</v>
      </c>
      <c r="AV683">
        <v>10</v>
      </c>
      <c r="AW683" t="s">
        <v>74</v>
      </c>
      <c r="AX683" t="s">
        <v>74</v>
      </c>
      <c r="AY683" t="s">
        <v>74</v>
      </c>
      <c r="AZ683" t="s">
        <v>74</v>
      </c>
      <c r="BA683" t="s">
        <v>74</v>
      </c>
      <c r="BB683" t="s">
        <v>74</v>
      </c>
      <c r="BC683" t="s">
        <v>74</v>
      </c>
      <c r="BD683">
        <v>1113706</v>
      </c>
      <c r="BE683" t="s">
        <v>13243</v>
      </c>
      <c r="BF683" t="str">
        <f>HYPERLINK("http://dx.doi.org/10.3389/fspas.2023.1113706","http://dx.doi.org/10.3389/fspas.2023.1113706")</f>
        <v>http://dx.doi.org/10.3389/fspas.2023.1113706</v>
      </c>
      <c r="BG683" t="s">
        <v>74</v>
      </c>
      <c r="BH683" t="s">
        <v>74</v>
      </c>
      <c r="BI683">
        <v>10</v>
      </c>
      <c r="BJ683" t="s">
        <v>845</v>
      </c>
      <c r="BK683" t="s">
        <v>104</v>
      </c>
      <c r="BL683" t="s">
        <v>845</v>
      </c>
      <c r="BM683" t="s">
        <v>13244</v>
      </c>
      <c r="BN683" t="s">
        <v>74</v>
      </c>
      <c r="BO683" t="s">
        <v>206</v>
      </c>
      <c r="BP683" t="s">
        <v>74</v>
      </c>
      <c r="BQ683" t="s">
        <v>74</v>
      </c>
      <c r="BR683" t="s">
        <v>107</v>
      </c>
      <c r="BS683" t="s">
        <v>13245</v>
      </c>
      <c r="BT683" t="str">
        <f>HYPERLINK("https%3A%2F%2Fwww.webofscience.com%2Fwos%2Fwoscc%2Ffull-record%2FWOS:001014009200001","View Full Record in Web of Science")</f>
        <v>View Full Record in Web of Science</v>
      </c>
    </row>
    <row r="684" spans="1:72" x14ac:dyDescent="0.15">
      <c r="A684" t="s">
        <v>72</v>
      </c>
      <c r="B684" t="s">
        <v>13246</v>
      </c>
      <c r="C684" t="s">
        <v>74</v>
      </c>
      <c r="D684" t="s">
        <v>74</v>
      </c>
      <c r="E684" t="s">
        <v>74</v>
      </c>
      <c r="F684" t="s">
        <v>13247</v>
      </c>
      <c r="G684" t="s">
        <v>74</v>
      </c>
      <c r="H684" t="s">
        <v>74</v>
      </c>
      <c r="I684" t="s">
        <v>13248</v>
      </c>
      <c r="J684" t="s">
        <v>983</v>
      </c>
      <c r="K684" t="s">
        <v>74</v>
      </c>
      <c r="L684" t="s">
        <v>74</v>
      </c>
      <c r="M684" t="s">
        <v>78</v>
      </c>
      <c r="N684" t="s">
        <v>79</v>
      </c>
      <c r="O684" t="s">
        <v>74</v>
      </c>
      <c r="P684" t="s">
        <v>74</v>
      </c>
      <c r="Q684" t="s">
        <v>74</v>
      </c>
      <c r="R684" t="s">
        <v>74</v>
      </c>
      <c r="S684" t="s">
        <v>74</v>
      </c>
      <c r="T684" t="s">
        <v>13249</v>
      </c>
      <c r="U684" t="s">
        <v>13250</v>
      </c>
      <c r="V684" t="s">
        <v>13251</v>
      </c>
      <c r="W684" t="s">
        <v>13252</v>
      </c>
      <c r="X684" t="s">
        <v>13253</v>
      </c>
      <c r="Y684" t="s">
        <v>13254</v>
      </c>
      <c r="Z684" t="s">
        <v>13255</v>
      </c>
      <c r="AA684" t="s">
        <v>13256</v>
      </c>
      <c r="AB684" t="s">
        <v>13257</v>
      </c>
      <c r="AC684" t="s">
        <v>74</v>
      </c>
      <c r="AD684" t="s">
        <v>74</v>
      </c>
      <c r="AE684" t="s">
        <v>74</v>
      </c>
      <c r="AF684" t="s">
        <v>74</v>
      </c>
      <c r="AG684">
        <v>89</v>
      </c>
      <c r="AH684">
        <v>2</v>
      </c>
      <c r="AI684">
        <v>2</v>
      </c>
      <c r="AJ684">
        <v>24</v>
      </c>
      <c r="AK684">
        <v>39</v>
      </c>
      <c r="AL684" t="s">
        <v>994</v>
      </c>
      <c r="AM684" t="s">
        <v>995</v>
      </c>
      <c r="AN684" t="s">
        <v>996</v>
      </c>
      <c r="AO684" t="s">
        <v>74</v>
      </c>
      <c r="AP684" t="s">
        <v>997</v>
      </c>
      <c r="AQ684" t="s">
        <v>74</v>
      </c>
      <c r="AR684" t="s">
        <v>998</v>
      </c>
      <c r="AS684" t="s">
        <v>999</v>
      </c>
      <c r="AT684" t="s">
        <v>13242</v>
      </c>
      <c r="AU684">
        <v>2023</v>
      </c>
      <c r="AV684">
        <v>10</v>
      </c>
      <c r="AW684" t="s">
        <v>74</v>
      </c>
      <c r="AX684" t="s">
        <v>74</v>
      </c>
      <c r="AY684" t="s">
        <v>74</v>
      </c>
      <c r="AZ684" t="s">
        <v>74</v>
      </c>
      <c r="BA684" t="s">
        <v>74</v>
      </c>
      <c r="BB684" t="s">
        <v>74</v>
      </c>
      <c r="BC684" t="s">
        <v>74</v>
      </c>
      <c r="BD684">
        <v>1117409</v>
      </c>
      <c r="BE684" t="s">
        <v>13258</v>
      </c>
      <c r="BF684" t="str">
        <f>HYPERLINK("http://dx.doi.org/10.3389/fmars.2023.1117409","http://dx.doi.org/10.3389/fmars.2023.1117409")</f>
        <v>http://dx.doi.org/10.3389/fmars.2023.1117409</v>
      </c>
      <c r="BG684" t="s">
        <v>74</v>
      </c>
      <c r="BH684" t="s">
        <v>74</v>
      </c>
      <c r="BI684">
        <v>11</v>
      </c>
      <c r="BJ684" t="s">
        <v>1001</v>
      </c>
      <c r="BK684" t="s">
        <v>104</v>
      </c>
      <c r="BL684" t="s">
        <v>1002</v>
      </c>
      <c r="BM684" t="s">
        <v>13259</v>
      </c>
      <c r="BN684" t="s">
        <v>74</v>
      </c>
      <c r="BO684" t="s">
        <v>821</v>
      </c>
      <c r="BP684" t="s">
        <v>74</v>
      </c>
      <c r="BQ684" t="s">
        <v>74</v>
      </c>
      <c r="BR684" t="s">
        <v>107</v>
      </c>
      <c r="BS684" t="s">
        <v>13260</v>
      </c>
      <c r="BT684" t="str">
        <f>HYPERLINK("https%3A%2F%2Fwww.webofscience.com%2Fwos%2Fwoscc%2Ffull-record%2FWOS:001007541400001","View Full Record in Web of Science")</f>
        <v>View Full Record in Web of Science</v>
      </c>
    </row>
    <row r="685" spans="1:72" x14ac:dyDescent="0.15">
      <c r="A685" t="s">
        <v>72</v>
      </c>
      <c r="B685" t="s">
        <v>13261</v>
      </c>
      <c r="C685" t="s">
        <v>74</v>
      </c>
      <c r="D685" t="s">
        <v>74</v>
      </c>
      <c r="E685" t="s">
        <v>74</v>
      </c>
      <c r="F685" t="s">
        <v>13262</v>
      </c>
      <c r="G685" t="s">
        <v>74</v>
      </c>
      <c r="H685" t="s">
        <v>74</v>
      </c>
      <c r="I685" t="s">
        <v>13263</v>
      </c>
      <c r="J685" t="s">
        <v>13264</v>
      </c>
      <c r="K685" t="s">
        <v>74</v>
      </c>
      <c r="L685" t="s">
        <v>74</v>
      </c>
      <c r="M685" t="s">
        <v>78</v>
      </c>
      <c r="N685" t="s">
        <v>79</v>
      </c>
      <c r="O685" t="s">
        <v>74</v>
      </c>
      <c r="P685" t="s">
        <v>74</v>
      </c>
      <c r="Q685" t="s">
        <v>74</v>
      </c>
      <c r="R685" t="s">
        <v>74</v>
      </c>
      <c r="S685" t="s">
        <v>74</v>
      </c>
      <c r="T685" t="s">
        <v>13265</v>
      </c>
      <c r="U685" t="s">
        <v>13266</v>
      </c>
      <c r="V685" t="s">
        <v>13267</v>
      </c>
      <c r="W685" t="s">
        <v>13268</v>
      </c>
      <c r="X685" t="s">
        <v>6323</v>
      </c>
      <c r="Y685" t="s">
        <v>13269</v>
      </c>
      <c r="Z685" t="s">
        <v>6325</v>
      </c>
      <c r="AA685" t="s">
        <v>13270</v>
      </c>
      <c r="AB685" t="s">
        <v>13271</v>
      </c>
      <c r="AC685" t="s">
        <v>13272</v>
      </c>
      <c r="AD685" t="s">
        <v>13273</v>
      </c>
      <c r="AE685" t="s">
        <v>13274</v>
      </c>
      <c r="AF685" t="s">
        <v>74</v>
      </c>
      <c r="AG685">
        <v>79</v>
      </c>
      <c r="AH685">
        <v>1</v>
      </c>
      <c r="AI685">
        <v>1</v>
      </c>
      <c r="AJ685">
        <v>4</v>
      </c>
      <c r="AK685">
        <v>10</v>
      </c>
      <c r="AL685" t="s">
        <v>11533</v>
      </c>
      <c r="AM685" t="s">
        <v>589</v>
      </c>
      <c r="AN685" t="s">
        <v>11534</v>
      </c>
      <c r="AO685" t="s">
        <v>13275</v>
      </c>
      <c r="AP685" t="s">
        <v>74</v>
      </c>
      <c r="AQ685" t="s">
        <v>74</v>
      </c>
      <c r="AR685" t="s">
        <v>13276</v>
      </c>
      <c r="AS685" t="s">
        <v>13277</v>
      </c>
      <c r="AT685" t="s">
        <v>3189</v>
      </c>
      <c r="AU685">
        <v>2023</v>
      </c>
      <c r="AV685">
        <v>11</v>
      </c>
      <c r="AW685">
        <v>4</v>
      </c>
      <c r="AX685" t="s">
        <v>74</v>
      </c>
      <c r="AY685" t="s">
        <v>74</v>
      </c>
      <c r="AZ685" t="s">
        <v>74</v>
      </c>
      <c r="BA685" t="s">
        <v>74</v>
      </c>
      <c r="BB685" t="s">
        <v>74</v>
      </c>
      <c r="BC685" t="s">
        <v>74</v>
      </c>
      <c r="BD685" t="s">
        <v>74</v>
      </c>
      <c r="BE685" t="s">
        <v>13278</v>
      </c>
      <c r="BF685" t="str">
        <f>HYPERLINK("http://dx.doi.org/10.1128/spectrum.05335-22","http://dx.doi.org/10.1128/spectrum.05335-22")</f>
        <v>http://dx.doi.org/10.1128/spectrum.05335-22</v>
      </c>
      <c r="BG685" t="s">
        <v>74</v>
      </c>
      <c r="BH685" t="s">
        <v>10102</v>
      </c>
      <c r="BI685">
        <v>17</v>
      </c>
      <c r="BJ685" t="s">
        <v>702</v>
      </c>
      <c r="BK685" t="s">
        <v>104</v>
      </c>
      <c r="BL685" t="s">
        <v>702</v>
      </c>
      <c r="BM685" t="s">
        <v>13279</v>
      </c>
      <c r="BN685">
        <v>37272818</v>
      </c>
      <c r="BO685" t="s">
        <v>181</v>
      </c>
      <c r="BP685" t="s">
        <v>74</v>
      </c>
      <c r="BQ685" t="s">
        <v>74</v>
      </c>
      <c r="BR685" t="s">
        <v>107</v>
      </c>
      <c r="BS685" t="s">
        <v>13280</v>
      </c>
      <c r="BT685" t="str">
        <f>HYPERLINK("https%3A%2F%2Fwww.webofscience.com%2Fwos%2Fwoscc%2Ffull-record%2FWOS:001000550600001","View Full Record in Web of Science")</f>
        <v>View Full Record in Web of Science</v>
      </c>
    </row>
    <row r="686" spans="1:72" x14ac:dyDescent="0.15">
      <c r="A686" t="s">
        <v>72</v>
      </c>
      <c r="B686" t="s">
        <v>13281</v>
      </c>
      <c r="C686" t="s">
        <v>74</v>
      </c>
      <c r="D686" t="s">
        <v>74</v>
      </c>
      <c r="E686" t="s">
        <v>74</v>
      </c>
      <c r="F686" t="s">
        <v>13282</v>
      </c>
      <c r="G686" t="s">
        <v>74</v>
      </c>
      <c r="H686" t="s">
        <v>74</v>
      </c>
      <c r="I686" t="s">
        <v>13283</v>
      </c>
      <c r="J686" t="s">
        <v>13284</v>
      </c>
      <c r="K686" t="s">
        <v>74</v>
      </c>
      <c r="L686" t="s">
        <v>74</v>
      </c>
      <c r="M686" t="s">
        <v>78</v>
      </c>
      <c r="N686" t="s">
        <v>79</v>
      </c>
      <c r="O686" t="s">
        <v>74</v>
      </c>
      <c r="P686" t="s">
        <v>74</v>
      </c>
      <c r="Q686" t="s">
        <v>74</v>
      </c>
      <c r="R686" t="s">
        <v>74</v>
      </c>
      <c r="S686" t="s">
        <v>74</v>
      </c>
      <c r="T686" t="s">
        <v>13285</v>
      </c>
      <c r="U686" t="s">
        <v>13286</v>
      </c>
      <c r="V686" t="s">
        <v>13287</v>
      </c>
      <c r="W686" t="s">
        <v>13288</v>
      </c>
      <c r="X686" t="s">
        <v>13289</v>
      </c>
      <c r="Y686" t="s">
        <v>13290</v>
      </c>
      <c r="Z686" t="s">
        <v>13291</v>
      </c>
      <c r="AA686" t="s">
        <v>74</v>
      </c>
      <c r="AB686" t="s">
        <v>74</v>
      </c>
      <c r="AC686" t="s">
        <v>13292</v>
      </c>
      <c r="AD686" t="s">
        <v>13293</v>
      </c>
      <c r="AE686" t="s">
        <v>13294</v>
      </c>
      <c r="AF686" t="s">
        <v>74</v>
      </c>
      <c r="AG686">
        <v>19</v>
      </c>
      <c r="AH686">
        <v>0</v>
      </c>
      <c r="AI686">
        <v>0</v>
      </c>
      <c r="AJ686">
        <v>2</v>
      </c>
      <c r="AK686">
        <v>2</v>
      </c>
      <c r="AL686" t="s">
        <v>2762</v>
      </c>
      <c r="AM686" t="s">
        <v>2763</v>
      </c>
      <c r="AN686" t="s">
        <v>2764</v>
      </c>
      <c r="AO686" t="s">
        <v>74</v>
      </c>
      <c r="AP686" t="s">
        <v>13295</v>
      </c>
      <c r="AQ686" t="s">
        <v>74</v>
      </c>
      <c r="AR686" t="s">
        <v>13296</v>
      </c>
      <c r="AS686" t="s">
        <v>13297</v>
      </c>
      <c r="AT686" t="s">
        <v>13298</v>
      </c>
      <c r="AU686">
        <v>2023</v>
      </c>
      <c r="AV686">
        <v>8</v>
      </c>
      <c r="AW686">
        <v>6</v>
      </c>
      <c r="AX686" t="s">
        <v>74</v>
      </c>
      <c r="AY686" t="s">
        <v>74</v>
      </c>
      <c r="AZ686" t="s">
        <v>74</v>
      </c>
      <c r="BA686" t="s">
        <v>74</v>
      </c>
      <c r="BB686">
        <v>704</v>
      </c>
      <c r="BC686">
        <v>708</v>
      </c>
      <c r="BD686" t="s">
        <v>74</v>
      </c>
      <c r="BE686" t="s">
        <v>13299</v>
      </c>
      <c r="BF686" t="str">
        <f>HYPERLINK("http://dx.doi.org/10.1080/23802359.2023.2226258","http://dx.doi.org/10.1080/23802359.2023.2226258")</f>
        <v>http://dx.doi.org/10.1080/23802359.2023.2226258</v>
      </c>
      <c r="BG686" t="s">
        <v>74</v>
      </c>
      <c r="BH686" t="s">
        <v>74</v>
      </c>
      <c r="BI686">
        <v>5</v>
      </c>
      <c r="BJ686" t="s">
        <v>9500</v>
      </c>
      <c r="BK686" t="s">
        <v>104</v>
      </c>
      <c r="BL686" t="s">
        <v>9500</v>
      </c>
      <c r="BM686" t="s">
        <v>13300</v>
      </c>
      <c r="BN686">
        <v>37389154</v>
      </c>
      <c r="BO686" t="s">
        <v>821</v>
      </c>
      <c r="BP686" t="s">
        <v>74</v>
      </c>
      <c r="BQ686" t="s">
        <v>74</v>
      </c>
      <c r="BR686" t="s">
        <v>107</v>
      </c>
      <c r="BS686" t="s">
        <v>13301</v>
      </c>
      <c r="BT686" t="str">
        <f>HYPERLINK("https%3A%2F%2Fwww.webofscience.com%2Fwos%2Fwoscc%2Ffull-record%2FWOS:001014372800001","View Full Record in Web of Science")</f>
        <v>View Full Record in Web of Science</v>
      </c>
    </row>
    <row r="687" spans="1:72" x14ac:dyDescent="0.15">
      <c r="A687" t="s">
        <v>72</v>
      </c>
      <c r="B687" t="s">
        <v>13302</v>
      </c>
      <c r="C687" t="s">
        <v>74</v>
      </c>
      <c r="D687" t="s">
        <v>74</v>
      </c>
      <c r="E687" t="s">
        <v>74</v>
      </c>
      <c r="F687" t="s">
        <v>13303</v>
      </c>
      <c r="G687" t="s">
        <v>74</v>
      </c>
      <c r="H687" t="s">
        <v>74</v>
      </c>
      <c r="I687" t="s">
        <v>13304</v>
      </c>
      <c r="J687" t="s">
        <v>2292</v>
      </c>
      <c r="K687" t="s">
        <v>74</v>
      </c>
      <c r="L687" t="s">
        <v>74</v>
      </c>
      <c r="M687" t="s">
        <v>78</v>
      </c>
      <c r="N687" t="s">
        <v>424</v>
      </c>
      <c r="O687" t="s">
        <v>74</v>
      </c>
      <c r="P687" t="s">
        <v>74</v>
      </c>
      <c r="Q687" t="s">
        <v>74</v>
      </c>
      <c r="R687" t="s">
        <v>74</v>
      </c>
      <c r="S687" t="s">
        <v>74</v>
      </c>
      <c r="T687" t="s">
        <v>13305</v>
      </c>
      <c r="U687" t="s">
        <v>13306</v>
      </c>
      <c r="V687" t="s">
        <v>13307</v>
      </c>
      <c r="W687" t="s">
        <v>13308</v>
      </c>
      <c r="X687" t="s">
        <v>13309</v>
      </c>
      <c r="Y687" t="s">
        <v>13310</v>
      </c>
      <c r="Z687" t="s">
        <v>13311</v>
      </c>
      <c r="AA687" t="s">
        <v>74</v>
      </c>
      <c r="AB687" t="s">
        <v>13312</v>
      </c>
      <c r="AC687" t="s">
        <v>13313</v>
      </c>
      <c r="AD687" t="s">
        <v>13314</v>
      </c>
      <c r="AE687" t="s">
        <v>13315</v>
      </c>
      <c r="AF687" t="s">
        <v>74</v>
      </c>
      <c r="AG687">
        <v>65</v>
      </c>
      <c r="AH687">
        <v>2</v>
      </c>
      <c r="AI687">
        <v>2</v>
      </c>
      <c r="AJ687">
        <v>6</v>
      </c>
      <c r="AK687">
        <v>11</v>
      </c>
      <c r="AL687" t="s">
        <v>2305</v>
      </c>
      <c r="AM687" t="s">
        <v>538</v>
      </c>
      <c r="AN687" t="s">
        <v>2306</v>
      </c>
      <c r="AO687" t="s">
        <v>2307</v>
      </c>
      <c r="AP687" t="s">
        <v>2308</v>
      </c>
      <c r="AQ687" t="s">
        <v>74</v>
      </c>
      <c r="AR687" t="s">
        <v>2309</v>
      </c>
      <c r="AS687" t="s">
        <v>2310</v>
      </c>
      <c r="AT687" t="s">
        <v>3612</v>
      </c>
      <c r="AU687">
        <v>2023</v>
      </c>
      <c r="AV687">
        <v>192</v>
      </c>
      <c r="AW687" t="s">
        <v>74</v>
      </c>
      <c r="AX687" t="s">
        <v>74</v>
      </c>
      <c r="AY687" t="s">
        <v>74</v>
      </c>
      <c r="AZ687" t="s">
        <v>74</v>
      </c>
      <c r="BA687" t="s">
        <v>74</v>
      </c>
      <c r="BB687" t="s">
        <v>74</v>
      </c>
      <c r="BC687" t="s">
        <v>74</v>
      </c>
      <c r="BD687">
        <v>115133</v>
      </c>
      <c r="BE687" t="s">
        <v>13316</v>
      </c>
      <c r="BF687" t="str">
        <f>HYPERLINK("http://dx.doi.org/10.1016/j.marpolbul.2023.115133","http://dx.doi.org/10.1016/j.marpolbul.2023.115133")</f>
        <v>http://dx.doi.org/10.1016/j.marpolbul.2023.115133</v>
      </c>
      <c r="BG687" t="s">
        <v>74</v>
      </c>
      <c r="BH687" t="s">
        <v>10102</v>
      </c>
      <c r="BI687">
        <v>6</v>
      </c>
      <c r="BJ687" t="s">
        <v>1001</v>
      </c>
      <c r="BK687" t="s">
        <v>104</v>
      </c>
      <c r="BL687" t="s">
        <v>1002</v>
      </c>
      <c r="BM687" t="s">
        <v>13317</v>
      </c>
      <c r="BN687">
        <v>37276708</v>
      </c>
      <c r="BO687" t="s">
        <v>74</v>
      </c>
      <c r="BP687" t="s">
        <v>74</v>
      </c>
      <c r="BQ687" t="s">
        <v>74</v>
      </c>
      <c r="BR687" t="s">
        <v>107</v>
      </c>
      <c r="BS687" t="s">
        <v>13318</v>
      </c>
      <c r="BT687" t="str">
        <f>HYPERLINK("https%3A%2F%2Fwww.webofscience.com%2Fwos%2Fwoscc%2Ffull-record%2FWOS:001013545400001","View Full Record in Web of Science")</f>
        <v>View Full Record in Web of Science</v>
      </c>
    </row>
    <row r="688" spans="1:72" x14ac:dyDescent="0.15">
      <c r="A688" t="s">
        <v>72</v>
      </c>
      <c r="B688" t="s">
        <v>13319</v>
      </c>
      <c r="C688" t="s">
        <v>74</v>
      </c>
      <c r="D688" t="s">
        <v>74</v>
      </c>
      <c r="E688" t="s">
        <v>74</v>
      </c>
      <c r="F688" t="s">
        <v>13320</v>
      </c>
      <c r="G688" t="s">
        <v>74</v>
      </c>
      <c r="H688" t="s">
        <v>74</v>
      </c>
      <c r="I688" t="s">
        <v>13321</v>
      </c>
      <c r="J688" t="s">
        <v>4475</v>
      </c>
      <c r="K688" t="s">
        <v>74</v>
      </c>
      <c r="L688" t="s">
        <v>74</v>
      </c>
      <c r="M688" t="s">
        <v>78</v>
      </c>
      <c r="N688" t="s">
        <v>79</v>
      </c>
      <c r="O688" t="s">
        <v>74</v>
      </c>
      <c r="P688" t="s">
        <v>74</v>
      </c>
      <c r="Q688" t="s">
        <v>74</v>
      </c>
      <c r="R688" t="s">
        <v>74</v>
      </c>
      <c r="S688" t="s">
        <v>74</v>
      </c>
      <c r="T688" t="s">
        <v>74</v>
      </c>
      <c r="U688" t="s">
        <v>13322</v>
      </c>
      <c r="V688" t="s">
        <v>13323</v>
      </c>
      <c r="W688" t="s">
        <v>13324</v>
      </c>
      <c r="X688" t="s">
        <v>13325</v>
      </c>
      <c r="Y688" t="s">
        <v>13326</v>
      </c>
      <c r="Z688" t="s">
        <v>13327</v>
      </c>
      <c r="AA688" t="s">
        <v>13328</v>
      </c>
      <c r="AB688" t="s">
        <v>13329</v>
      </c>
      <c r="AC688" t="s">
        <v>13330</v>
      </c>
      <c r="AD688" t="s">
        <v>13330</v>
      </c>
      <c r="AE688" t="s">
        <v>13331</v>
      </c>
      <c r="AF688" t="s">
        <v>74</v>
      </c>
      <c r="AG688">
        <v>184</v>
      </c>
      <c r="AH688">
        <v>2</v>
      </c>
      <c r="AI688">
        <v>2</v>
      </c>
      <c r="AJ688">
        <v>2</v>
      </c>
      <c r="AK688">
        <v>11</v>
      </c>
      <c r="AL688" t="s">
        <v>146</v>
      </c>
      <c r="AM688" t="s">
        <v>147</v>
      </c>
      <c r="AN688" t="s">
        <v>148</v>
      </c>
      <c r="AO688" t="s">
        <v>74</v>
      </c>
      <c r="AP688" t="s">
        <v>4487</v>
      </c>
      <c r="AQ688" t="s">
        <v>74</v>
      </c>
      <c r="AR688" t="s">
        <v>4488</v>
      </c>
      <c r="AS688" t="s">
        <v>4489</v>
      </c>
      <c r="AT688" t="s">
        <v>13298</v>
      </c>
      <c r="AU688">
        <v>2023</v>
      </c>
      <c r="AV688">
        <v>10</v>
      </c>
      <c r="AW688">
        <v>1</v>
      </c>
      <c r="AX688" t="s">
        <v>74</v>
      </c>
      <c r="AY688" t="s">
        <v>74</v>
      </c>
      <c r="AZ688" t="s">
        <v>74</v>
      </c>
      <c r="BA688" t="s">
        <v>74</v>
      </c>
      <c r="BB688" t="s">
        <v>74</v>
      </c>
      <c r="BC688" t="s">
        <v>74</v>
      </c>
      <c r="BD688">
        <v>354</v>
      </c>
      <c r="BE688" t="s">
        <v>13332</v>
      </c>
      <c r="BF688" t="str">
        <f>HYPERLINK("http://dx.doi.org/10.1038/s41597-023-02264-2","http://dx.doi.org/10.1038/s41597-023-02264-2")</f>
        <v>http://dx.doi.org/10.1038/s41597-023-02264-2</v>
      </c>
      <c r="BG688" t="s">
        <v>74</v>
      </c>
      <c r="BH688" t="s">
        <v>74</v>
      </c>
      <c r="BI688">
        <v>16</v>
      </c>
      <c r="BJ688" t="s">
        <v>1881</v>
      </c>
      <c r="BK688" t="s">
        <v>104</v>
      </c>
      <c r="BL688" t="s">
        <v>1882</v>
      </c>
      <c r="BM688" t="s">
        <v>13333</v>
      </c>
      <c r="BN688">
        <v>37270659</v>
      </c>
      <c r="BO688" t="s">
        <v>7265</v>
      </c>
      <c r="BP688" t="s">
        <v>74</v>
      </c>
      <c r="BQ688" t="s">
        <v>74</v>
      </c>
      <c r="BR688" t="s">
        <v>107</v>
      </c>
      <c r="BS688" t="s">
        <v>13334</v>
      </c>
      <c r="BT688" t="str">
        <f>HYPERLINK("https%3A%2F%2Fwww.webofscience.com%2Fwos%2Fwoscc%2Ffull-record%2FWOS:000999987300002","View Full Record in Web of Science")</f>
        <v>View Full Record in Web of Science</v>
      </c>
    </row>
    <row r="689" spans="1:72" x14ac:dyDescent="0.15">
      <c r="A689" t="s">
        <v>72</v>
      </c>
      <c r="B689" t="s">
        <v>13335</v>
      </c>
      <c r="C689" t="s">
        <v>74</v>
      </c>
      <c r="D689" t="s">
        <v>74</v>
      </c>
      <c r="E689" t="s">
        <v>74</v>
      </c>
      <c r="F689" t="s">
        <v>13336</v>
      </c>
      <c r="G689" t="s">
        <v>74</v>
      </c>
      <c r="H689" t="s">
        <v>74</v>
      </c>
      <c r="I689" t="s">
        <v>13337</v>
      </c>
      <c r="J689" t="s">
        <v>3756</v>
      </c>
      <c r="K689" t="s">
        <v>74</v>
      </c>
      <c r="L689" t="s">
        <v>74</v>
      </c>
      <c r="M689" t="s">
        <v>78</v>
      </c>
      <c r="N689" t="s">
        <v>79</v>
      </c>
      <c r="O689" t="s">
        <v>74</v>
      </c>
      <c r="P689" t="s">
        <v>74</v>
      </c>
      <c r="Q689" t="s">
        <v>74</v>
      </c>
      <c r="R689" t="s">
        <v>74</v>
      </c>
      <c r="S689" t="s">
        <v>74</v>
      </c>
      <c r="T689" t="s">
        <v>13338</v>
      </c>
      <c r="U689" t="s">
        <v>13339</v>
      </c>
      <c r="V689" t="s">
        <v>13340</v>
      </c>
      <c r="W689" t="s">
        <v>13341</v>
      </c>
      <c r="X689" t="s">
        <v>13342</v>
      </c>
      <c r="Y689" t="s">
        <v>13343</v>
      </c>
      <c r="Z689" t="s">
        <v>13344</v>
      </c>
      <c r="AA689" t="s">
        <v>74</v>
      </c>
      <c r="AB689" t="s">
        <v>13345</v>
      </c>
      <c r="AC689" t="s">
        <v>74</v>
      </c>
      <c r="AD689" t="s">
        <v>74</v>
      </c>
      <c r="AE689" t="s">
        <v>74</v>
      </c>
      <c r="AF689" t="s">
        <v>74</v>
      </c>
      <c r="AG689">
        <v>60</v>
      </c>
      <c r="AH689">
        <v>0</v>
      </c>
      <c r="AI689">
        <v>0</v>
      </c>
      <c r="AJ689">
        <v>1</v>
      </c>
      <c r="AK689">
        <v>2</v>
      </c>
      <c r="AL689" t="s">
        <v>298</v>
      </c>
      <c r="AM689" t="s">
        <v>299</v>
      </c>
      <c r="AN689" t="s">
        <v>300</v>
      </c>
      <c r="AO689" t="s">
        <v>3767</v>
      </c>
      <c r="AP689" t="s">
        <v>3768</v>
      </c>
      <c r="AQ689" t="s">
        <v>74</v>
      </c>
      <c r="AR689" t="s">
        <v>3769</v>
      </c>
      <c r="AS689" t="s">
        <v>3770</v>
      </c>
      <c r="AT689" t="s">
        <v>3612</v>
      </c>
      <c r="AU689">
        <v>2023</v>
      </c>
      <c r="AV689">
        <v>46</v>
      </c>
      <c r="AW689">
        <v>7</v>
      </c>
      <c r="AX689" t="s">
        <v>74</v>
      </c>
      <c r="AY689" t="s">
        <v>74</v>
      </c>
      <c r="AZ689" t="s">
        <v>74</v>
      </c>
      <c r="BA689" t="s">
        <v>74</v>
      </c>
      <c r="BB689">
        <v>597</v>
      </c>
      <c r="BC689">
        <v>610</v>
      </c>
      <c r="BD689" t="s">
        <v>74</v>
      </c>
      <c r="BE689" t="s">
        <v>13346</v>
      </c>
      <c r="BF689" t="str">
        <f>HYPERLINK("http://dx.doi.org/10.1007/s00300-023-03146-4","http://dx.doi.org/10.1007/s00300-023-03146-4")</f>
        <v>http://dx.doi.org/10.1007/s00300-023-03146-4</v>
      </c>
      <c r="BG689" t="s">
        <v>74</v>
      </c>
      <c r="BH689" t="s">
        <v>10102</v>
      </c>
      <c r="BI689">
        <v>14</v>
      </c>
      <c r="BJ689" t="s">
        <v>3772</v>
      </c>
      <c r="BK689" t="s">
        <v>104</v>
      </c>
      <c r="BL689" t="s">
        <v>1905</v>
      </c>
      <c r="BM689" t="s">
        <v>13347</v>
      </c>
      <c r="BN689" t="s">
        <v>74</v>
      </c>
      <c r="BO689" t="s">
        <v>2670</v>
      </c>
      <c r="BP689" t="s">
        <v>74</v>
      </c>
      <c r="BQ689" t="s">
        <v>74</v>
      </c>
      <c r="BR689" t="s">
        <v>107</v>
      </c>
      <c r="BS689" t="s">
        <v>13348</v>
      </c>
      <c r="BT689" t="str">
        <f>HYPERLINK("https%3A%2F%2Fwww.webofscience.com%2Fwos%2Fwoscc%2Ffull-record%2FWOS:000998660700001","View Full Record in Web of Science")</f>
        <v>View Full Record in Web of Science</v>
      </c>
    </row>
    <row r="690" spans="1:72" x14ac:dyDescent="0.15">
      <c r="A690" t="s">
        <v>72</v>
      </c>
      <c r="B690" t="s">
        <v>13349</v>
      </c>
      <c r="C690" t="s">
        <v>74</v>
      </c>
      <c r="D690" t="s">
        <v>74</v>
      </c>
      <c r="E690" t="s">
        <v>74</v>
      </c>
      <c r="F690" t="s">
        <v>13350</v>
      </c>
      <c r="G690" t="s">
        <v>74</v>
      </c>
      <c r="H690" t="s">
        <v>74</v>
      </c>
      <c r="I690" t="s">
        <v>13351</v>
      </c>
      <c r="J690" t="s">
        <v>13352</v>
      </c>
      <c r="K690" t="s">
        <v>74</v>
      </c>
      <c r="L690" t="s">
        <v>74</v>
      </c>
      <c r="M690" t="s">
        <v>78</v>
      </c>
      <c r="N690" t="s">
        <v>79</v>
      </c>
      <c r="O690" t="s">
        <v>74</v>
      </c>
      <c r="P690" t="s">
        <v>74</v>
      </c>
      <c r="Q690" t="s">
        <v>74</v>
      </c>
      <c r="R690" t="s">
        <v>74</v>
      </c>
      <c r="S690" t="s">
        <v>74</v>
      </c>
      <c r="T690" t="s">
        <v>13353</v>
      </c>
      <c r="U690" t="s">
        <v>13354</v>
      </c>
      <c r="V690" t="s">
        <v>13355</v>
      </c>
      <c r="W690" t="s">
        <v>13356</v>
      </c>
      <c r="X690" t="s">
        <v>13357</v>
      </c>
      <c r="Y690" t="s">
        <v>13358</v>
      </c>
      <c r="Z690" t="s">
        <v>13359</v>
      </c>
      <c r="AA690" t="s">
        <v>74</v>
      </c>
      <c r="AB690" t="s">
        <v>74</v>
      </c>
      <c r="AC690" t="s">
        <v>13360</v>
      </c>
      <c r="AD690" t="s">
        <v>13361</v>
      </c>
      <c r="AE690" t="s">
        <v>13362</v>
      </c>
      <c r="AF690" t="s">
        <v>74</v>
      </c>
      <c r="AG690">
        <v>35</v>
      </c>
      <c r="AH690">
        <v>0</v>
      </c>
      <c r="AI690">
        <v>0</v>
      </c>
      <c r="AJ690">
        <v>1</v>
      </c>
      <c r="AK690">
        <v>1</v>
      </c>
      <c r="AL690" t="s">
        <v>994</v>
      </c>
      <c r="AM690" t="s">
        <v>995</v>
      </c>
      <c r="AN690" t="s">
        <v>996</v>
      </c>
      <c r="AO690" t="s">
        <v>74</v>
      </c>
      <c r="AP690" t="s">
        <v>13363</v>
      </c>
      <c r="AQ690" t="s">
        <v>74</v>
      </c>
      <c r="AR690" t="s">
        <v>13364</v>
      </c>
      <c r="AS690" t="s">
        <v>13365</v>
      </c>
      <c r="AT690" t="s">
        <v>13366</v>
      </c>
      <c r="AU690">
        <v>2023</v>
      </c>
      <c r="AV690">
        <v>3</v>
      </c>
      <c r="AW690" t="s">
        <v>74</v>
      </c>
      <c r="AX690" t="s">
        <v>74</v>
      </c>
      <c r="AY690" t="s">
        <v>74</v>
      </c>
      <c r="AZ690" t="s">
        <v>74</v>
      </c>
      <c r="BA690" t="s">
        <v>74</v>
      </c>
      <c r="BB690" t="s">
        <v>74</v>
      </c>
      <c r="BC690" t="s">
        <v>74</v>
      </c>
      <c r="BD690">
        <v>1157659</v>
      </c>
      <c r="BE690" t="s">
        <v>13367</v>
      </c>
      <c r="BF690" t="str">
        <f>HYPERLINK("http://dx.doi.org/10.3389/fviro.2023.1157659","http://dx.doi.org/10.3389/fviro.2023.1157659")</f>
        <v>http://dx.doi.org/10.3389/fviro.2023.1157659</v>
      </c>
      <c r="BG690" t="s">
        <v>74</v>
      </c>
      <c r="BH690" t="s">
        <v>74</v>
      </c>
      <c r="BI690">
        <v>9</v>
      </c>
      <c r="BJ690" t="s">
        <v>6336</v>
      </c>
      <c r="BK690" t="s">
        <v>518</v>
      </c>
      <c r="BL690" t="s">
        <v>6336</v>
      </c>
      <c r="BM690" t="s">
        <v>13368</v>
      </c>
      <c r="BN690" t="s">
        <v>74</v>
      </c>
      <c r="BO690" t="s">
        <v>206</v>
      </c>
      <c r="BP690" t="s">
        <v>74</v>
      </c>
      <c r="BQ690" t="s">
        <v>74</v>
      </c>
      <c r="BR690" t="s">
        <v>107</v>
      </c>
      <c r="BS690" t="s">
        <v>13369</v>
      </c>
      <c r="BT690" t="str">
        <f>HYPERLINK("https%3A%2F%2Fwww.webofscience.com%2Fwos%2Fwoscc%2Ffull-record%2FWOS:001090456300001","View Full Record in Web of Science")</f>
        <v>View Full Record in Web of Science</v>
      </c>
    </row>
    <row r="691" spans="1:72" x14ac:dyDescent="0.15">
      <c r="A691" t="s">
        <v>72</v>
      </c>
      <c r="B691" t="s">
        <v>13370</v>
      </c>
      <c r="C691" t="s">
        <v>74</v>
      </c>
      <c r="D691" t="s">
        <v>74</v>
      </c>
      <c r="E691" t="s">
        <v>74</v>
      </c>
      <c r="F691" t="s">
        <v>13371</v>
      </c>
      <c r="G691" t="s">
        <v>74</v>
      </c>
      <c r="H691" t="s">
        <v>74</v>
      </c>
      <c r="I691" t="s">
        <v>13372</v>
      </c>
      <c r="J691" t="s">
        <v>6100</v>
      </c>
      <c r="K691" t="s">
        <v>74</v>
      </c>
      <c r="L691" t="s">
        <v>74</v>
      </c>
      <c r="M691" t="s">
        <v>78</v>
      </c>
      <c r="N691" t="s">
        <v>79</v>
      </c>
      <c r="O691" t="s">
        <v>74</v>
      </c>
      <c r="P691" t="s">
        <v>74</v>
      </c>
      <c r="Q691" t="s">
        <v>74</v>
      </c>
      <c r="R691" t="s">
        <v>74</v>
      </c>
      <c r="S691" t="s">
        <v>74</v>
      </c>
      <c r="T691" t="s">
        <v>13373</v>
      </c>
      <c r="U691" t="s">
        <v>13374</v>
      </c>
      <c r="V691" t="s">
        <v>13375</v>
      </c>
      <c r="W691" t="s">
        <v>13376</v>
      </c>
      <c r="X691" t="s">
        <v>13377</v>
      </c>
      <c r="Y691" t="s">
        <v>13378</v>
      </c>
      <c r="Z691" t="s">
        <v>13379</v>
      </c>
      <c r="AA691" t="s">
        <v>74</v>
      </c>
      <c r="AB691" t="s">
        <v>74</v>
      </c>
      <c r="AC691" t="s">
        <v>13380</v>
      </c>
      <c r="AD691" t="s">
        <v>13381</v>
      </c>
      <c r="AE691" t="s">
        <v>13382</v>
      </c>
      <c r="AF691" t="s">
        <v>74</v>
      </c>
      <c r="AG691">
        <v>46</v>
      </c>
      <c r="AH691">
        <v>0</v>
      </c>
      <c r="AI691">
        <v>0</v>
      </c>
      <c r="AJ691">
        <v>1</v>
      </c>
      <c r="AK691">
        <v>4</v>
      </c>
      <c r="AL691" t="s">
        <v>2305</v>
      </c>
      <c r="AM691" t="s">
        <v>538</v>
      </c>
      <c r="AN691" t="s">
        <v>2306</v>
      </c>
      <c r="AO691" t="s">
        <v>6110</v>
      </c>
      <c r="AP691" t="s">
        <v>6111</v>
      </c>
      <c r="AQ691" t="s">
        <v>74</v>
      </c>
      <c r="AR691" t="s">
        <v>6112</v>
      </c>
      <c r="AS691" t="s">
        <v>6113</v>
      </c>
      <c r="AT691" t="s">
        <v>3612</v>
      </c>
      <c r="AU691">
        <v>2023</v>
      </c>
      <c r="AV691">
        <v>197</v>
      </c>
      <c r="AW691" t="s">
        <v>74</v>
      </c>
      <c r="AX691" t="s">
        <v>74</v>
      </c>
      <c r="AY691" t="s">
        <v>74</v>
      </c>
      <c r="AZ691" t="s">
        <v>74</v>
      </c>
      <c r="BA691" t="s">
        <v>74</v>
      </c>
      <c r="BB691" t="s">
        <v>74</v>
      </c>
      <c r="BC691" t="s">
        <v>74</v>
      </c>
      <c r="BD691">
        <v>104070</v>
      </c>
      <c r="BE691" t="s">
        <v>13383</v>
      </c>
      <c r="BF691" t="str">
        <f>HYPERLINK("http://dx.doi.org/10.1016/j.dsr.2023.104070","http://dx.doi.org/10.1016/j.dsr.2023.104070")</f>
        <v>http://dx.doi.org/10.1016/j.dsr.2023.104070</v>
      </c>
      <c r="BG691" t="s">
        <v>74</v>
      </c>
      <c r="BH691" t="s">
        <v>10102</v>
      </c>
      <c r="BI691">
        <v>10</v>
      </c>
      <c r="BJ691" t="s">
        <v>306</v>
      </c>
      <c r="BK691" t="s">
        <v>104</v>
      </c>
      <c r="BL691" t="s">
        <v>306</v>
      </c>
      <c r="BM691" t="s">
        <v>13384</v>
      </c>
      <c r="BN691" t="s">
        <v>74</v>
      </c>
      <c r="BO691" t="s">
        <v>74</v>
      </c>
      <c r="BP691" t="s">
        <v>74</v>
      </c>
      <c r="BQ691" t="s">
        <v>74</v>
      </c>
      <c r="BR691" t="s">
        <v>107</v>
      </c>
      <c r="BS691" t="s">
        <v>13385</v>
      </c>
      <c r="BT691" t="str">
        <f>HYPERLINK("https%3A%2F%2Fwww.webofscience.com%2Fwos%2Fwoscc%2Ffull-record%2FWOS:001054905300001","View Full Record in Web of Science")</f>
        <v>View Full Record in Web of Science</v>
      </c>
    </row>
    <row r="692" spans="1:72" x14ac:dyDescent="0.15">
      <c r="A692" t="s">
        <v>72</v>
      </c>
      <c r="B692" t="s">
        <v>13386</v>
      </c>
      <c r="C692" t="s">
        <v>74</v>
      </c>
      <c r="D692" t="s">
        <v>74</v>
      </c>
      <c r="E692" t="s">
        <v>74</v>
      </c>
      <c r="F692" t="s">
        <v>13387</v>
      </c>
      <c r="G692" t="s">
        <v>74</v>
      </c>
      <c r="H692" t="s">
        <v>74</v>
      </c>
      <c r="I692" t="s">
        <v>13388</v>
      </c>
      <c r="J692" t="s">
        <v>5519</v>
      </c>
      <c r="K692" t="s">
        <v>74</v>
      </c>
      <c r="L692" t="s">
        <v>74</v>
      </c>
      <c r="M692" t="s">
        <v>78</v>
      </c>
      <c r="N692" t="s">
        <v>79</v>
      </c>
      <c r="O692" t="s">
        <v>74</v>
      </c>
      <c r="P692" t="s">
        <v>74</v>
      </c>
      <c r="Q692" t="s">
        <v>74</v>
      </c>
      <c r="R692" t="s">
        <v>74</v>
      </c>
      <c r="S692" t="s">
        <v>74</v>
      </c>
      <c r="T692" t="s">
        <v>74</v>
      </c>
      <c r="U692" t="s">
        <v>13389</v>
      </c>
      <c r="V692" t="s">
        <v>13390</v>
      </c>
      <c r="W692" t="s">
        <v>13391</v>
      </c>
      <c r="X692" t="s">
        <v>13392</v>
      </c>
      <c r="Y692" t="s">
        <v>13393</v>
      </c>
      <c r="Z692" t="s">
        <v>13394</v>
      </c>
      <c r="AA692" t="s">
        <v>74</v>
      </c>
      <c r="AB692" t="s">
        <v>13395</v>
      </c>
      <c r="AC692" t="s">
        <v>13396</v>
      </c>
      <c r="AD692" t="s">
        <v>13397</v>
      </c>
      <c r="AE692" t="s">
        <v>13398</v>
      </c>
      <c r="AF692" t="s">
        <v>74</v>
      </c>
      <c r="AG692">
        <v>81</v>
      </c>
      <c r="AH692">
        <v>2</v>
      </c>
      <c r="AI692">
        <v>2</v>
      </c>
      <c r="AJ692">
        <v>1</v>
      </c>
      <c r="AK692">
        <v>3</v>
      </c>
      <c r="AL692" t="s">
        <v>5530</v>
      </c>
      <c r="AM692" t="s">
        <v>589</v>
      </c>
      <c r="AN692" t="s">
        <v>5531</v>
      </c>
      <c r="AO692" t="s">
        <v>5532</v>
      </c>
      <c r="AP692" t="s">
        <v>74</v>
      </c>
      <c r="AQ692" t="s">
        <v>74</v>
      </c>
      <c r="AR692" t="s">
        <v>5533</v>
      </c>
      <c r="AS692" t="s">
        <v>5534</v>
      </c>
      <c r="AT692" t="s">
        <v>13366</v>
      </c>
      <c r="AU692">
        <v>2023</v>
      </c>
      <c r="AV692">
        <v>9</v>
      </c>
      <c r="AW692">
        <v>22</v>
      </c>
      <c r="AX692" t="s">
        <v>74</v>
      </c>
      <c r="AY692" t="s">
        <v>74</v>
      </c>
      <c r="AZ692" t="s">
        <v>74</v>
      </c>
      <c r="BA692" t="s">
        <v>74</v>
      </c>
      <c r="BB692" t="s">
        <v>74</v>
      </c>
      <c r="BC692" t="s">
        <v>74</v>
      </c>
      <c r="BD692" t="s">
        <v>13399</v>
      </c>
      <c r="BE692" t="s">
        <v>13400</v>
      </c>
      <c r="BF692" t="str">
        <f>HYPERLINK("http://dx.doi.org/10.1126/sciadv.adf2639","http://dx.doi.org/10.1126/sciadv.adf2639")</f>
        <v>http://dx.doi.org/10.1126/sciadv.adf2639</v>
      </c>
      <c r="BG692" t="s">
        <v>74</v>
      </c>
      <c r="BH692" t="s">
        <v>74</v>
      </c>
      <c r="BI692">
        <v>17</v>
      </c>
      <c r="BJ692" t="s">
        <v>1881</v>
      </c>
      <c r="BK692" t="s">
        <v>104</v>
      </c>
      <c r="BL692" t="s">
        <v>1882</v>
      </c>
      <c r="BM692" t="s">
        <v>13401</v>
      </c>
      <c r="BN692">
        <v>37256953</v>
      </c>
      <c r="BO692" t="s">
        <v>7265</v>
      </c>
      <c r="BP692" t="s">
        <v>74</v>
      </c>
      <c r="BQ692" t="s">
        <v>74</v>
      </c>
      <c r="BR692" t="s">
        <v>107</v>
      </c>
      <c r="BS692" t="s">
        <v>13402</v>
      </c>
      <c r="BT692" t="str">
        <f>HYPERLINK("https%3A%2F%2Fwww.webofscience.com%2Fwos%2Fwoscc%2Ffull-record%2FWOS:001009814700023","View Full Record in Web of Science")</f>
        <v>View Full Record in Web of Science</v>
      </c>
    </row>
    <row r="693" spans="1:72" x14ac:dyDescent="0.15">
      <c r="A693" t="s">
        <v>72</v>
      </c>
      <c r="B693" t="s">
        <v>13403</v>
      </c>
      <c r="C693" t="s">
        <v>74</v>
      </c>
      <c r="D693" t="s">
        <v>74</v>
      </c>
      <c r="E693" t="s">
        <v>74</v>
      </c>
      <c r="F693" t="s">
        <v>13404</v>
      </c>
      <c r="G693" t="s">
        <v>74</v>
      </c>
      <c r="H693" t="s">
        <v>74</v>
      </c>
      <c r="I693" t="s">
        <v>13405</v>
      </c>
      <c r="J693" t="s">
        <v>2031</v>
      </c>
      <c r="K693" t="s">
        <v>74</v>
      </c>
      <c r="L693" t="s">
        <v>74</v>
      </c>
      <c r="M693" t="s">
        <v>78</v>
      </c>
      <c r="N693" t="s">
        <v>79</v>
      </c>
      <c r="O693" t="s">
        <v>74</v>
      </c>
      <c r="P693" t="s">
        <v>74</v>
      </c>
      <c r="Q693" t="s">
        <v>74</v>
      </c>
      <c r="R693" t="s">
        <v>74</v>
      </c>
      <c r="S693" t="s">
        <v>74</v>
      </c>
      <c r="T693" t="s">
        <v>13406</v>
      </c>
      <c r="U693" t="s">
        <v>13407</v>
      </c>
      <c r="V693" t="s">
        <v>13408</v>
      </c>
      <c r="W693" t="s">
        <v>13409</v>
      </c>
      <c r="X693" t="s">
        <v>13410</v>
      </c>
      <c r="Y693" t="s">
        <v>13411</v>
      </c>
      <c r="Z693" t="s">
        <v>12174</v>
      </c>
      <c r="AA693" t="s">
        <v>74</v>
      </c>
      <c r="AB693" t="s">
        <v>13412</v>
      </c>
      <c r="AC693" t="s">
        <v>13413</v>
      </c>
      <c r="AD693" t="s">
        <v>13414</v>
      </c>
      <c r="AE693" t="s">
        <v>13415</v>
      </c>
      <c r="AF693" t="s">
        <v>74</v>
      </c>
      <c r="AG693">
        <v>78</v>
      </c>
      <c r="AH693">
        <v>0</v>
      </c>
      <c r="AI693">
        <v>0</v>
      </c>
      <c r="AJ693">
        <v>8</v>
      </c>
      <c r="AK693">
        <v>15</v>
      </c>
      <c r="AL693" t="s">
        <v>172</v>
      </c>
      <c r="AM693" t="s">
        <v>173</v>
      </c>
      <c r="AN693" t="s">
        <v>174</v>
      </c>
      <c r="AO693" t="s">
        <v>2044</v>
      </c>
      <c r="AP693" t="s">
        <v>2045</v>
      </c>
      <c r="AQ693" t="s">
        <v>74</v>
      </c>
      <c r="AR693" t="s">
        <v>2046</v>
      </c>
      <c r="AS693" t="s">
        <v>2047</v>
      </c>
      <c r="AT693" t="s">
        <v>12599</v>
      </c>
      <c r="AU693">
        <v>2023</v>
      </c>
      <c r="AV693">
        <v>892</v>
      </c>
      <c r="AW693" t="s">
        <v>74</v>
      </c>
      <c r="AX693" t="s">
        <v>74</v>
      </c>
      <c r="AY693" t="s">
        <v>74</v>
      </c>
      <c r="AZ693" t="s">
        <v>74</v>
      </c>
      <c r="BA693" t="s">
        <v>74</v>
      </c>
      <c r="BB693" t="s">
        <v>74</v>
      </c>
      <c r="BC693" t="s">
        <v>74</v>
      </c>
      <c r="BD693">
        <v>164480</v>
      </c>
      <c r="BE693" t="s">
        <v>13416</v>
      </c>
      <c r="BF693" t="str">
        <f>HYPERLINK("http://dx.doi.org/10.1016/j.scitotenv.2023.164480","http://dx.doi.org/10.1016/j.scitotenv.2023.164480")</f>
        <v>http://dx.doi.org/10.1016/j.scitotenv.2023.164480</v>
      </c>
      <c r="BG693" t="s">
        <v>74</v>
      </c>
      <c r="BH693" t="s">
        <v>10102</v>
      </c>
      <c r="BI693">
        <v>12</v>
      </c>
      <c r="BJ693" t="s">
        <v>2050</v>
      </c>
      <c r="BK693" t="s">
        <v>104</v>
      </c>
      <c r="BL693" t="s">
        <v>1535</v>
      </c>
      <c r="BM693" t="s">
        <v>13417</v>
      </c>
      <c r="BN693">
        <v>37263426</v>
      </c>
      <c r="BO693" t="s">
        <v>549</v>
      </c>
      <c r="BP693" t="s">
        <v>74</v>
      </c>
      <c r="BQ693" t="s">
        <v>74</v>
      </c>
      <c r="BR693" t="s">
        <v>107</v>
      </c>
      <c r="BS693" t="s">
        <v>13418</v>
      </c>
      <c r="BT693" t="str">
        <f>HYPERLINK("https%3A%2F%2Fwww.webofscience.com%2Fwos%2Fwoscc%2Ffull-record%2FWOS:001024698300001","View Full Record in Web of Science")</f>
        <v>View Full Record in Web of Science</v>
      </c>
    </row>
    <row r="694" spans="1:72" x14ac:dyDescent="0.15">
      <c r="A694" t="s">
        <v>72</v>
      </c>
      <c r="B694" t="s">
        <v>13419</v>
      </c>
      <c r="C694" t="s">
        <v>74</v>
      </c>
      <c r="D694" t="s">
        <v>74</v>
      </c>
      <c r="E694" t="s">
        <v>74</v>
      </c>
      <c r="F694" t="s">
        <v>13420</v>
      </c>
      <c r="G694" t="s">
        <v>74</v>
      </c>
      <c r="H694" t="s">
        <v>74</v>
      </c>
      <c r="I694" t="s">
        <v>13421</v>
      </c>
      <c r="J694" t="s">
        <v>13422</v>
      </c>
      <c r="K694" t="s">
        <v>74</v>
      </c>
      <c r="L694" t="s">
        <v>74</v>
      </c>
      <c r="M694" t="s">
        <v>78</v>
      </c>
      <c r="N694" t="s">
        <v>79</v>
      </c>
      <c r="O694" t="s">
        <v>74</v>
      </c>
      <c r="P694" t="s">
        <v>74</v>
      </c>
      <c r="Q694" t="s">
        <v>74</v>
      </c>
      <c r="R694" t="s">
        <v>74</v>
      </c>
      <c r="S694" t="s">
        <v>74</v>
      </c>
      <c r="T694" t="s">
        <v>13423</v>
      </c>
      <c r="U694" t="s">
        <v>13424</v>
      </c>
      <c r="V694" t="s">
        <v>13425</v>
      </c>
      <c r="W694" t="s">
        <v>13426</v>
      </c>
      <c r="X694" t="s">
        <v>13427</v>
      </c>
      <c r="Y694" t="s">
        <v>13428</v>
      </c>
      <c r="Z694" t="s">
        <v>13429</v>
      </c>
      <c r="AA694" t="s">
        <v>74</v>
      </c>
      <c r="AB694" t="s">
        <v>74</v>
      </c>
      <c r="AC694" t="s">
        <v>74</v>
      </c>
      <c r="AD694" t="s">
        <v>74</v>
      </c>
      <c r="AE694" t="s">
        <v>74</v>
      </c>
      <c r="AF694" t="s">
        <v>74</v>
      </c>
      <c r="AG694">
        <v>51</v>
      </c>
      <c r="AH694">
        <v>0</v>
      </c>
      <c r="AI694">
        <v>0</v>
      </c>
      <c r="AJ694">
        <v>9</v>
      </c>
      <c r="AK694">
        <v>20</v>
      </c>
      <c r="AL694" t="s">
        <v>2305</v>
      </c>
      <c r="AM694" t="s">
        <v>538</v>
      </c>
      <c r="AN694" t="s">
        <v>2306</v>
      </c>
      <c r="AO694" t="s">
        <v>13430</v>
      </c>
      <c r="AP694" t="s">
        <v>13431</v>
      </c>
      <c r="AQ694" t="s">
        <v>74</v>
      </c>
      <c r="AR694" t="s">
        <v>13432</v>
      </c>
      <c r="AS694" t="s">
        <v>13433</v>
      </c>
      <c r="AT694" t="s">
        <v>5725</v>
      </c>
      <c r="AU694">
        <v>2023</v>
      </c>
      <c r="AV694">
        <v>281</v>
      </c>
      <c r="AW694" t="s">
        <v>74</v>
      </c>
      <c r="AX694" t="s">
        <v>74</v>
      </c>
      <c r="AY694" t="s">
        <v>74</v>
      </c>
      <c r="AZ694" t="s">
        <v>74</v>
      </c>
      <c r="BA694" t="s">
        <v>74</v>
      </c>
      <c r="BB694" t="s">
        <v>74</v>
      </c>
      <c r="BC694" t="s">
        <v>74</v>
      </c>
      <c r="BD694">
        <v>114935</v>
      </c>
      <c r="BE694" t="s">
        <v>13434</v>
      </c>
      <c r="BF694" t="str">
        <f>HYPERLINK("http://dx.doi.org/10.1016/j.oceaneng.2023.114935","http://dx.doi.org/10.1016/j.oceaneng.2023.114935")</f>
        <v>http://dx.doi.org/10.1016/j.oceaneng.2023.114935</v>
      </c>
      <c r="BG694" t="s">
        <v>74</v>
      </c>
      <c r="BH694" t="s">
        <v>10102</v>
      </c>
      <c r="BI694">
        <v>15</v>
      </c>
      <c r="BJ694" t="s">
        <v>13435</v>
      </c>
      <c r="BK694" t="s">
        <v>104</v>
      </c>
      <c r="BL694" t="s">
        <v>5394</v>
      </c>
      <c r="BM694" t="s">
        <v>13436</v>
      </c>
      <c r="BN694" t="s">
        <v>74</v>
      </c>
      <c r="BO694" t="s">
        <v>74</v>
      </c>
      <c r="BP694" t="s">
        <v>74</v>
      </c>
      <c r="BQ694" t="s">
        <v>74</v>
      </c>
      <c r="BR694" t="s">
        <v>107</v>
      </c>
      <c r="BS694" t="s">
        <v>13437</v>
      </c>
      <c r="BT694" t="str">
        <f>HYPERLINK("https%3A%2F%2Fwww.webofscience.com%2Fwos%2Fwoscc%2Ffull-record%2FWOS:001022649600001","View Full Record in Web of Science")</f>
        <v>View Full Record in Web of Science</v>
      </c>
    </row>
    <row r="695" spans="1:72" x14ac:dyDescent="0.15">
      <c r="A695" t="s">
        <v>72</v>
      </c>
      <c r="B695" t="s">
        <v>13438</v>
      </c>
      <c r="C695" t="s">
        <v>74</v>
      </c>
      <c r="D695" t="s">
        <v>74</v>
      </c>
      <c r="E695" t="s">
        <v>74</v>
      </c>
      <c r="F695" t="s">
        <v>13439</v>
      </c>
      <c r="G695" t="s">
        <v>74</v>
      </c>
      <c r="H695" t="s">
        <v>74</v>
      </c>
      <c r="I695" t="s">
        <v>13440</v>
      </c>
      <c r="J695" t="s">
        <v>7046</v>
      </c>
      <c r="K695" t="s">
        <v>74</v>
      </c>
      <c r="L695" t="s">
        <v>74</v>
      </c>
      <c r="M695" t="s">
        <v>78</v>
      </c>
      <c r="N695" t="s">
        <v>79</v>
      </c>
      <c r="O695" t="s">
        <v>74</v>
      </c>
      <c r="P695" t="s">
        <v>74</v>
      </c>
      <c r="Q695" t="s">
        <v>74</v>
      </c>
      <c r="R695" t="s">
        <v>74</v>
      </c>
      <c r="S695" t="s">
        <v>74</v>
      </c>
      <c r="T695" t="s">
        <v>13441</v>
      </c>
      <c r="U695" t="s">
        <v>13442</v>
      </c>
      <c r="V695" t="s">
        <v>13443</v>
      </c>
      <c r="W695" t="s">
        <v>13444</v>
      </c>
      <c r="X695" t="s">
        <v>13445</v>
      </c>
      <c r="Y695" t="s">
        <v>13446</v>
      </c>
      <c r="Z695" t="s">
        <v>13447</v>
      </c>
      <c r="AA695" t="s">
        <v>74</v>
      </c>
      <c r="AB695" t="s">
        <v>13448</v>
      </c>
      <c r="AC695" t="s">
        <v>13449</v>
      </c>
      <c r="AD695" t="s">
        <v>13450</v>
      </c>
      <c r="AE695" t="s">
        <v>13451</v>
      </c>
      <c r="AF695" t="s">
        <v>74</v>
      </c>
      <c r="AG695">
        <v>66</v>
      </c>
      <c r="AH695">
        <v>3</v>
      </c>
      <c r="AI695">
        <v>3</v>
      </c>
      <c r="AJ695">
        <v>9</v>
      </c>
      <c r="AK695">
        <v>35</v>
      </c>
      <c r="AL695" t="s">
        <v>1343</v>
      </c>
      <c r="AM695" t="s">
        <v>589</v>
      </c>
      <c r="AN695" t="s">
        <v>1344</v>
      </c>
      <c r="AO695" t="s">
        <v>7057</v>
      </c>
      <c r="AP695" t="s">
        <v>7058</v>
      </c>
      <c r="AQ695" t="s">
        <v>74</v>
      </c>
      <c r="AR695" t="s">
        <v>7059</v>
      </c>
      <c r="AS695" t="s">
        <v>7060</v>
      </c>
      <c r="AT695" t="s">
        <v>13366</v>
      </c>
      <c r="AU695">
        <v>2023</v>
      </c>
      <c r="AV695">
        <v>71</v>
      </c>
      <c r="AW695">
        <v>23</v>
      </c>
      <c r="AX695" t="s">
        <v>74</v>
      </c>
      <c r="AY695" t="s">
        <v>74</v>
      </c>
      <c r="AZ695" t="s">
        <v>74</v>
      </c>
      <c r="BA695" t="s">
        <v>74</v>
      </c>
      <c r="BB695">
        <v>9040</v>
      </c>
      <c r="BC695">
        <v>9050</v>
      </c>
      <c r="BD695" t="s">
        <v>74</v>
      </c>
      <c r="BE695" t="s">
        <v>13452</v>
      </c>
      <c r="BF695" t="str">
        <f>HYPERLINK("http://dx.doi.org/10.1021/acs.jafc.3c01898","http://dx.doi.org/10.1021/acs.jafc.3c01898")</f>
        <v>http://dx.doi.org/10.1021/acs.jafc.3c01898</v>
      </c>
      <c r="BG695" t="s">
        <v>74</v>
      </c>
      <c r="BH695" t="s">
        <v>10102</v>
      </c>
      <c r="BI695">
        <v>11</v>
      </c>
      <c r="BJ695" t="s">
        <v>7062</v>
      </c>
      <c r="BK695" t="s">
        <v>104</v>
      </c>
      <c r="BL695" t="s">
        <v>7063</v>
      </c>
      <c r="BM695" t="s">
        <v>13453</v>
      </c>
      <c r="BN695">
        <v>37264600</v>
      </c>
      <c r="BO695" t="s">
        <v>74</v>
      </c>
      <c r="BP695" t="s">
        <v>74</v>
      </c>
      <c r="BQ695" t="s">
        <v>74</v>
      </c>
      <c r="BR695" t="s">
        <v>107</v>
      </c>
      <c r="BS695" t="s">
        <v>13454</v>
      </c>
      <c r="BT695" t="str">
        <f>HYPERLINK("https%3A%2F%2Fwww.webofscience.com%2Fwos%2Fwoscc%2Ffull-record%2FWOS:001014893000001","View Full Record in Web of Science")</f>
        <v>View Full Record in Web of Science</v>
      </c>
    </row>
    <row r="696" spans="1:72" x14ac:dyDescent="0.15">
      <c r="A696" t="s">
        <v>72</v>
      </c>
      <c r="B696" t="s">
        <v>13455</v>
      </c>
      <c r="C696" t="s">
        <v>74</v>
      </c>
      <c r="D696" t="s">
        <v>74</v>
      </c>
      <c r="E696" t="s">
        <v>74</v>
      </c>
      <c r="F696" t="s">
        <v>13456</v>
      </c>
      <c r="G696" t="s">
        <v>74</v>
      </c>
      <c r="H696" t="s">
        <v>74</v>
      </c>
      <c r="I696" t="s">
        <v>13457</v>
      </c>
      <c r="J696" t="s">
        <v>8462</v>
      </c>
      <c r="K696" t="s">
        <v>74</v>
      </c>
      <c r="L696" t="s">
        <v>74</v>
      </c>
      <c r="M696" t="s">
        <v>78</v>
      </c>
      <c r="N696" t="s">
        <v>79</v>
      </c>
      <c r="O696" t="s">
        <v>74</v>
      </c>
      <c r="P696" t="s">
        <v>74</v>
      </c>
      <c r="Q696" t="s">
        <v>74</v>
      </c>
      <c r="R696" t="s">
        <v>74</v>
      </c>
      <c r="S696" t="s">
        <v>74</v>
      </c>
      <c r="T696" t="s">
        <v>13458</v>
      </c>
      <c r="U696" t="s">
        <v>13459</v>
      </c>
      <c r="V696" t="s">
        <v>13460</v>
      </c>
      <c r="W696" t="s">
        <v>13461</v>
      </c>
      <c r="X696" t="s">
        <v>13462</v>
      </c>
      <c r="Y696" t="s">
        <v>13463</v>
      </c>
      <c r="Z696" t="s">
        <v>13464</v>
      </c>
      <c r="AA696" t="s">
        <v>74</v>
      </c>
      <c r="AB696" t="s">
        <v>74</v>
      </c>
      <c r="AC696" t="s">
        <v>13465</v>
      </c>
      <c r="AD696" t="s">
        <v>13466</v>
      </c>
      <c r="AE696" t="s">
        <v>13467</v>
      </c>
      <c r="AF696" t="s">
        <v>74</v>
      </c>
      <c r="AG696">
        <v>104</v>
      </c>
      <c r="AH696">
        <v>2</v>
      </c>
      <c r="AI696">
        <v>2</v>
      </c>
      <c r="AJ696">
        <v>4</v>
      </c>
      <c r="AK696">
        <v>6</v>
      </c>
      <c r="AL696" t="s">
        <v>994</v>
      </c>
      <c r="AM696" t="s">
        <v>995</v>
      </c>
      <c r="AN696" t="s">
        <v>996</v>
      </c>
      <c r="AO696" t="s">
        <v>8472</v>
      </c>
      <c r="AP696" t="s">
        <v>74</v>
      </c>
      <c r="AQ696" t="s">
        <v>74</v>
      </c>
      <c r="AR696" t="s">
        <v>8473</v>
      </c>
      <c r="AS696" t="s">
        <v>8474</v>
      </c>
      <c r="AT696" t="s">
        <v>13366</v>
      </c>
      <c r="AU696">
        <v>2023</v>
      </c>
      <c r="AV696">
        <v>11</v>
      </c>
      <c r="AW696" t="s">
        <v>74</v>
      </c>
      <c r="AX696" t="s">
        <v>74</v>
      </c>
      <c r="AY696" t="s">
        <v>74</v>
      </c>
      <c r="AZ696" t="s">
        <v>74</v>
      </c>
      <c r="BA696" t="s">
        <v>74</v>
      </c>
      <c r="BB696" t="s">
        <v>74</v>
      </c>
      <c r="BC696" t="s">
        <v>74</v>
      </c>
      <c r="BD696">
        <v>1043800</v>
      </c>
      <c r="BE696" t="s">
        <v>13468</v>
      </c>
      <c r="BF696" t="str">
        <f>HYPERLINK("http://dx.doi.org/10.3389/fevo.2023.1043800","http://dx.doi.org/10.3389/fevo.2023.1043800")</f>
        <v>http://dx.doi.org/10.3389/fevo.2023.1043800</v>
      </c>
      <c r="BG696" t="s">
        <v>74</v>
      </c>
      <c r="BH696" t="s">
        <v>74</v>
      </c>
      <c r="BI696">
        <v>20</v>
      </c>
      <c r="BJ696" t="s">
        <v>1534</v>
      </c>
      <c r="BK696" t="s">
        <v>104</v>
      </c>
      <c r="BL696" t="s">
        <v>1535</v>
      </c>
      <c r="BM696" t="s">
        <v>13469</v>
      </c>
      <c r="BN696" t="s">
        <v>74</v>
      </c>
      <c r="BO696" t="s">
        <v>2624</v>
      </c>
      <c r="BP696" t="s">
        <v>74</v>
      </c>
      <c r="BQ696" t="s">
        <v>74</v>
      </c>
      <c r="BR696" t="s">
        <v>107</v>
      </c>
      <c r="BS696" t="s">
        <v>13470</v>
      </c>
      <c r="BT696" t="str">
        <f>HYPERLINK("https%3A%2F%2Fwww.webofscience.com%2Fwos%2Fwoscc%2Ffull-record%2FWOS:001008509500001","View Full Record in Web of Science")</f>
        <v>View Full Record in Web of Science</v>
      </c>
    </row>
    <row r="697" spans="1:72" x14ac:dyDescent="0.15">
      <c r="A697" t="s">
        <v>72</v>
      </c>
      <c r="B697" t="s">
        <v>13471</v>
      </c>
      <c r="C697" t="s">
        <v>74</v>
      </c>
      <c r="D697" t="s">
        <v>74</v>
      </c>
      <c r="E697" t="s">
        <v>74</v>
      </c>
      <c r="F697" t="s">
        <v>13472</v>
      </c>
      <c r="G697" t="s">
        <v>74</v>
      </c>
      <c r="H697" t="s">
        <v>74</v>
      </c>
      <c r="I697" t="s">
        <v>13473</v>
      </c>
      <c r="J697" t="s">
        <v>1763</v>
      </c>
      <c r="K697" t="s">
        <v>74</v>
      </c>
      <c r="L697" t="s">
        <v>74</v>
      </c>
      <c r="M697" t="s">
        <v>78</v>
      </c>
      <c r="N697" t="s">
        <v>79</v>
      </c>
      <c r="O697" t="s">
        <v>74</v>
      </c>
      <c r="P697" t="s">
        <v>74</v>
      </c>
      <c r="Q697" t="s">
        <v>74</v>
      </c>
      <c r="R697" t="s">
        <v>74</v>
      </c>
      <c r="S697" t="s">
        <v>74</v>
      </c>
      <c r="T697" t="s">
        <v>74</v>
      </c>
      <c r="U697" t="s">
        <v>13474</v>
      </c>
      <c r="V697" t="s">
        <v>13475</v>
      </c>
      <c r="W697" t="s">
        <v>13476</v>
      </c>
      <c r="X697" t="s">
        <v>13477</v>
      </c>
      <c r="Y697" t="s">
        <v>13478</v>
      </c>
      <c r="Z697" t="s">
        <v>13479</v>
      </c>
      <c r="AA697" t="s">
        <v>74</v>
      </c>
      <c r="AB697" t="s">
        <v>13480</v>
      </c>
      <c r="AC697" t="s">
        <v>13481</v>
      </c>
      <c r="AD697" t="s">
        <v>13482</v>
      </c>
      <c r="AE697" t="s">
        <v>13483</v>
      </c>
      <c r="AF697" t="s">
        <v>74</v>
      </c>
      <c r="AG697">
        <v>64</v>
      </c>
      <c r="AH697">
        <v>0</v>
      </c>
      <c r="AI697">
        <v>0</v>
      </c>
      <c r="AJ697">
        <v>5</v>
      </c>
      <c r="AK697">
        <v>11</v>
      </c>
      <c r="AL697" t="s">
        <v>1775</v>
      </c>
      <c r="AM697" t="s">
        <v>1776</v>
      </c>
      <c r="AN697" t="s">
        <v>1777</v>
      </c>
      <c r="AO697" t="s">
        <v>1778</v>
      </c>
      <c r="AP697" t="s">
        <v>1779</v>
      </c>
      <c r="AQ697" t="s">
        <v>74</v>
      </c>
      <c r="AR697" t="s">
        <v>1763</v>
      </c>
      <c r="AS697" t="s">
        <v>1780</v>
      </c>
      <c r="AT697" t="s">
        <v>13366</v>
      </c>
      <c r="AU697">
        <v>2023</v>
      </c>
      <c r="AV697">
        <v>17</v>
      </c>
      <c r="AW697">
        <v>6</v>
      </c>
      <c r="AX697" t="s">
        <v>74</v>
      </c>
      <c r="AY697" t="s">
        <v>74</v>
      </c>
      <c r="AZ697" t="s">
        <v>74</v>
      </c>
      <c r="BA697" t="s">
        <v>74</v>
      </c>
      <c r="BB697">
        <v>2231</v>
      </c>
      <c r="BC697">
        <v>2244</v>
      </c>
      <c r="BD697" t="s">
        <v>74</v>
      </c>
      <c r="BE697" t="s">
        <v>13484</v>
      </c>
      <c r="BF697" t="str">
        <f>HYPERLINK("http://dx.doi.org/10.5194/tc-17-2231-2023","http://dx.doi.org/10.5194/tc-17-2231-2023")</f>
        <v>http://dx.doi.org/10.5194/tc-17-2231-2023</v>
      </c>
      <c r="BG697" t="s">
        <v>74</v>
      </c>
      <c r="BH697" t="s">
        <v>74</v>
      </c>
      <c r="BI697">
        <v>14</v>
      </c>
      <c r="BJ697" t="s">
        <v>1783</v>
      </c>
      <c r="BK697" t="s">
        <v>104</v>
      </c>
      <c r="BL697" t="s">
        <v>1784</v>
      </c>
      <c r="BM697" t="s">
        <v>13485</v>
      </c>
      <c r="BN697" t="s">
        <v>74</v>
      </c>
      <c r="BO697" t="s">
        <v>771</v>
      </c>
      <c r="BP697" t="s">
        <v>74</v>
      </c>
      <c r="BQ697" t="s">
        <v>74</v>
      </c>
      <c r="BR697" t="s">
        <v>107</v>
      </c>
      <c r="BS697" t="s">
        <v>13486</v>
      </c>
      <c r="BT697" t="str">
        <f>HYPERLINK("https%3A%2F%2Fwww.webofscience.com%2Fwos%2Fwoscc%2Ffull-record%2FWOS:000999263200001","View Full Record in Web of Science")</f>
        <v>View Full Record in Web of Science</v>
      </c>
    </row>
    <row r="698" spans="1:72" x14ac:dyDescent="0.15">
      <c r="A698" t="s">
        <v>72</v>
      </c>
      <c r="B698" t="s">
        <v>13487</v>
      </c>
      <c r="C698" t="s">
        <v>74</v>
      </c>
      <c r="D698" t="s">
        <v>74</v>
      </c>
      <c r="E698" t="s">
        <v>74</v>
      </c>
      <c r="F698" t="s">
        <v>13488</v>
      </c>
      <c r="G698" t="s">
        <v>74</v>
      </c>
      <c r="H698" t="s">
        <v>74</v>
      </c>
      <c r="I698" t="s">
        <v>13489</v>
      </c>
      <c r="J698" t="s">
        <v>13490</v>
      </c>
      <c r="K698" t="s">
        <v>74</v>
      </c>
      <c r="L698" t="s">
        <v>74</v>
      </c>
      <c r="M698" t="s">
        <v>78</v>
      </c>
      <c r="N698" t="s">
        <v>79</v>
      </c>
      <c r="O698" t="s">
        <v>74</v>
      </c>
      <c r="P698" t="s">
        <v>74</v>
      </c>
      <c r="Q698" t="s">
        <v>74</v>
      </c>
      <c r="R698" t="s">
        <v>74</v>
      </c>
      <c r="S698" t="s">
        <v>74</v>
      </c>
      <c r="T698" t="s">
        <v>74</v>
      </c>
      <c r="U698" t="s">
        <v>13491</v>
      </c>
      <c r="V698" t="s">
        <v>13492</v>
      </c>
      <c r="W698" t="s">
        <v>13493</v>
      </c>
      <c r="X698" t="s">
        <v>13494</v>
      </c>
      <c r="Y698" t="s">
        <v>13495</v>
      </c>
      <c r="Z698" t="s">
        <v>13496</v>
      </c>
      <c r="AA698" t="s">
        <v>13497</v>
      </c>
      <c r="AB698" t="s">
        <v>13498</v>
      </c>
      <c r="AC698" t="s">
        <v>13499</v>
      </c>
      <c r="AD698" t="s">
        <v>13500</v>
      </c>
      <c r="AE698" t="s">
        <v>13501</v>
      </c>
      <c r="AF698" t="s">
        <v>74</v>
      </c>
      <c r="AG698">
        <v>48</v>
      </c>
      <c r="AH698">
        <v>3</v>
      </c>
      <c r="AI698">
        <v>3</v>
      </c>
      <c r="AJ698">
        <v>0</v>
      </c>
      <c r="AK698">
        <v>1</v>
      </c>
      <c r="AL698" t="s">
        <v>1775</v>
      </c>
      <c r="AM698" t="s">
        <v>1776</v>
      </c>
      <c r="AN698" t="s">
        <v>1777</v>
      </c>
      <c r="AO698" t="s">
        <v>13502</v>
      </c>
      <c r="AP698" t="s">
        <v>13503</v>
      </c>
      <c r="AQ698" t="s">
        <v>74</v>
      </c>
      <c r="AR698" t="s">
        <v>13504</v>
      </c>
      <c r="AS698" t="s">
        <v>13505</v>
      </c>
      <c r="AT698" t="s">
        <v>13366</v>
      </c>
      <c r="AU698">
        <v>2023</v>
      </c>
      <c r="AV698">
        <v>42</v>
      </c>
      <c r="AW698">
        <v>1</v>
      </c>
      <c r="AX698" t="s">
        <v>74</v>
      </c>
      <c r="AY698" t="s">
        <v>74</v>
      </c>
      <c r="AZ698" t="s">
        <v>74</v>
      </c>
      <c r="BA698" t="s">
        <v>74</v>
      </c>
      <c r="BB698">
        <v>35</v>
      </c>
      <c r="BC698">
        <v>56</v>
      </c>
      <c r="BD698" t="s">
        <v>74</v>
      </c>
      <c r="BE698" t="s">
        <v>13506</v>
      </c>
      <c r="BF698" t="str">
        <f>HYPERLINK("http://dx.doi.org/10.5194/jm-42-35-2023","http://dx.doi.org/10.5194/jm-42-35-2023")</f>
        <v>http://dx.doi.org/10.5194/jm-42-35-2023</v>
      </c>
      <c r="BG698" t="s">
        <v>74</v>
      </c>
      <c r="BH698" t="s">
        <v>74</v>
      </c>
      <c r="BI698">
        <v>22</v>
      </c>
      <c r="BJ698" t="s">
        <v>10082</v>
      </c>
      <c r="BK698" t="s">
        <v>104</v>
      </c>
      <c r="BL698" t="s">
        <v>10082</v>
      </c>
      <c r="BM698" t="s">
        <v>13507</v>
      </c>
      <c r="BN698" t="s">
        <v>74</v>
      </c>
      <c r="BO698" t="s">
        <v>771</v>
      </c>
      <c r="BP698" t="s">
        <v>74</v>
      </c>
      <c r="BQ698" t="s">
        <v>74</v>
      </c>
      <c r="BR698" t="s">
        <v>107</v>
      </c>
      <c r="BS698" t="s">
        <v>13508</v>
      </c>
      <c r="BT698" t="str">
        <f>HYPERLINK("https%3A%2F%2Fwww.webofscience.com%2Fwos%2Fwoscc%2Ffull-record%2FWOS:001000360600001","View Full Record in Web of Science")</f>
        <v>View Full Record in Web of Science</v>
      </c>
    </row>
    <row r="699" spans="1:72" x14ac:dyDescent="0.15">
      <c r="A699" t="s">
        <v>72</v>
      </c>
      <c r="B699" t="s">
        <v>13509</v>
      </c>
      <c r="C699" t="s">
        <v>74</v>
      </c>
      <c r="D699" t="s">
        <v>74</v>
      </c>
      <c r="E699" t="s">
        <v>74</v>
      </c>
      <c r="F699" t="s">
        <v>13510</v>
      </c>
      <c r="G699" t="s">
        <v>74</v>
      </c>
      <c r="H699" t="s">
        <v>74</v>
      </c>
      <c r="I699" t="s">
        <v>13511</v>
      </c>
      <c r="J699" t="s">
        <v>3756</v>
      </c>
      <c r="K699" t="s">
        <v>74</v>
      </c>
      <c r="L699" t="s">
        <v>74</v>
      </c>
      <c r="M699" t="s">
        <v>78</v>
      </c>
      <c r="N699" t="s">
        <v>79</v>
      </c>
      <c r="O699" t="s">
        <v>74</v>
      </c>
      <c r="P699" t="s">
        <v>74</v>
      </c>
      <c r="Q699" t="s">
        <v>74</v>
      </c>
      <c r="R699" t="s">
        <v>74</v>
      </c>
      <c r="S699" t="s">
        <v>74</v>
      </c>
      <c r="T699" t="s">
        <v>13512</v>
      </c>
      <c r="U699" t="s">
        <v>13513</v>
      </c>
      <c r="V699" t="s">
        <v>13514</v>
      </c>
      <c r="W699" t="s">
        <v>13515</v>
      </c>
      <c r="X699" t="s">
        <v>13516</v>
      </c>
      <c r="Y699" t="s">
        <v>13517</v>
      </c>
      <c r="Z699" t="s">
        <v>13518</v>
      </c>
      <c r="AA699" t="s">
        <v>74</v>
      </c>
      <c r="AB699" t="s">
        <v>13519</v>
      </c>
      <c r="AC699" t="s">
        <v>13520</v>
      </c>
      <c r="AD699" t="s">
        <v>13521</v>
      </c>
      <c r="AE699" t="s">
        <v>13522</v>
      </c>
      <c r="AF699" t="s">
        <v>74</v>
      </c>
      <c r="AG699">
        <v>43</v>
      </c>
      <c r="AH699">
        <v>1</v>
      </c>
      <c r="AI699">
        <v>1</v>
      </c>
      <c r="AJ699">
        <v>0</v>
      </c>
      <c r="AK699">
        <v>1</v>
      </c>
      <c r="AL699" t="s">
        <v>298</v>
      </c>
      <c r="AM699" t="s">
        <v>299</v>
      </c>
      <c r="AN699" t="s">
        <v>300</v>
      </c>
      <c r="AO699" t="s">
        <v>3767</v>
      </c>
      <c r="AP699" t="s">
        <v>3768</v>
      </c>
      <c r="AQ699" t="s">
        <v>74</v>
      </c>
      <c r="AR699" t="s">
        <v>3769</v>
      </c>
      <c r="AS699" t="s">
        <v>3770</v>
      </c>
      <c r="AT699" t="s">
        <v>3612</v>
      </c>
      <c r="AU699">
        <v>2023</v>
      </c>
      <c r="AV699">
        <v>46</v>
      </c>
      <c r="AW699">
        <v>7</v>
      </c>
      <c r="AX699" t="s">
        <v>74</v>
      </c>
      <c r="AY699" t="s">
        <v>74</v>
      </c>
      <c r="AZ699" t="s">
        <v>74</v>
      </c>
      <c r="BA699" t="s">
        <v>74</v>
      </c>
      <c r="BB699">
        <v>673</v>
      </c>
      <c r="BC699">
        <v>679</v>
      </c>
      <c r="BD699" t="s">
        <v>74</v>
      </c>
      <c r="BE699" t="s">
        <v>13523</v>
      </c>
      <c r="BF699" t="str">
        <f>HYPERLINK("http://dx.doi.org/10.1007/s00300-023-03155-3","http://dx.doi.org/10.1007/s00300-023-03155-3")</f>
        <v>http://dx.doi.org/10.1007/s00300-023-03155-3</v>
      </c>
      <c r="BG699" t="s">
        <v>74</v>
      </c>
      <c r="BH699" t="s">
        <v>10102</v>
      </c>
      <c r="BI699">
        <v>7</v>
      </c>
      <c r="BJ699" t="s">
        <v>3772</v>
      </c>
      <c r="BK699" t="s">
        <v>104</v>
      </c>
      <c r="BL699" t="s">
        <v>1905</v>
      </c>
      <c r="BM699" t="s">
        <v>13347</v>
      </c>
      <c r="BN699" t="s">
        <v>74</v>
      </c>
      <c r="BO699" t="s">
        <v>418</v>
      </c>
      <c r="BP699" t="s">
        <v>74</v>
      </c>
      <c r="BQ699" t="s">
        <v>74</v>
      </c>
      <c r="BR699" t="s">
        <v>107</v>
      </c>
      <c r="BS699" t="s">
        <v>13524</v>
      </c>
      <c r="BT699" t="str">
        <f>HYPERLINK("https%3A%2F%2Fwww.webofscience.com%2Fwos%2Fwoscc%2Ffull-record%2FWOS:000999813700001","View Full Record in Web of Science")</f>
        <v>View Full Record in Web of Science</v>
      </c>
    </row>
    <row r="700" spans="1:72" x14ac:dyDescent="0.15">
      <c r="A700" t="s">
        <v>72</v>
      </c>
      <c r="B700" t="s">
        <v>13525</v>
      </c>
      <c r="C700" t="s">
        <v>74</v>
      </c>
      <c r="D700" t="s">
        <v>74</v>
      </c>
      <c r="E700" t="s">
        <v>74</v>
      </c>
      <c r="F700" t="s">
        <v>13526</v>
      </c>
      <c r="G700" t="s">
        <v>74</v>
      </c>
      <c r="H700" t="s">
        <v>74</v>
      </c>
      <c r="I700" t="s">
        <v>13527</v>
      </c>
      <c r="J700" t="s">
        <v>13528</v>
      </c>
      <c r="K700" t="s">
        <v>74</v>
      </c>
      <c r="L700" t="s">
        <v>74</v>
      </c>
      <c r="M700" t="s">
        <v>78</v>
      </c>
      <c r="N700" t="s">
        <v>2439</v>
      </c>
      <c r="O700" t="s">
        <v>74</v>
      </c>
      <c r="P700" t="s">
        <v>74</v>
      </c>
      <c r="Q700" t="s">
        <v>74</v>
      </c>
      <c r="R700" t="s">
        <v>74</v>
      </c>
      <c r="S700" t="s">
        <v>74</v>
      </c>
      <c r="T700" t="s">
        <v>74</v>
      </c>
      <c r="U700" t="s">
        <v>74</v>
      </c>
      <c r="V700" t="s">
        <v>74</v>
      </c>
      <c r="W700" t="s">
        <v>74</v>
      </c>
      <c r="X700" t="s">
        <v>74</v>
      </c>
      <c r="Y700" t="s">
        <v>74</v>
      </c>
      <c r="Z700" t="s">
        <v>74</v>
      </c>
      <c r="AA700" t="s">
        <v>74</v>
      </c>
      <c r="AB700" t="s">
        <v>74</v>
      </c>
      <c r="AC700" t="s">
        <v>74</v>
      </c>
      <c r="AD700" t="s">
        <v>74</v>
      </c>
      <c r="AE700" t="s">
        <v>74</v>
      </c>
      <c r="AF700" t="s">
        <v>74</v>
      </c>
      <c r="AG700">
        <v>1</v>
      </c>
      <c r="AH700">
        <v>0</v>
      </c>
      <c r="AI700">
        <v>0</v>
      </c>
      <c r="AJ700">
        <v>0</v>
      </c>
      <c r="AK700">
        <v>0</v>
      </c>
      <c r="AL700" t="s">
        <v>460</v>
      </c>
      <c r="AM700" t="s">
        <v>461</v>
      </c>
      <c r="AN700" t="s">
        <v>462</v>
      </c>
      <c r="AO700" t="s">
        <v>13529</v>
      </c>
      <c r="AP700" t="s">
        <v>13530</v>
      </c>
      <c r="AQ700" t="s">
        <v>74</v>
      </c>
      <c r="AR700" t="s">
        <v>13531</v>
      </c>
      <c r="AS700" t="s">
        <v>13532</v>
      </c>
      <c r="AT700" t="s">
        <v>8990</v>
      </c>
      <c r="AU700">
        <v>2023</v>
      </c>
      <c r="AV700">
        <v>46</v>
      </c>
      <c r="AW700">
        <v>3</v>
      </c>
      <c r="AX700" t="s">
        <v>74</v>
      </c>
      <c r="AY700" t="s">
        <v>74</v>
      </c>
      <c r="AZ700" t="s">
        <v>74</v>
      </c>
      <c r="BA700" t="s">
        <v>74</v>
      </c>
      <c r="BB700">
        <v>619</v>
      </c>
      <c r="BC700">
        <v>625</v>
      </c>
      <c r="BD700" t="s">
        <v>74</v>
      </c>
      <c r="BE700" t="s">
        <v>74</v>
      </c>
      <c r="BF700" t="s">
        <v>74</v>
      </c>
      <c r="BG700" t="s">
        <v>74</v>
      </c>
      <c r="BH700" t="s">
        <v>74</v>
      </c>
      <c r="BI700">
        <v>7</v>
      </c>
      <c r="BJ700" t="s">
        <v>13533</v>
      </c>
      <c r="BK700" t="s">
        <v>3931</v>
      </c>
      <c r="BL700" t="s">
        <v>13533</v>
      </c>
      <c r="BM700" t="s">
        <v>13534</v>
      </c>
      <c r="BN700" t="s">
        <v>74</v>
      </c>
      <c r="BO700" t="s">
        <v>74</v>
      </c>
      <c r="BP700" t="s">
        <v>74</v>
      </c>
      <c r="BQ700" t="s">
        <v>74</v>
      </c>
      <c r="BR700" t="s">
        <v>107</v>
      </c>
      <c r="BS700" t="s">
        <v>13535</v>
      </c>
      <c r="BT700" t="str">
        <f>HYPERLINK("https%3A%2F%2Fwww.webofscience.com%2Fwos%2Fwoscc%2Ffull-record%2FWOS:001189236000012","View Full Record in Web of Science")</f>
        <v>View Full Record in Web of Science</v>
      </c>
    </row>
    <row r="701" spans="1:72" x14ac:dyDescent="0.15">
      <c r="A701" t="s">
        <v>72</v>
      </c>
      <c r="B701" t="s">
        <v>13536</v>
      </c>
      <c r="C701" t="s">
        <v>74</v>
      </c>
      <c r="D701" t="s">
        <v>74</v>
      </c>
      <c r="E701" t="s">
        <v>74</v>
      </c>
      <c r="F701" t="s">
        <v>13537</v>
      </c>
      <c r="G701" t="s">
        <v>74</v>
      </c>
      <c r="H701" t="s">
        <v>74</v>
      </c>
      <c r="I701" t="s">
        <v>13538</v>
      </c>
      <c r="J701" t="s">
        <v>13539</v>
      </c>
      <c r="K701" t="s">
        <v>74</v>
      </c>
      <c r="L701" t="s">
        <v>74</v>
      </c>
      <c r="M701" t="s">
        <v>78</v>
      </c>
      <c r="N701" t="s">
        <v>6276</v>
      </c>
      <c r="O701" t="s">
        <v>74</v>
      </c>
      <c r="P701" t="s">
        <v>74</v>
      </c>
      <c r="Q701" t="s">
        <v>74</v>
      </c>
      <c r="R701" t="s">
        <v>74</v>
      </c>
      <c r="S701" t="s">
        <v>74</v>
      </c>
      <c r="T701" t="s">
        <v>74</v>
      </c>
      <c r="U701" t="s">
        <v>74</v>
      </c>
      <c r="V701" t="s">
        <v>74</v>
      </c>
      <c r="W701" t="s">
        <v>74</v>
      </c>
      <c r="X701" t="s">
        <v>74</v>
      </c>
      <c r="Y701" t="s">
        <v>74</v>
      </c>
      <c r="Z701" t="s">
        <v>74</v>
      </c>
      <c r="AA701" t="s">
        <v>74</v>
      </c>
      <c r="AB701" t="s">
        <v>74</v>
      </c>
      <c r="AC701" t="s">
        <v>74</v>
      </c>
      <c r="AD701" t="s">
        <v>74</v>
      </c>
      <c r="AE701" t="s">
        <v>74</v>
      </c>
      <c r="AF701" t="s">
        <v>74</v>
      </c>
      <c r="AG701">
        <v>0</v>
      </c>
      <c r="AH701">
        <v>0</v>
      </c>
      <c r="AI701">
        <v>0</v>
      </c>
      <c r="AJ701">
        <v>0</v>
      </c>
      <c r="AK701">
        <v>0</v>
      </c>
      <c r="AL701" t="s">
        <v>298</v>
      </c>
      <c r="AM701" t="s">
        <v>299</v>
      </c>
      <c r="AN701" t="s">
        <v>300</v>
      </c>
      <c r="AO701" t="s">
        <v>13540</v>
      </c>
      <c r="AP701" t="s">
        <v>13541</v>
      </c>
      <c r="AQ701" t="s">
        <v>74</v>
      </c>
      <c r="AR701" t="s">
        <v>13542</v>
      </c>
      <c r="AS701" t="s">
        <v>13543</v>
      </c>
      <c r="AT701" t="s">
        <v>8990</v>
      </c>
      <c r="AU701">
        <v>2023</v>
      </c>
      <c r="AV701">
        <v>328</v>
      </c>
      <c r="AW701">
        <v>6</v>
      </c>
      <c r="AX701" t="s">
        <v>74</v>
      </c>
      <c r="AY701" t="s">
        <v>74</v>
      </c>
      <c r="AZ701" t="s">
        <v>74</v>
      </c>
      <c r="BA701" t="s">
        <v>74</v>
      </c>
      <c r="BB701">
        <v>6</v>
      </c>
      <c r="BC701">
        <v>6</v>
      </c>
      <c r="BD701" t="s">
        <v>74</v>
      </c>
      <c r="BE701" t="s">
        <v>74</v>
      </c>
      <c r="BF701" t="s">
        <v>74</v>
      </c>
      <c r="BG701" t="s">
        <v>74</v>
      </c>
      <c r="BH701" t="s">
        <v>74</v>
      </c>
      <c r="BI701">
        <v>1</v>
      </c>
      <c r="BJ701" t="s">
        <v>1881</v>
      </c>
      <c r="BK701" t="s">
        <v>104</v>
      </c>
      <c r="BL701" t="s">
        <v>1882</v>
      </c>
      <c r="BM701" t="s">
        <v>13544</v>
      </c>
      <c r="BN701" t="s">
        <v>74</v>
      </c>
      <c r="BO701" t="s">
        <v>74</v>
      </c>
      <c r="BP701" t="s">
        <v>74</v>
      </c>
      <c r="BQ701" t="s">
        <v>74</v>
      </c>
      <c r="BR701" t="s">
        <v>107</v>
      </c>
      <c r="BS701" t="s">
        <v>13545</v>
      </c>
      <c r="BT701" t="str">
        <f>HYPERLINK("https%3A%2F%2Fwww.webofscience.com%2Fwos%2Fwoscc%2Ffull-record%2FWOS:001180325100007","View Full Record in Web of Science")</f>
        <v>View Full Record in Web of Science</v>
      </c>
    </row>
    <row r="702" spans="1:72" x14ac:dyDescent="0.15">
      <c r="A702" t="s">
        <v>72</v>
      </c>
      <c r="B702" t="s">
        <v>13546</v>
      </c>
      <c r="C702" t="s">
        <v>74</v>
      </c>
      <c r="D702" t="s">
        <v>74</v>
      </c>
      <c r="E702" t="s">
        <v>74</v>
      </c>
      <c r="F702" t="s">
        <v>13546</v>
      </c>
      <c r="G702" t="s">
        <v>74</v>
      </c>
      <c r="H702" t="s">
        <v>74</v>
      </c>
      <c r="I702" t="s">
        <v>13547</v>
      </c>
      <c r="J702" t="s">
        <v>13539</v>
      </c>
      <c r="K702" t="s">
        <v>74</v>
      </c>
      <c r="L702" t="s">
        <v>74</v>
      </c>
      <c r="M702" t="s">
        <v>78</v>
      </c>
      <c r="N702" t="s">
        <v>6276</v>
      </c>
      <c r="O702" t="s">
        <v>74</v>
      </c>
      <c r="P702" t="s">
        <v>74</v>
      </c>
      <c r="Q702" t="s">
        <v>74</v>
      </c>
      <c r="R702" t="s">
        <v>74</v>
      </c>
      <c r="S702" t="s">
        <v>74</v>
      </c>
      <c r="T702" t="s">
        <v>74</v>
      </c>
      <c r="U702" t="s">
        <v>74</v>
      </c>
      <c r="V702" t="s">
        <v>74</v>
      </c>
      <c r="W702" t="s">
        <v>74</v>
      </c>
      <c r="X702" t="s">
        <v>74</v>
      </c>
      <c r="Y702" t="s">
        <v>74</v>
      </c>
      <c r="Z702" t="s">
        <v>74</v>
      </c>
      <c r="AA702" t="s">
        <v>74</v>
      </c>
      <c r="AB702" t="s">
        <v>74</v>
      </c>
      <c r="AC702" t="s">
        <v>74</v>
      </c>
      <c r="AD702" t="s">
        <v>74</v>
      </c>
      <c r="AE702" t="s">
        <v>74</v>
      </c>
      <c r="AF702" t="s">
        <v>74</v>
      </c>
      <c r="AG702">
        <v>0</v>
      </c>
      <c r="AH702">
        <v>0</v>
      </c>
      <c r="AI702">
        <v>0</v>
      </c>
      <c r="AJ702">
        <v>0</v>
      </c>
      <c r="AK702">
        <v>0</v>
      </c>
      <c r="AL702" t="s">
        <v>298</v>
      </c>
      <c r="AM702" t="s">
        <v>299</v>
      </c>
      <c r="AN702" t="s">
        <v>300</v>
      </c>
      <c r="AO702" t="s">
        <v>13540</v>
      </c>
      <c r="AP702" t="s">
        <v>13541</v>
      </c>
      <c r="AQ702" t="s">
        <v>74</v>
      </c>
      <c r="AR702" t="s">
        <v>13542</v>
      </c>
      <c r="AS702" t="s">
        <v>13543</v>
      </c>
      <c r="AT702" t="s">
        <v>8990</v>
      </c>
      <c r="AU702">
        <v>2023</v>
      </c>
      <c r="AV702">
        <v>328</v>
      </c>
      <c r="AW702">
        <v>6</v>
      </c>
      <c r="AX702" t="s">
        <v>74</v>
      </c>
      <c r="AY702" t="s">
        <v>74</v>
      </c>
      <c r="AZ702" t="s">
        <v>74</v>
      </c>
      <c r="BA702" t="s">
        <v>74</v>
      </c>
      <c r="BB702">
        <v>6</v>
      </c>
      <c r="BC702">
        <v>7</v>
      </c>
      <c r="BD702" t="s">
        <v>74</v>
      </c>
      <c r="BE702" t="s">
        <v>74</v>
      </c>
      <c r="BF702" t="s">
        <v>74</v>
      </c>
      <c r="BG702" t="s">
        <v>74</v>
      </c>
      <c r="BH702" t="s">
        <v>74</v>
      </c>
      <c r="BI702">
        <v>2</v>
      </c>
      <c r="BJ702" t="s">
        <v>1881</v>
      </c>
      <c r="BK702" t="s">
        <v>104</v>
      </c>
      <c r="BL702" t="s">
        <v>1882</v>
      </c>
      <c r="BM702" t="s">
        <v>13544</v>
      </c>
      <c r="BN702" t="s">
        <v>74</v>
      </c>
      <c r="BO702" t="s">
        <v>74</v>
      </c>
      <c r="BP702" t="s">
        <v>74</v>
      </c>
      <c r="BQ702" t="s">
        <v>74</v>
      </c>
      <c r="BR702" t="s">
        <v>107</v>
      </c>
      <c r="BS702" t="s">
        <v>13548</v>
      </c>
      <c r="BT702" t="str">
        <f>HYPERLINK("https%3A%2F%2Fwww.webofscience.com%2Fwos%2Fwoscc%2Ffull-record%2FWOS:001180325100008","View Full Record in Web of Science")</f>
        <v>View Full Record in Web of Science</v>
      </c>
    </row>
    <row r="703" spans="1:72" x14ac:dyDescent="0.15">
      <c r="A703" t="s">
        <v>72</v>
      </c>
      <c r="B703" t="s">
        <v>13549</v>
      </c>
      <c r="C703" t="s">
        <v>74</v>
      </c>
      <c r="D703" t="s">
        <v>74</v>
      </c>
      <c r="E703" t="s">
        <v>74</v>
      </c>
      <c r="F703" t="s">
        <v>13550</v>
      </c>
      <c r="G703" t="s">
        <v>74</v>
      </c>
      <c r="H703" t="s">
        <v>74</v>
      </c>
      <c r="I703" t="s">
        <v>13551</v>
      </c>
      <c r="J703" t="s">
        <v>13552</v>
      </c>
      <c r="K703" t="s">
        <v>74</v>
      </c>
      <c r="L703" t="s">
        <v>74</v>
      </c>
      <c r="M703" t="s">
        <v>78</v>
      </c>
      <c r="N703" t="s">
        <v>424</v>
      </c>
      <c r="O703" t="s">
        <v>74</v>
      </c>
      <c r="P703" t="s">
        <v>74</v>
      </c>
      <c r="Q703" t="s">
        <v>74</v>
      </c>
      <c r="R703" t="s">
        <v>74</v>
      </c>
      <c r="S703" t="s">
        <v>74</v>
      </c>
      <c r="T703" t="s">
        <v>13553</v>
      </c>
      <c r="U703" t="s">
        <v>13554</v>
      </c>
      <c r="V703" t="s">
        <v>13555</v>
      </c>
      <c r="W703" t="s">
        <v>13556</v>
      </c>
      <c r="X703" t="s">
        <v>13557</v>
      </c>
      <c r="Y703" t="s">
        <v>13558</v>
      </c>
      <c r="Z703" t="s">
        <v>13559</v>
      </c>
      <c r="AA703" t="s">
        <v>13560</v>
      </c>
      <c r="AB703" t="s">
        <v>13561</v>
      </c>
      <c r="AC703" t="s">
        <v>13562</v>
      </c>
      <c r="AD703" t="s">
        <v>13563</v>
      </c>
      <c r="AE703" t="s">
        <v>13564</v>
      </c>
      <c r="AF703" t="s">
        <v>74</v>
      </c>
      <c r="AG703">
        <v>65</v>
      </c>
      <c r="AH703">
        <v>0</v>
      </c>
      <c r="AI703">
        <v>0</v>
      </c>
      <c r="AJ703">
        <v>0</v>
      </c>
      <c r="AK703">
        <v>0</v>
      </c>
      <c r="AL703" t="s">
        <v>13565</v>
      </c>
      <c r="AM703" t="s">
        <v>13566</v>
      </c>
      <c r="AN703" t="s">
        <v>13567</v>
      </c>
      <c r="AO703" t="s">
        <v>13568</v>
      </c>
      <c r="AP703" t="s">
        <v>13569</v>
      </c>
      <c r="AQ703" t="s">
        <v>74</v>
      </c>
      <c r="AR703" t="s">
        <v>13570</v>
      </c>
      <c r="AS703" t="s">
        <v>13571</v>
      </c>
      <c r="AT703" t="s">
        <v>8990</v>
      </c>
      <c r="AU703">
        <v>2023</v>
      </c>
      <c r="AV703">
        <v>29</v>
      </c>
      <c r="AW703">
        <v>2</v>
      </c>
      <c r="AX703" t="s">
        <v>74</v>
      </c>
      <c r="AY703" t="s">
        <v>74</v>
      </c>
      <c r="AZ703" t="s">
        <v>74</v>
      </c>
      <c r="BA703" t="s">
        <v>74</v>
      </c>
      <c r="BB703">
        <v>175</v>
      </c>
      <c r="BC703">
        <v>183</v>
      </c>
      <c r="BD703" t="s">
        <v>74</v>
      </c>
      <c r="BE703" t="s">
        <v>13572</v>
      </c>
      <c r="BF703" t="str">
        <f>HYPERLINK("http://dx.doi.org/10.1177/02601060221151091","http://dx.doi.org/10.1177/02601060221151091")</f>
        <v>http://dx.doi.org/10.1177/02601060221151091</v>
      </c>
      <c r="BG703" t="s">
        <v>74</v>
      </c>
      <c r="BH703" t="s">
        <v>74</v>
      </c>
      <c r="BI703">
        <v>9</v>
      </c>
      <c r="BJ703" t="s">
        <v>13573</v>
      </c>
      <c r="BK703" t="s">
        <v>518</v>
      </c>
      <c r="BL703" t="s">
        <v>13573</v>
      </c>
      <c r="BM703" t="s">
        <v>13574</v>
      </c>
      <c r="BN703">
        <v>36650987</v>
      </c>
      <c r="BO703" t="s">
        <v>1128</v>
      </c>
      <c r="BP703" t="s">
        <v>74</v>
      </c>
      <c r="BQ703" t="s">
        <v>74</v>
      </c>
      <c r="BR703" t="s">
        <v>107</v>
      </c>
      <c r="BS703" t="s">
        <v>13575</v>
      </c>
      <c r="BT703" t="str">
        <f>HYPERLINK("https%3A%2F%2Fwww.webofscience.com%2Fwos%2Fwoscc%2Ffull-record%2FWOS:001125489300003","View Full Record in Web of Science")</f>
        <v>View Full Record in Web of Science</v>
      </c>
    </row>
    <row r="704" spans="1:72" x14ac:dyDescent="0.15">
      <c r="A704" t="s">
        <v>72</v>
      </c>
      <c r="B704" t="s">
        <v>13576</v>
      </c>
      <c r="C704" t="s">
        <v>74</v>
      </c>
      <c r="D704" t="s">
        <v>74</v>
      </c>
      <c r="E704" t="s">
        <v>74</v>
      </c>
      <c r="F704" t="s">
        <v>13577</v>
      </c>
      <c r="G704" t="s">
        <v>74</v>
      </c>
      <c r="H704" t="s">
        <v>74</v>
      </c>
      <c r="I704" t="s">
        <v>13578</v>
      </c>
      <c r="J704" t="s">
        <v>13579</v>
      </c>
      <c r="K704" t="s">
        <v>74</v>
      </c>
      <c r="L704" t="s">
        <v>74</v>
      </c>
      <c r="M704" t="s">
        <v>78</v>
      </c>
      <c r="N704" t="s">
        <v>79</v>
      </c>
      <c r="O704" t="s">
        <v>74</v>
      </c>
      <c r="P704" t="s">
        <v>74</v>
      </c>
      <c r="Q704" t="s">
        <v>74</v>
      </c>
      <c r="R704" t="s">
        <v>74</v>
      </c>
      <c r="S704" t="s">
        <v>74</v>
      </c>
      <c r="T704" t="s">
        <v>13580</v>
      </c>
      <c r="U704" t="s">
        <v>13581</v>
      </c>
      <c r="V704" t="s">
        <v>13582</v>
      </c>
      <c r="W704" t="s">
        <v>13583</v>
      </c>
      <c r="X704" t="s">
        <v>13584</v>
      </c>
      <c r="Y704" t="s">
        <v>13585</v>
      </c>
      <c r="Z704" t="s">
        <v>13586</v>
      </c>
      <c r="AA704" t="s">
        <v>74</v>
      </c>
      <c r="AB704" t="s">
        <v>74</v>
      </c>
      <c r="AC704" t="s">
        <v>13587</v>
      </c>
      <c r="AD704" t="s">
        <v>13587</v>
      </c>
      <c r="AE704" t="s">
        <v>13588</v>
      </c>
      <c r="AF704" t="s">
        <v>74</v>
      </c>
      <c r="AG704">
        <v>59</v>
      </c>
      <c r="AH704">
        <v>0</v>
      </c>
      <c r="AI704">
        <v>0</v>
      </c>
      <c r="AJ704">
        <v>1</v>
      </c>
      <c r="AK704">
        <v>1</v>
      </c>
      <c r="AL704" t="s">
        <v>2617</v>
      </c>
      <c r="AM704" t="s">
        <v>1528</v>
      </c>
      <c r="AN704" t="s">
        <v>2618</v>
      </c>
      <c r="AO704" t="s">
        <v>74</v>
      </c>
      <c r="AP704" t="s">
        <v>13589</v>
      </c>
      <c r="AQ704" t="s">
        <v>74</v>
      </c>
      <c r="AR704" t="s">
        <v>13590</v>
      </c>
      <c r="AS704" t="s">
        <v>13591</v>
      </c>
      <c r="AT704" t="s">
        <v>8990</v>
      </c>
      <c r="AU704">
        <v>2023</v>
      </c>
      <c r="AV704">
        <v>6</v>
      </c>
      <c r="AW704">
        <v>2</v>
      </c>
      <c r="AX704" t="s">
        <v>74</v>
      </c>
      <c r="AY704" t="s">
        <v>74</v>
      </c>
      <c r="AZ704" t="s">
        <v>99</v>
      </c>
      <c r="BA704" t="s">
        <v>74</v>
      </c>
      <c r="BB704">
        <v>259</v>
      </c>
      <c r="BC704">
        <v>270</v>
      </c>
      <c r="BD704" t="s">
        <v>74</v>
      </c>
      <c r="BE704" t="s">
        <v>13592</v>
      </c>
      <c r="BF704" t="str">
        <f>HYPERLINK("http://dx.doi.org/10.1007/s42398-023-00273-w","http://dx.doi.org/10.1007/s42398-023-00273-w")</f>
        <v>http://dx.doi.org/10.1007/s42398-023-00273-w</v>
      </c>
      <c r="BG704" t="s">
        <v>74</v>
      </c>
      <c r="BH704" t="s">
        <v>74</v>
      </c>
      <c r="BI704">
        <v>12</v>
      </c>
      <c r="BJ704" t="s">
        <v>2050</v>
      </c>
      <c r="BK704" t="s">
        <v>518</v>
      </c>
      <c r="BL704" t="s">
        <v>1535</v>
      </c>
      <c r="BM704" t="s">
        <v>13593</v>
      </c>
      <c r="BN704" t="s">
        <v>74</v>
      </c>
      <c r="BO704" t="s">
        <v>74</v>
      </c>
      <c r="BP704" t="s">
        <v>74</v>
      </c>
      <c r="BQ704" t="s">
        <v>74</v>
      </c>
      <c r="BR704" t="s">
        <v>107</v>
      </c>
      <c r="BS704" t="s">
        <v>13594</v>
      </c>
      <c r="BT704" t="str">
        <f>HYPERLINK("https%3A%2F%2Fwww.webofscience.com%2Fwos%2Fwoscc%2Ffull-record%2FWOS:001127096200012","View Full Record in Web of Science")</f>
        <v>View Full Record in Web of Science</v>
      </c>
    </row>
    <row r="705" spans="1:72" x14ac:dyDescent="0.15">
      <c r="A705" t="s">
        <v>72</v>
      </c>
      <c r="B705" t="s">
        <v>13595</v>
      </c>
      <c r="C705" t="s">
        <v>74</v>
      </c>
      <c r="D705" t="s">
        <v>74</v>
      </c>
      <c r="E705" t="s">
        <v>74</v>
      </c>
      <c r="F705" t="s">
        <v>13596</v>
      </c>
      <c r="G705" t="s">
        <v>74</v>
      </c>
      <c r="H705" t="s">
        <v>74</v>
      </c>
      <c r="I705" t="s">
        <v>13597</v>
      </c>
      <c r="J705" t="s">
        <v>13598</v>
      </c>
      <c r="K705" t="s">
        <v>74</v>
      </c>
      <c r="L705" t="s">
        <v>74</v>
      </c>
      <c r="M705" t="s">
        <v>78</v>
      </c>
      <c r="N705" t="s">
        <v>79</v>
      </c>
      <c r="O705" t="s">
        <v>74</v>
      </c>
      <c r="P705" t="s">
        <v>74</v>
      </c>
      <c r="Q705" t="s">
        <v>74</v>
      </c>
      <c r="R705" t="s">
        <v>74</v>
      </c>
      <c r="S705" t="s">
        <v>74</v>
      </c>
      <c r="T705" t="s">
        <v>13599</v>
      </c>
      <c r="U705" t="s">
        <v>74</v>
      </c>
      <c r="V705" t="s">
        <v>13600</v>
      </c>
      <c r="W705" t="s">
        <v>13601</v>
      </c>
      <c r="X705" t="s">
        <v>13602</v>
      </c>
      <c r="Y705" t="s">
        <v>13603</v>
      </c>
      <c r="Z705" t="s">
        <v>74</v>
      </c>
      <c r="AA705" t="s">
        <v>13604</v>
      </c>
      <c r="AB705" t="s">
        <v>13605</v>
      </c>
      <c r="AC705" t="s">
        <v>13606</v>
      </c>
      <c r="AD705" t="s">
        <v>13607</v>
      </c>
      <c r="AE705" t="s">
        <v>13608</v>
      </c>
      <c r="AF705" t="s">
        <v>74</v>
      </c>
      <c r="AG705">
        <v>48</v>
      </c>
      <c r="AH705">
        <v>0</v>
      </c>
      <c r="AI705">
        <v>0</v>
      </c>
      <c r="AJ705">
        <v>0</v>
      </c>
      <c r="AK705">
        <v>0</v>
      </c>
      <c r="AL705" t="s">
        <v>2762</v>
      </c>
      <c r="AM705" t="s">
        <v>2763</v>
      </c>
      <c r="AN705" t="s">
        <v>2764</v>
      </c>
      <c r="AO705" t="s">
        <v>13609</v>
      </c>
      <c r="AP705" t="s">
        <v>13610</v>
      </c>
      <c r="AQ705" t="s">
        <v>74</v>
      </c>
      <c r="AR705" t="s">
        <v>13611</v>
      </c>
      <c r="AS705" t="s">
        <v>13612</v>
      </c>
      <c r="AT705" t="s">
        <v>13613</v>
      </c>
      <c r="AU705">
        <v>2023</v>
      </c>
      <c r="AV705">
        <v>21</v>
      </c>
      <c r="AW705">
        <v>1</v>
      </c>
      <c r="AX705" t="s">
        <v>74</v>
      </c>
      <c r="AY705" t="s">
        <v>74</v>
      </c>
      <c r="AZ705" t="s">
        <v>74</v>
      </c>
      <c r="BA705" t="s">
        <v>74</v>
      </c>
      <c r="BB705" t="s">
        <v>74</v>
      </c>
      <c r="BC705" t="s">
        <v>74</v>
      </c>
      <c r="BD705">
        <v>2279674</v>
      </c>
      <c r="BE705" t="s">
        <v>13614</v>
      </c>
      <c r="BF705" t="str">
        <f>HYPERLINK("http://dx.doi.org/10.1080/14772019.2023.2279674","http://dx.doi.org/10.1080/14772019.2023.2279674")</f>
        <v>http://dx.doi.org/10.1080/14772019.2023.2279674</v>
      </c>
      <c r="BG705" t="s">
        <v>74</v>
      </c>
      <c r="BH705" t="s">
        <v>74</v>
      </c>
      <c r="BI705">
        <v>13</v>
      </c>
      <c r="BJ705" t="s">
        <v>13615</v>
      </c>
      <c r="BK705" t="s">
        <v>104</v>
      </c>
      <c r="BL705" t="s">
        <v>13615</v>
      </c>
      <c r="BM705" t="s">
        <v>13616</v>
      </c>
      <c r="BN705" t="s">
        <v>74</v>
      </c>
      <c r="BO705" t="s">
        <v>74</v>
      </c>
      <c r="BP705" t="s">
        <v>74</v>
      </c>
      <c r="BQ705" t="s">
        <v>74</v>
      </c>
      <c r="BR705" t="s">
        <v>107</v>
      </c>
      <c r="BS705" t="s">
        <v>13617</v>
      </c>
      <c r="BT705" t="str">
        <f>HYPERLINK("https%3A%2F%2Fwww.webofscience.com%2Fwos%2Fwoscc%2Ffull-record%2FWOS:001123936800001","View Full Record in Web of Science")</f>
        <v>View Full Record in Web of Science</v>
      </c>
    </row>
    <row r="706" spans="1:72" x14ac:dyDescent="0.15">
      <c r="A706" t="s">
        <v>72</v>
      </c>
      <c r="B706" t="s">
        <v>13618</v>
      </c>
      <c r="C706" t="s">
        <v>74</v>
      </c>
      <c r="D706" t="s">
        <v>74</v>
      </c>
      <c r="E706" t="s">
        <v>74</v>
      </c>
      <c r="F706" t="s">
        <v>13619</v>
      </c>
      <c r="G706" t="s">
        <v>74</v>
      </c>
      <c r="H706" t="s">
        <v>74</v>
      </c>
      <c r="I706" t="s">
        <v>13620</v>
      </c>
      <c r="J706" t="s">
        <v>13621</v>
      </c>
      <c r="K706" t="s">
        <v>74</v>
      </c>
      <c r="L706" t="s">
        <v>74</v>
      </c>
      <c r="M706" t="s">
        <v>78</v>
      </c>
      <c r="N706" t="s">
        <v>79</v>
      </c>
      <c r="O706" t="s">
        <v>74</v>
      </c>
      <c r="P706" t="s">
        <v>74</v>
      </c>
      <c r="Q706" t="s">
        <v>74</v>
      </c>
      <c r="R706" t="s">
        <v>74</v>
      </c>
      <c r="S706" t="s">
        <v>74</v>
      </c>
      <c r="T706" t="s">
        <v>13622</v>
      </c>
      <c r="U706" t="s">
        <v>13623</v>
      </c>
      <c r="V706" t="s">
        <v>13624</v>
      </c>
      <c r="W706" t="s">
        <v>13625</v>
      </c>
      <c r="X706" t="s">
        <v>13626</v>
      </c>
      <c r="Y706" t="s">
        <v>13627</v>
      </c>
      <c r="Z706" t="s">
        <v>13628</v>
      </c>
      <c r="AA706" t="s">
        <v>13629</v>
      </c>
      <c r="AB706" t="s">
        <v>13630</v>
      </c>
      <c r="AC706" t="s">
        <v>13631</v>
      </c>
      <c r="AD706" t="s">
        <v>13632</v>
      </c>
      <c r="AE706" t="s">
        <v>13633</v>
      </c>
      <c r="AF706" t="s">
        <v>74</v>
      </c>
      <c r="AG706">
        <v>57</v>
      </c>
      <c r="AH706">
        <v>0</v>
      </c>
      <c r="AI706">
        <v>0</v>
      </c>
      <c r="AJ706">
        <v>3</v>
      </c>
      <c r="AK706">
        <v>3</v>
      </c>
      <c r="AL706" t="s">
        <v>13634</v>
      </c>
      <c r="AM706" t="s">
        <v>5982</v>
      </c>
      <c r="AN706" t="s">
        <v>13635</v>
      </c>
      <c r="AO706" t="s">
        <v>13636</v>
      </c>
      <c r="AP706" t="s">
        <v>13637</v>
      </c>
      <c r="AQ706" t="s">
        <v>74</v>
      </c>
      <c r="AR706" t="s">
        <v>13638</v>
      </c>
      <c r="AS706" t="s">
        <v>13639</v>
      </c>
      <c r="AT706" t="s">
        <v>8990</v>
      </c>
      <c r="AU706">
        <v>2023</v>
      </c>
      <c r="AV706">
        <v>101</v>
      </c>
      <c r="AW706">
        <v>3</v>
      </c>
      <c r="AX706" t="s">
        <v>74</v>
      </c>
      <c r="AY706" t="s">
        <v>74</v>
      </c>
      <c r="AZ706" t="s">
        <v>74</v>
      </c>
      <c r="BA706" t="s">
        <v>74</v>
      </c>
      <c r="BB706">
        <v>175</v>
      </c>
      <c r="BC706">
        <v>189</v>
      </c>
      <c r="BD706" t="s">
        <v>74</v>
      </c>
      <c r="BE706" t="s">
        <v>13640</v>
      </c>
      <c r="BF706" t="str">
        <f>HYPERLINK("http://dx.doi.org/10.2151/jmsj.2023-010","http://dx.doi.org/10.2151/jmsj.2023-010")</f>
        <v>http://dx.doi.org/10.2151/jmsj.2023-010</v>
      </c>
      <c r="BG706" t="s">
        <v>74</v>
      </c>
      <c r="BH706" t="s">
        <v>74</v>
      </c>
      <c r="BI706">
        <v>15</v>
      </c>
      <c r="BJ706" t="s">
        <v>103</v>
      </c>
      <c r="BK706" t="s">
        <v>104</v>
      </c>
      <c r="BL706" t="s">
        <v>103</v>
      </c>
      <c r="BM706" t="s">
        <v>13641</v>
      </c>
      <c r="BN706" t="s">
        <v>74</v>
      </c>
      <c r="BO706" t="s">
        <v>206</v>
      </c>
      <c r="BP706" t="s">
        <v>74</v>
      </c>
      <c r="BQ706" t="s">
        <v>74</v>
      </c>
      <c r="BR706" t="s">
        <v>107</v>
      </c>
      <c r="BS706" t="s">
        <v>13642</v>
      </c>
      <c r="BT706" t="str">
        <f>HYPERLINK("https%3A%2F%2Fwww.webofscience.com%2Fwos%2Fwoscc%2Ffull-record%2FWOS:001091672300001","View Full Record in Web of Science")</f>
        <v>View Full Record in Web of Science</v>
      </c>
    </row>
    <row r="707" spans="1:72" x14ac:dyDescent="0.15">
      <c r="A707" t="s">
        <v>72</v>
      </c>
      <c r="B707" t="s">
        <v>13643</v>
      </c>
      <c r="C707" t="s">
        <v>74</v>
      </c>
      <c r="D707" t="s">
        <v>74</v>
      </c>
      <c r="E707" t="s">
        <v>74</v>
      </c>
      <c r="F707" t="s">
        <v>13644</v>
      </c>
      <c r="G707" t="s">
        <v>74</v>
      </c>
      <c r="H707" t="s">
        <v>74</v>
      </c>
      <c r="I707" t="s">
        <v>13645</v>
      </c>
      <c r="J707" t="s">
        <v>888</v>
      </c>
      <c r="K707" t="s">
        <v>74</v>
      </c>
      <c r="L707" t="s">
        <v>74</v>
      </c>
      <c r="M707" t="s">
        <v>78</v>
      </c>
      <c r="N707" t="s">
        <v>79</v>
      </c>
      <c r="O707" t="s">
        <v>74</v>
      </c>
      <c r="P707" t="s">
        <v>74</v>
      </c>
      <c r="Q707" t="s">
        <v>74</v>
      </c>
      <c r="R707" t="s">
        <v>74</v>
      </c>
      <c r="S707" t="s">
        <v>74</v>
      </c>
      <c r="T707" t="s">
        <v>74</v>
      </c>
      <c r="U707" t="s">
        <v>13646</v>
      </c>
      <c r="V707" t="s">
        <v>13647</v>
      </c>
      <c r="W707" t="s">
        <v>13648</v>
      </c>
      <c r="X707" t="s">
        <v>13649</v>
      </c>
      <c r="Y707" t="s">
        <v>13650</v>
      </c>
      <c r="Z707" t="s">
        <v>13651</v>
      </c>
      <c r="AA707" t="s">
        <v>74</v>
      </c>
      <c r="AB707" t="s">
        <v>13652</v>
      </c>
      <c r="AC707" t="s">
        <v>13653</v>
      </c>
      <c r="AD707" t="s">
        <v>13654</v>
      </c>
      <c r="AE707" t="s">
        <v>13655</v>
      </c>
      <c r="AF707" t="s">
        <v>74</v>
      </c>
      <c r="AG707">
        <v>38</v>
      </c>
      <c r="AH707">
        <v>1</v>
      </c>
      <c r="AI707">
        <v>1</v>
      </c>
      <c r="AJ707">
        <v>1</v>
      </c>
      <c r="AK707">
        <v>1</v>
      </c>
      <c r="AL707" t="s">
        <v>588</v>
      </c>
      <c r="AM707" t="s">
        <v>589</v>
      </c>
      <c r="AN707" t="s">
        <v>590</v>
      </c>
      <c r="AO707" t="s">
        <v>901</v>
      </c>
      <c r="AP707" t="s">
        <v>902</v>
      </c>
      <c r="AQ707" t="s">
        <v>74</v>
      </c>
      <c r="AR707" t="s">
        <v>903</v>
      </c>
      <c r="AS707" t="s">
        <v>904</v>
      </c>
      <c r="AT707" t="s">
        <v>8990</v>
      </c>
      <c r="AU707">
        <v>2023</v>
      </c>
      <c r="AV707">
        <v>128</v>
      </c>
      <c r="AW707">
        <v>6</v>
      </c>
      <c r="AX707" t="s">
        <v>74</v>
      </c>
      <c r="AY707" t="s">
        <v>74</v>
      </c>
      <c r="AZ707" t="s">
        <v>74</v>
      </c>
      <c r="BA707" t="s">
        <v>74</v>
      </c>
      <c r="BB707" t="s">
        <v>74</v>
      </c>
      <c r="BC707" t="s">
        <v>74</v>
      </c>
      <c r="BD707" t="s">
        <v>13656</v>
      </c>
      <c r="BE707" t="s">
        <v>13657</v>
      </c>
      <c r="BF707" t="str">
        <f>HYPERLINK("http://dx.doi.org/10.1029/2023JA031285","http://dx.doi.org/10.1029/2023JA031285")</f>
        <v>http://dx.doi.org/10.1029/2023JA031285</v>
      </c>
      <c r="BG707" t="s">
        <v>74</v>
      </c>
      <c r="BH707" t="s">
        <v>74</v>
      </c>
      <c r="BI707">
        <v>15</v>
      </c>
      <c r="BJ707" t="s">
        <v>845</v>
      </c>
      <c r="BK707" t="s">
        <v>104</v>
      </c>
      <c r="BL707" t="s">
        <v>845</v>
      </c>
      <c r="BM707" t="s">
        <v>13658</v>
      </c>
      <c r="BN707" t="s">
        <v>74</v>
      </c>
      <c r="BO707" t="s">
        <v>549</v>
      </c>
      <c r="BP707" t="s">
        <v>74</v>
      </c>
      <c r="BQ707" t="s">
        <v>74</v>
      </c>
      <c r="BR707" t="s">
        <v>107</v>
      </c>
      <c r="BS707" t="s">
        <v>13659</v>
      </c>
      <c r="BT707" t="str">
        <f>HYPERLINK("https%3A%2F%2Fwww.webofscience.com%2Fwos%2Fwoscc%2Ffull-record%2FWOS:000998970100001","View Full Record in Web of Science")</f>
        <v>View Full Record in Web of Science</v>
      </c>
    </row>
    <row r="708" spans="1:72" x14ac:dyDescent="0.15">
      <c r="A708" t="s">
        <v>72</v>
      </c>
      <c r="B708" t="s">
        <v>13660</v>
      </c>
      <c r="C708" t="s">
        <v>74</v>
      </c>
      <c r="D708" t="s">
        <v>74</v>
      </c>
      <c r="E708" t="s">
        <v>74</v>
      </c>
      <c r="F708" t="s">
        <v>13661</v>
      </c>
      <c r="G708" t="s">
        <v>74</v>
      </c>
      <c r="H708" t="s">
        <v>74</v>
      </c>
      <c r="I708" t="s">
        <v>13662</v>
      </c>
      <c r="J708" t="s">
        <v>888</v>
      </c>
      <c r="K708" t="s">
        <v>74</v>
      </c>
      <c r="L708" t="s">
        <v>74</v>
      </c>
      <c r="M708" t="s">
        <v>78</v>
      </c>
      <c r="N708" t="s">
        <v>79</v>
      </c>
      <c r="O708" t="s">
        <v>74</v>
      </c>
      <c r="P708" t="s">
        <v>74</v>
      </c>
      <c r="Q708" t="s">
        <v>74</v>
      </c>
      <c r="R708" t="s">
        <v>74</v>
      </c>
      <c r="S708" t="s">
        <v>74</v>
      </c>
      <c r="T708" t="s">
        <v>13663</v>
      </c>
      <c r="U708" t="s">
        <v>13664</v>
      </c>
      <c r="V708" t="s">
        <v>13665</v>
      </c>
      <c r="W708" t="s">
        <v>13666</v>
      </c>
      <c r="X708" t="s">
        <v>13667</v>
      </c>
      <c r="Y708" t="s">
        <v>13668</v>
      </c>
      <c r="Z708" t="s">
        <v>13669</v>
      </c>
      <c r="AA708" t="s">
        <v>13670</v>
      </c>
      <c r="AB708" t="s">
        <v>13671</v>
      </c>
      <c r="AC708" t="s">
        <v>13672</v>
      </c>
      <c r="AD708" t="s">
        <v>13673</v>
      </c>
      <c r="AE708" t="s">
        <v>13674</v>
      </c>
      <c r="AF708" t="s">
        <v>74</v>
      </c>
      <c r="AG708">
        <v>42</v>
      </c>
      <c r="AH708">
        <v>0</v>
      </c>
      <c r="AI708">
        <v>0</v>
      </c>
      <c r="AJ708">
        <v>0</v>
      </c>
      <c r="AK708">
        <v>0</v>
      </c>
      <c r="AL708" t="s">
        <v>588</v>
      </c>
      <c r="AM708" t="s">
        <v>589</v>
      </c>
      <c r="AN708" t="s">
        <v>590</v>
      </c>
      <c r="AO708" t="s">
        <v>901</v>
      </c>
      <c r="AP708" t="s">
        <v>902</v>
      </c>
      <c r="AQ708" t="s">
        <v>74</v>
      </c>
      <c r="AR708" t="s">
        <v>903</v>
      </c>
      <c r="AS708" t="s">
        <v>904</v>
      </c>
      <c r="AT708" t="s">
        <v>8990</v>
      </c>
      <c r="AU708">
        <v>2023</v>
      </c>
      <c r="AV708">
        <v>128</v>
      </c>
      <c r="AW708">
        <v>6</v>
      </c>
      <c r="AX708" t="s">
        <v>74</v>
      </c>
      <c r="AY708" t="s">
        <v>74</v>
      </c>
      <c r="AZ708" t="s">
        <v>74</v>
      </c>
      <c r="BA708" t="s">
        <v>74</v>
      </c>
      <c r="BB708" t="s">
        <v>74</v>
      </c>
      <c r="BC708" t="s">
        <v>74</v>
      </c>
      <c r="BD708" t="s">
        <v>13675</v>
      </c>
      <c r="BE708" t="s">
        <v>13676</v>
      </c>
      <c r="BF708" t="str">
        <f>HYPERLINK("http://dx.doi.org/10.1029/2023JA031430","http://dx.doi.org/10.1029/2023JA031430")</f>
        <v>http://dx.doi.org/10.1029/2023JA031430</v>
      </c>
      <c r="BG708" t="s">
        <v>74</v>
      </c>
      <c r="BH708" t="s">
        <v>74</v>
      </c>
      <c r="BI708">
        <v>18</v>
      </c>
      <c r="BJ708" t="s">
        <v>845</v>
      </c>
      <c r="BK708" t="s">
        <v>104</v>
      </c>
      <c r="BL708" t="s">
        <v>845</v>
      </c>
      <c r="BM708" t="s">
        <v>13677</v>
      </c>
      <c r="BN708" t="s">
        <v>74</v>
      </c>
      <c r="BO708" t="s">
        <v>883</v>
      </c>
      <c r="BP708" t="s">
        <v>74</v>
      </c>
      <c r="BQ708" t="s">
        <v>74</v>
      </c>
      <c r="BR708" t="s">
        <v>107</v>
      </c>
      <c r="BS708" t="s">
        <v>13678</v>
      </c>
      <c r="BT708" t="str">
        <f>HYPERLINK("https%3A%2F%2Fwww.webofscience.com%2Fwos%2Fwoscc%2Ffull-record%2FWOS:001006534100001","View Full Record in Web of Science")</f>
        <v>View Full Record in Web of Science</v>
      </c>
    </row>
    <row r="709" spans="1:72" x14ac:dyDescent="0.15">
      <c r="A709" t="s">
        <v>72</v>
      </c>
      <c r="B709" t="s">
        <v>13679</v>
      </c>
      <c r="C709" t="s">
        <v>74</v>
      </c>
      <c r="D709" t="s">
        <v>74</v>
      </c>
      <c r="E709" t="s">
        <v>74</v>
      </c>
      <c r="F709" t="s">
        <v>13680</v>
      </c>
      <c r="G709" t="s">
        <v>74</v>
      </c>
      <c r="H709" t="s">
        <v>74</v>
      </c>
      <c r="I709" t="s">
        <v>13681</v>
      </c>
      <c r="J709" t="s">
        <v>9072</v>
      </c>
      <c r="K709" t="s">
        <v>74</v>
      </c>
      <c r="L709" t="s">
        <v>74</v>
      </c>
      <c r="M709" t="s">
        <v>78</v>
      </c>
      <c r="N709" t="s">
        <v>79</v>
      </c>
      <c r="O709" t="s">
        <v>74</v>
      </c>
      <c r="P709" t="s">
        <v>74</v>
      </c>
      <c r="Q709" t="s">
        <v>74</v>
      </c>
      <c r="R709" t="s">
        <v>74</v>
      </c>
      <c r="S709" t="s">
        <v>74</v>
      </c>
      <c r="T709" t="s">
        <v>13682</v>
      </c>
      <c r="U709" t="s">
        <v>13683</v>
      </c>
      <c r="V709" t="s">
        <v>13684</v>
      </c>
      <c r="W709" t="s">
        <v>13685</v>
      </c>
      <c r="X709" t="s">
        <v>315</v>
      </c>
      <c r="Y709" t="s">
        <v>13686</v>
      </c>
      <c r="Z709" t="s">
        <v>13687</v>
      </c>
      <c r="AA709" t="s">
        <v>74</v>
      </c>
      <c r="AB709" t="s">
        <v>74</v>
      </c>
      <c r="AC709" t="s">
        <v>13688</v>
      </c>
      <c r="AD709" t="s">
        <v>2603</v>
      </c>
      <c r="AE709" t="s">
        <v>13689</v>
      </c>
      <c r="AF709" t="s">
        <v>74</v>
      </c>
      <c r="AG709">
        <v>57</v>
      </c>
      <c r="AH709">
        <v>0</v>
      </c>
      <c r="AI709">
        <v>0</v>
      </c>
      <c r="AJ709">
        <v>0</v>
      </c>
      <c r="AK709">
        <v>0</v>
      </c>
      <c r="AL709" t="s">
        <v>4830</v>
      </c>
      <c r="AM709" t="s">
        <v>299</v>
      </c>
      <c r="AN709" t="s">
        <v>4831</v>
      </c>
      <c r="AO709" t="s">
        <v>9083</v>
      </c>
      <c r="AP709" t="s">
        <v>9084</v>
      </c>
      <c r="AQ709" t="s">
        <v>74</v>
      </c>
      <c r="AR709" t="s">
        <v>9085</v>
      </c>
      <c r="AS709" t="s">
        <v>9086</v>
      </c>
      <c r="AT709" t="s">
        <v>8990</v>
      </c>
      <c r="AU709">
        <v>2023</v>
      </c>
      <c r="AV709">
        <v>48</v>
      </c>
      <c r="AW709">
        <v>6</v>
      </c>
      <c r="AX709" t="s">
        <v>74</v>
      </c>
      <c r="AY709" t="s">
        <v>74</v>
      </c>
      <c r="AZ709" t="s">
        <v>74</v>
      </c>
      <c r="BA709" t="s">
        <v>74</v>
      </c>
      <c r="BB709">
        <v>500</v>
      </c>
      <c r="BC709">
        <v>516</v>
      </c>
      <c r="BD709" t="s">
        <v>74</v>
      </c>
      <c r="BE709" t="s">
        <v>13690</v>
      </c>
      <c r="BF709" t="str">
        <f>HYPERLINK("http://dx.doi.org/10.3103/S106837392306002X","http://dx.doi.org/10.3103/S106837392306002X")</f>
        <v>http://dx.doi.org/10.3103/S106837392306002X</v>
      </c>
      <c r="BG709" t="s">
        <v>74</v>
      </c>
      <c r="BH709" t="s">
        <v>74</v>
      </c>
      <c r="BI709">
        <v>17</v>
      </c>
      <c r="BJ709" t="s">
        <v>103</v>
      </c>
      <c r="BK709" t="s">
        <v>104</v>
      </c>
      <c r="BL709" t="s">
        <v>103</v>
      </c>
      <c r="BM709" t="s">
        <v>13691</v>
      </c>
      <c r="BN709" t="s">
        <v>74</v>
      </c>
      <c r="BO709" t="s">
        <v>74</v>
      </c>
      <c r="BP709" t="s">
        <v>74</v>
      </c>
      <c r="BQ709" t="s">
        <v>74</v>
      </c>
      <c r="BR709" t="s">
        <v>107</v>
      </c>
      <c r="BS709" t="s">
        <v>13692</v>
      </c>
      <c r="BT709" t="str">
        <f>HYPERLINK("https%3A%2F%2Fwww.webofscience.com%2Fwos%2Fwoscc%2Ffull-record%2FWOS:001074514200002","View Full Record in Web of Science")</f>
        <v>View Full Record in Web of Science</v>
      </c>
    </row>
    <row r="710" spans="1:72" x14ac:dyDescent="0.15">
      <c r="A710" t="s">
        <v>72</v>
      </c>
      <c r="B710" t="s">
        <v>13693</v>
      </c>
      <c r="C710" t="s">
        <v>74</v>
      </c>
      <c r="D710" t="s">
        <v>74</v>
      </c>
      <c r="E710" t="s">
        <v>74</v>
      </c>
      <c r="F710" t="s">
        <v>13694</v>
      </c>
      <c r="G710" t="s">
        <v>74</v>
      </c>
      <c r="H710" t="s">
        <v>74</v>
      </c>
      <c r="I710" t="s">
        <v>13695</v>
      </c>
      <c r="J710" t="s">
        <v>9072</v>
      </c>
      <c r="K710" t="s">
        <v>74</v>
      </c>
      <c r="L710" t="s">
        <v>74</v>
      </c>
      <c r="M710" t="s">
        <v>78</v>
      </c>
      <c r="N710" t="s">
        <v>79</v>
      </c>
      <c r="O710" t="s">
        <v>74</v>
      </c>
      <c r="P710" t="s">
        <v>74</v>
      </c>
      <c r="Q710" t="s">
        <v>74</v>
      </c>
      <c r="R710" t="s">
        <v>74</v>
      </c>
      <c r="S710" t="s">
        <v>74</v>
      </c>
      <c r="T710" t="s">
        <v>13696</v>
      </c>
      <c r="U710" t="s">
        <v>13697</v>
      </c>
      <c r="V710" t="s">
        <v>13698</v>
      </c>
      <c r="W710" t="s">
        <v>13699</v>
      </c>
      <c r="X710" t="s">
        <v>13700</v>
      </c>
      <c r="Y710" t="s">
        <v>13701</v>
      </c>
      <c r="Z710" t="s">
        <v>13702</v>
      </c>
      <c r="AA710" t="s">
        <v>74</v>
      </c>
      <c r="AB710" t="s">
        <v>74</v>
      </c>
      <c r="AC710" t="s">
        <v>13703</v>
      </c>
      <c r="AD710" t="s">
        <v>13704</v>
      </c>
      <c r="AE710" t="s">
        <v>13705</v>
      </c>
      <c r="AF710" t="s">
        <v>74</v>
      </c>
      <c r="AG710">
        <v>37</v>
      </c>
      <c r="AH710">
        <v>0</v>
      </c>
      <c r="AI710">
        <v>0</v>
      </c>
      <c r="AJ710">
        <v>0</v>
      </c>
      <c r="AK710">
        <v>0</v>
      </c>
      <c r="AL710" t="s">
        <v>4830</v>
      </c>
      <c r="AM710" t="s">
        <v>299</v>
      </c>
      <c r="AN710" t="s">
        <v>4831</v>
      </c>
      <c r="AO710" t="s">
        <v>9083</v>
      </c>
      <c r="AP710" t="s">
        <v>9084</v>
      </c>
      <c r="AQ710" t="s">
        <v>74</v>
      </c>
      <c r="AR710" t="s">
        <v>9085</v>
      </c>
      <c r="AS710" t="s">
        <v>9086</v>
      </c>
      <c r="AT710" t="s">
        <v>8990</v>
      </c>
      <c r="AU710">
        <v>2023</v>
      </c>
      <c r="AV710">
        <v>48</v>
      </c>
      <c r="AW710">
        <v>6</v>
      </c>
      <c r="AX710" t="s">
        <v>74</v>
      </c>
      <c r="AY710" t="s">
        <v>74</v>
      </c>
      <c r="AZ710" t="s">
        <v>74</v>
      </c>
      <c r="BA710" t="s">
        <v>74</v>
      </c>
      <c r="BB710">
        <v>517</v>
      </c>
      <c r="BC710">
        <v>526</v>
      </c>
      <c r="BD710" t="s">
        <v>74</v>
      </c>
      <c r="BE710" t="s">
        <v>13706</v>
      </c>
      <c r="BF710" t="str">
        <f>HYPERLINK("http://dx.doi.org/10.3103/S1068373923060031","http://dx.doi.org/10.3103/S1068373923060031")</f>
        <v>http://dx.doi.org/10.3103/S1068373923060031</v>
      </c>
      <c r="BG710" t="s">
        <v>74</v>
      </c>
      <c r="BH710" t="s">
        <v>74</v>
      </c>
      <c r="BI710">
        <v>10</v>
      </c>
      <c r="BJ710" t="s">
        <v>103</v>
      </c>
      <c r="BK710" t="s">
        <v>104</v>
      </c>
      <c r="BL710" t="s">
        <v>103</v>
      </c>
      <c r="BM710" t="s">
        <v>13691</v>
      </c>
      <c r="BN710" t="s">
        <v>74</v>
      </c>
      <c r="BO710" t="s">
        <v>74</v>
      </c>
      <c r="BP710" t="s">
        <v>74</v>
      </c>
      <c r="BQ710" t="s">
        <v>74</v>
      </c>
      <c r="BR710" t="s">
        <v>107</v>
      </c>
      <c r="BS710" t="s">
        <v>13707</v>
      </c>
      <c r="BT710" t="str">
        <f>HYPERLINK("https%3A%2F%2Fwww.webofscience.com%2Fwos%2Fwoscc%2Ffull-record%2FWOS:001074514200003","View Full Record in Web of Science")</f>
        <v>View Full Record in Web of Science</v>
      </c>
    </row>
    <row r="711" spans="1:72" x14ac:dyDescent="0.15">
      <c r="A711" t="s">
        <v>72</v>
      </c>
      <c r="B711" t="s">
        <v>13708</v>
      </c>
      <c r="C711" t="s">
        <v>74</v>
      </c>
      <c r="D711" t="s">
        <v>74</v>
      </c>
      <c r="E711" t="s">
        <v>74</v>
      </c>
      <c r="F711" t="s">
        <v>13709</v>
      </c>
      <c r="G711" t="s">
        <v>74</v>
      </c>
      <c r="H711" t="s">
        <v>74</v>
      </c>
      <c r="I711" t="s">
        <v>13710</v>
      </c>
      <c r="J711" t="s">
        <v>186</v>
      </c>
      <c r="K711" t="s">
        <v>74</v>
      </c>
      <c r="L711" t="s">
        <v>74</v>
      </c>
      <c r="M711" t="s">
        <v>78</v>
      </c>
      <c r="N711" t="s">
        <v>2439</v>
      </c>
      <c r="O711" t="s">
        <v>74</v>
      </c>
      <c r="P711" t="s">
        <v>74</v>
      </c>
      <c r="Q711" t="s">
        <v>74</v>
      </c>
      <c r="R711" t="s">
        <v>74</v>
      </c>
      <c r="S711" t="s">
        <v>74</v>
      </c>
      <c r="T711" t="s">
        <v>74</v>
      </c>
      <c r="U711" t="s">
        <v>74</v>
      </c>
      <c r="V711" t="s">
        <v>74</v>
      </c>
      <c r="W711" t="s">
        <v>13711</v>
      </c>
      <c r="X711" t="s">
        <v>13712</v>
      </c>
      <c r="Y711" t="s">
        <v>13713</v>
      </c>
      <c r="Z711" t="s">
        <v>13714</v>
      </c>
      <c r="AA711" t="s">
        <v>74</v>
      </c>
      <c r="AB711" t="s">
        <v>74</v>
      </c>
      <c r="AC711" t="s">
        <v>74</v>
      </c>
      <c r="AD711" t="s">
        <v>74</v>
      </c>
      <c r="AE711" t="s">
        <v>74</v>
      </c>
      <c r="AF711" t="s">
        <v>74</v>
      </c>
      <c r="AG711">
        <v>2</v>
      </c>
      <c r="AH711">
        <v>0</v>
      </c>
      <c r="AI711">
        <v>0</v>
      </c>
      <c r="AJ711">
        <v>0</v>
      </c>
      <c r="AK711">
        <v>0</v>
      </c>
      <c r="AL711" t="s">
        <v>196</v>
      </c>
      <c r="AM711" t="s">
        <v>197</v>
      </c>
      <c r="AN711" t="s">
        <v>198</v>
      </c>
      <c r="AO711" t="s">
        <v>199</v>
      </c>
      <c r="AP711" t="s">
        <v>200</v>
      </c>
      <c r="AQ711" t="s">
        <v>74</v>
      </c>
      <c r="AR711" t="s">
        <v>186</v>
      </c>
      <c r="AS711" t="s">
        <v>201</v>
      </c>
      <c r="AT711" t="s">
        <v>8990</v>
      </c>
      <c r="AU711">
        <v>2023</v>
      </c>
      <c r="AV711">
        <v>76</v>
      </c>
      <c r="AW711">
        <v>2</v>
      </c>
      <c r="AX711" t="s">
        <v>74</v>
      </c>
      <c r="AY711" t="s">
        <v>74</v>
      </c>
      <c r="AZ711" t="s">
        <v>74</v>
      </c>
      <c r="BA711" t="s">
        <v>74</v>
      </c>
      <c r="BB711">
        <v>236</v>
      </c>
      <c r="BC711">
        <v>237</v>
      </c>
      <c r="BD711" t="s">
        <v>74</v>
      </c>
      <c r="BE711" t="s">
        <v>74</v>
      </c>
      <c r="BF711" t="s">
        <v>74</v>
      </c>
      <c r="BG711" t="s">
        <v>74</v>
      </c>
      <c r="BH711" t="s">
        <v>74</v>
      </c>
      <c r="BI711">
        <v>2</v>
      </c>
      <c r="BJ711" t="s">
        <v>203</v>
      </c>
      <c r="BK711" t="s">
        <v>104</v>
      </c>
      <c r="BL711" t="s">
        <v>204</v>
      </c>
      <c r="BM711" t="s">
        <v>13715</v>
      </c>
      <c r="BN711" t="s">
        <v>74</v>
      </c>
      <c r="BO711" t="s">
        <v>74</v>
      </c>
      <c r="BP711" t="s">
        <v>74</v>
      </c>
      <c r="BQ711" t="s">
        <v>74</v>
      </c>
      <c r="BR711" t="s">
        <v>107</v>
      </c>
      <c r="BS711" t="s">
        <v>13716</v>
      </c>
      <c r="BT711" t="str">
        <f>HYPERLINK("https%3A%2F%2Fwww.webofscience.com%2Fwos%2Fwoscc%2Ffull-record%2FWOS:001065578500010","View Full Record in Web of Science")</f>
        <v>View Full Record in Web of Science</v>
      </c>
    </row>
    <row r="712" spans="1:72" x14ac:dyDescent="0.15">
      <c r="A712" t="s">
        <v>72</v>
      </c>
      <c r="B712" t="s">
        <v>13717</v>
      </c>
      <c r="C712" t="s">
        <v>74</v>
      </c>
      <c r="D712" t="s">
        <v>74</v>
      </c>
      <c r="E712" t="s">
        <v>74</v>
      </c>
      <c r="F712" t="s">
        <v>13718</v>
      </c>
      <c r="G712" t="s">
        <v>74</v>
      </c>
      <c r="H712" t="s">
        <v>74</v>
      </c>
      <c r="I712" t="s">
        <v>13719</v>
      </c>
      <c r="J712" t="s">
        <v>13720</v>
      </c>
      <c r="K712" t="s">
        <v>74</v>
      </c>
      <c r="L712" t="s">
        <v>74</v>
      </c>
      <c r="M712" t="s">
        <v>78</v>
      </c>
      <c r="N712" t="s">
        <v>79</v>
      </c>
      <c r="O712" t="s">
        <v>74</v>
      </c>
      <c r="P712" t="s">
        <v>74</v>
      </c>
      <c r="Q712" t="s">
        <v>74</v>
      </c>
      <c r="R712" t="s">
        <v>74</v>
      </c>
      <c r="S712" t="s">
        <v>74</v>
      </c>
      <c r="T712" t="s">
        <v>13721</v>
      </c>
      <c r="U712" t="s">
        <v>13722</v>
      </c>
      <c r="V712" t="s">
        <v>13723</v>
      </c>
      <c r="W712" t="s">
        <v>13724</v>
      </c>
      <c r="X712" t="s">
        <v>13725</v>
      </c>
      <c r="Y712" t="s">
        <v>13726</v>
      </c>
      <c r="Z712" t="s">
        <v>13727</v>
      </c>
      <c r="AA712" t="s">
        <v>74</v>
      </c>
      <c r="AB712" t="s">
        <v>74</v>
      </c>
      <c r="AC712" t="s">
        <v>13728</v>
      </c>
      <c r="AD712" t="s">
        <v>2603</v>
      </c>
      <c r="AE712" t="s">
        <v>13729</v>
      </c>
      <c r="AF712" t="s">
        <v>74</v>
      </c>
      <c r="AG712">
        <v>37</v>
      </c>
      <c r="AH712">
        <v>0</v>
      </c>
      <c r="AI712">
        <v>0</v>
      </c>
      <c r="AJ712">
        <v>3</v>
      </c>
      <c r="AK712">
        <v>3</v>
      </c>
      <c r="AL712" t="s">
        <v>4830</v>
      </c>
      <c r="AM712" t="s">
        <v>299</v>
      </c>
      <c r="AN712" t="s">
        <v>4831</v>
      </c>
      <c r="AO712" t="s">
        <v>13730</v>
      </c>
      <c r="AP712" t="s">
        <v>13731</v>
      </c>
      <c r="AQ712" t="s">
        <v>74</v>
      </c>
      <c r="AR712" t="s">
        <v>13732</v>
      </c>
      <c r="AS712" t="s">
        <v>13733</v>
      </c>
      <c r="AT712" t="s">
        <v>8990</v>
      </c>
      <c r="AU712">
        <v>2023</v>
      </c>
      <c r="AV712">
        <v>78</v>
      </c>
      <c r="AW712">
        <v>3</v>
      </c>
      <c r="AX712" t="s">
        <v>74</v>
      </c>
      <c r="AY712" t="s">
        <v>74</v>
      </c>
      <c r="AZ712" t="s">
        <v>74</v>
      </c>
      <c r="BA712" t="s">
        <v>74</v>
      </c>
      <c r="BB712">
        <v>416</v>
      </c>
      <c r="BC712">
        <v>423</v>
      </c>
      <c r="BD712" t="s">
        <v>74</v>
      </c>
      <c r="BE712" t="s">
        <v>13734</v>
      </c>
      <c r="BF712" t="str">
        <f>HYPERLINK("http://dx.doi.org/10.3103/S002713492303013X","http://dx.doi.org/10.3103/S002713492303013X")</f>
        <v>http://dx.doi.org/10.3103/S002713492303013X</v>
      </c>
      <c r="BG712" t="s">
        <v>74</v>
      </c>
      <c r="BH712" t="s">
        <v>74</v>
      </c>
      <c r="BI712">
        <v>8</v>
      </c>
      <c r="BJ712" t="s">
        <v>7778</v>
      </c>
      <c r="BK712" t="s">
        <v>104</v>
      </c>
      <c r="BL712" t="s">
        <v>7779</v>
      </c>
      <c r="BM712" t="s">
        <v>13735</v>
      </c>
      <c r="BN712" t="s">
        <v>74</v>
      </c>
      <c r="BO712" t="s">
        <v>74</v>
      </c>
      <c r="BP712" t="s">
        <v>74</v>
      </c>
      <c r="BQ712" t="s">
        <v>74</v>
      </c>
      <c r="BR712" t="s">
        <v>107</v>
      </c>
      <c r="BS712" t="s">
        <v>13736</v>
      </c>
      <c r="BT712" t="str">
        <f>HYPERLINK("https%3A%2F%2Fwww.webofscience.com%2Fwos%2Fwoscc%2Ffull-record%2FWOS:001061326900020","View Full Record in Web of Science")</f>
        <v>View Full Record in Web of Science</v>
      </c>
    </row>
    <row r="713" spans="1:72" x14ac:dyDescent="0.15">
      <c r="A713" t="s">
        <v>72</v>
      </c>
      <c r="B713" t="s">
        <v>13737</v>
      </c>
      <c r="C713" t="s">
        <v>74</v>
      </c>
      <c r="D713" t="s">
        <v>74</v>
      </c>
      <c r="E713" t="s">
        <v>74</v>
      </c>
      <c r="F713" t="s">
        <v>13738</v>
      </c>
      <c r="G713" t="s">
        <v>74</v>
      </c>
      <c r="H713" t="s">
        <v>74</v>
      </c>
      <c r="I713" t="s">
        <v>13739</v>
      </c>
      <c r="J713" t="s">
        <v>641</v>
      </c>
      <c r="K713" t="s">
        <v>74</v>
      </c>
      <c r="L713" t="s">
        <v>74</v>
      </c>
      <c r="M713" t="s">
        <v>78</v>
      </c>
      <c r="N713" t="s">
        <v>79</v>
      </c>
      <c r="O713" t="s">
        <v>74</v>
      </c>
      <c r="P713" t="s">
        <v>74</v>
      </c>
      <c r="Q713" t="s">
        <v>74</v>
      </c>
      <c r="R713" t="s">
        <v>74</v>
      </c>
      <c r="S713" t="s">
        <v>74</v>
      </c>
      <c r="T713" t="s">
        <v>13740</v>
      </c>
      <c r="U713" t="s">
        <v>13741</v>
      </c>
      <c r="V713" t="s">
        <v>13742</v>
      </c>
      <c r="W713" t="s">
        <v>13743</v>
      </c>
      <c r="X713" t="s">
        <v>13744</v>
      </c>
      <c r="Y713" t="s">
        <v>13745</v>
      </c>
      <c r="Z713" t="s">
        <v>13746</v>
      </c>
      <c r="AA713" t="s">
        <v>13747</v>
      </c>
      <c r="AB713" t="s">
        <v>13748</v>
      </c>
      <c r="AC713" t="s">
        <v>13749</v>
      </c>
      <c r="AD713" t="s">
        <v>13750</v>
      </c>
      <c r="AE713" t="s">
        <v>13751</v>
      </c>
      <c r="AF713" t="s">
        <v>74</v>
      </c>
      <c r="AG713">
        <v>92</v>
      </c>
      <c r="AH713">
        <v>2</v>
      </c>
      <c r="AI713">
        <v>2</v>
      </c>
      <c r="AJ713">
        <v>15</v>
      </c>
      <c r="AK713">
        <v>22</v>
      </c>
      <c r="AL713" t="s">
        <v>460</v>
      </c>
      <c r="AM713" t="s">
        <v>461</v>
      </c>
      <c r="AN713" t="s">
        <v>462</v>
      </c>
      <c r="AO713" t="s">
        <v>652</v>
      </c>
      <c r="AP713" t="s">
        <v>74</v>
      </c>
      <c r="AQ713" t="s">
        <v>74</v>
      </c>
      <c r="AR713" t="s">
        <v>653</v>
      </c>
      <c r="AS713" t="s">
        <v>654</v>
      </c>
      <c r="AT713" t="s">
        <v>8990</v>
      </c>
      <c r="AU713">
        <v>2023</v>
      </c>
      <c r="AV713">
        <v>13</v>
      </c>
      <c r="AW713">
        <v>6</v>
      </c>
      <c r="AX713" t="s">
        <v>74</v>
      </c>
      <c r="AY713" t="s">
        <v>74</v>
      </c>
      <c r="AZ713" t="s">
        <v>74</v>
      </c>
      <c r="BA713" t="s">
        <v>74</v>
      </c>
      <c r="BB713" t="s">
        <v>74</v>
      </c>
      <c r="BC713" t="s">
        <v>74</v>
      </c>
      <c r="BD713" t="s">
        <v>13752</v>
      </c>
      <c r="BE713" t="s">
        <v>13753</v>
      </c>
      <c r="BF713" t="str">
        <f>HYPERLINK("http://dx.doi.org/10.1002/ece3.10144","http://dx.doi.org/10.1002/ece3.10144")</f>
        <v>http://dx.doi.org/10.1002/ece3.10144</v>
      </c>
      <c r="BG713" t="s">
        <v>74</v>
      </c>
      <c r="BH713" t="s">
        <v>74</v>
      </c>
      <c r="BI713">
        <v>22</v>
      </c>
      <c r="BJ713" t="s">
        <v>657</v>
      </c>
      <c r="BK713" t="s">
        <v>104</v>
      </c>
      <c r="BL713" t="s">
        <v>658</v>
      </c>
      <c r="BM713" t="s">
        <v>13754</v>
      </c>
      <c r="BN713">
        <v>37284666</v>
      </c>
      <c r="BO713" t="s">
        <v>181</v>
      </c>
      <c r="BP713" t="s">
        <v>74</v>
      </c>
      <c r="BQ713" t="s">
        <v>74</v>
      </c>
      <c r="BR713" t="s">
        <v>107</v>
      </c>
      <c r="BS713" t="s">
        <v>13755</v>
      </c>
      <c r="BT713" t="str">
        <f>HYPERLINK("https%3A%2F%2Fwww.webofscience.com%2Fwos%2Fwoscc%2Ffull-record%2FWOS:001000700200001","View Full Record in Web of Science")</f>
        <v>View Full Record in Web of Science</v>
      </c>
    </row>
    <row r="714" spans="1:72" x14ac:dyDescent="0.15">
      <c r="A714" t="s">
        <v>72</v>
      </c>
      <c r="B714" t="s">
        <v>13756</v>
      </c>
      <c r="C714" t="s">
        <v>74</v>
      </c>
      <c r="D714" t="s">
        <v>74</v>
      </c>
      <c r="E714" t="s">
        <v>74</v>
      </c>
      <c r="F714" t="s">
        <v>13757</v>
      </c>
      <c r="G714" t="s">
        <v>74</v>
      </c>
      <c r="H714" t="s">
        <v>74</v>
      </c>
      <c r="I714" t="s">
        <v>13758</v>
      </c>
      <c r="J714" t="s">
        <v>641</v>
      </c>
      <c r="K714" t="s">
        <v>74</v>
      </c>
      <c r="L714" t="s">
        <v>74</v>
      </c>
      <c r="M714" t="s">
        <v>78</v>
      </c>
      <c r="N714" t="s">
        <v>79</v>
      </c>
      <c r="O714" t="s">
        <v>74</v>
      </c>
      <c r="P714" t="s">
        <v>74</v>
      </c>
      <c r="Q714" t="s">
        <v>74</v>
      </c>
      <c r="R714" t="s">
        <v>74</v>
      </c>
      <c r="S714" t="s">
        <v>74</v>
      </c>
      <c r="T714" t="s">
        <v>13759</v>
      </c>
      <c r="U714" t="s">
        <v>13760</v>
      </c>
      <c r="V714" t="s">
        <v>13761</v>
      </c>
      <c r="W714" t="s">
        <v>13762</v>
      </c>
      <c r="X714" t="s">
        <v>13763</v>
      </c>
      <c r="Y714" t="s">
        <v>13764</v>
      </c>
      <c r="Z714" t="s">
        <v>13765</v>
      </c>
      <c r="AA714" t="s">
        <v>13766</v>
      </c>
      <c r="AB714" t="s">
        <v>13767</v>
      </c>
      <c r="AC714" t="s">
        <v>13768</v>
      </c>
      <c r="AD714" t="s">
        <v>13769</v>
      </c>
      <c r="AE714" t="s">
        <v>13770</v>
      </c>
      <c r="AF714" t="s">
        <v>74</v>
      </c>
      <c r="AG714">
        <v>73</v>
      </c>
      <c r="AH714">
        <v>1</v>
      </c>
      <c r="AI714">
        <v>1</v>
      </c>
      <c r="AJ714">
        <v>46</v>
      </c>
      <c r="AK714">
        <v>53</v>
      </c>
      <c r="AL714" t="s">
        <v>460</v>
      </c>
      <c r="AM714" t="s">
        <v>461</v>
      </c>
      <c r="AN714" t="s">
        <v>462</v>
      </c>
      <c r="AO714" t="s">
        <v>652</v>
      </c>
      <c r="AP714" t="s">
        <v>74</v>
      </c>
      <c r="AQ714" t="s">
        <v>74</v>
      </c>
      <c r="AR714" t="s">
        <v>653</v>
      </c>
      <c r="AS714" t="s">
        <v>654</v>
      </c>
      <c r="AT714" t="s">
        <v>8990</v>
      </c>
      <c r="AU714">
        <v>2023</v>
      </c>
      <c r="AV714">
        <v>13</v>
      </c>
      <c r="AW714">
        <v>6</v>
      </c>
      <c r="AX714" t="s">
        <v>74</v>
      </c>
      <c r="AY714" t="s">
        <v>74</v>
      </c>
      <c r="AZ714" t="s">
        <v>74</v>
      </c>
      <c r="BA714" t="s">
        <v>74</v>
      </c>
      <c r="BB714" t="s">
        <v>74</v>
      </c>
      <c r="BC714" t="s">
        <v>74</v>
      </c>
      <c r="BD714" t="s">
        <v>13771</v>
      </c>
      <c r="BE714" t="s">
        <v>13772</v>
      </c>
      <c r="BF714" t="str">
        <f>HYPERLINK("http://dx.doi.org/10.1002/ece3.10143","http://dx.doi.org/10.1002/ece3.10143")</f>
        <v>http://dx.doi.org/10.1002/ece3.10143</v>
      </c>
      <c r="BG714" t="s">
        <v>74</v>
      </c>
      <c r="BH714" t="s">
        <v>74</v>
      </c>
      <c r="BI714">
        <v>13</v>
      </c>
      <c r="BJ714" t="s">
        <v>657</v>
      </c>
      <c r="BK714" t="s">
        <v>104</v>
      </c>
      <c r="BL714" t="s">
        <v>658</v>
      </c>
      <c r="BM714" t="s">
        <v>13773</v>
      </c>
      <c r="BN714">
        <v>37351480</v>
      </c>
      <c r="BO714" t="s">
        <v>181</v>
      </c>
      <c r="BP714" t="s">
        <v>74</v>
      </c>
      <c r="BQ714" t="s">
        <v>74</v>
      </c>
      <c r="BR714" t="s">
        <v>107</v>
      </c>
      <c r="BS714" t="s">
        <v>13774</v>
      </c>
      <c r="BT714" t="str">
        <f>HYPERLINK("https%3A%2F%2Fwww.webofscience.com%2Fwos%2Fwoscc%2Ffull-record%2FWOS:001015516400001","View Full Record in Web of Science")</f>
        <v>View Full Record in Web of Science</v>
      </c>
    </row>
    <row r="715" spans="1:72" x14ac:dyDescent="0.15">
      <c r="A715" t="s">
        <v>72</v>
      </c>
      <c r="B715" t="s">
        <v>13775</v>
      </c>
      <c r="C715" t="s">
        <v>74</v>
      </c>
      <c r="D715" t="s">
        <v>74</v>
      </c>
      <c r="E715" t="s">
        <v>74</v>
      </c>
      <c r="F715" t="s">
        <v>13776</v>
      </c>
      <c r="G715" t="s">
        <v>74</v>
      </c>
      <c r="H715" t="s">
        <v>74</v>
      </c>
      <c r="I715" t="s">
        <v>13777</v>
      </c>
      <c r="J715" t="s">
        <v>13778</v>
      </c>
      <c r="K715" t="s">
        <v>74</v>
      </c>
      <c r="L715" t="s">
        <v>74</v>
      </c>
      <c r="M715" t="s">
        <v>78</v>
      </c>
      <c r="N715" t="s">
        <v>79</v>
      </c>
      <c r="O715" t="s">
        <v>74</v>
      </c>
      <c r="P715" t="s">
        <v>74</v>
      </c>
      <c r="Q715" t="s">
        <v>74</v>
      </c>
      <c r="R715" t="s">
        <v>74</v>
      </c>
      <c r="S715" t="s">
        <v>74</v>
      </c>
      <c r="T715" t="s">
        <v>74</v>
      </c>
      <c r="U715" t="s">
        <v>13779</v>
      </c>
      <c r="V715" t="s">
        <v>13780</v>
      </c>
      <c r="W715" t="s">
        <v>13781</v>
      </c>
      <c r="X715" t="s">
        <v>74</v>
      </c>
      <c r="Y715" t="s">
        <v>13782</v>
      </c>
      <c r="Z715" t="s">
        <v>13783</v>
      </c>
      <c r="AA715" t="s">
        <v>74</v>
      </c>
      <c r="AB715" t="s">
        <v>74</v>
      </c>
      <c r="AC715" t="s">
        <v>74</v>
      </c>
      <c r="AD715" t="s">
        <v>74</v>
      </c>
      <c r="AE715" t="s">
        <v>74</v>
      </c>
      <c r="AF715" t="s">
        <v>74</v>
      </c>
      <c r="AG715">
        <v>95</v>
      </c>
      <c r="AH715">
        <v>1</v>
      </c>
      <c r="AI715">
        <v>1</v>
      </c>
      <c r="AJ715">
        <v>1</v>
      </c>
      <c r="AK715">
        <v>1</v>
      </c>
      <c r="AL715" t="s">
        <v>13784</v>
      </c>
      <c r="AM715" t="s">
        <v>13785</v>
      </c>
      <c r="AN715" t="s">
        <v>13786</v>
      </c>
      <c r="AO715" t="s">
        <v>13787</v>
      </c>
      <c r="AP715" t="s">
        <v>13788</v>
      </c>
      <c r="AQ715" t="s">
        <v>74</v>
      </c>
      <c r="AR715" t="s">
        <v>13789</v>
      </c>
      <c r="AS715" t="s">
        <v>13790</v>
      </c>
      <c r="AT715" t="s">
        <v>8990</v>
      </c>
      <c r="AU715">
        <v>2023</v>
      </c>
      <c r="AV715">
        <v>37</v>
      </c>
      <c r="AW715">
        <v>1</v>
      </c>
      <c r="AX715" t="s">
        <v>74</v>
      </c>
      <c r="AY715" t="s">
        <v>74</v>
      </c>
      <c r="AZ715" t="s">
        <v>74</v>
      </c>
      <c r="BA715" t="s">
        <v>74</v>
      </c>
      <c r="BB715">
        <v>249</v>
      </c>
      <c r="BC715">
        <v>275</v>
      </c>
      <c r="BD715" t="s">
        <v>74</v>
      </c>
      <c r="BE715" t="s">
        <v>13791</v>
      </c>
      <c r="BF715" t="str">
        <f>HYPERLINK("http://dx.doi.org/10.1163/22116001-03701013","http://dx.doi.org/10.1163/22116001-03701013")</f>
        <v>http://dx.doi.org/10.1163/22116001-03701013</v>
      </c>
      <c r="BG715" t="s">
        <v>74</v>
      </c>
      <c r="BH715" t="s">
        <v>74</v>
      </c>
      <c r="BI715">
        <v>27</v>
      </c>
      <c r="BJ715" t="s">
        <v>13792</v>
      </c>
      <c r="BK715" t="s">
        <v>518</v>
      </c>
      <c r="BL715" t="s">
        <v>1535</v>
      </c>
      <c r="BM715" t="s">
        <v>13793</v>
      </c>
      <c r="BN715" t="s">
        <v>74</v>
      </c>
      <c r="BO715" t="s">
        <v>549</v>
      </c>
      <c r="BP715" t="s">
        <v>74</v>
      </c>
      <c r="BQ715" t="s">
        <v>74</v>
      </c>
      <c r="BR715" t="s">
        <v>107</v>
      </c>
      <c r="BS715" t="s">
        <v>13794</v>
      </c>
      <c r="BT715" t="str">
        <f>HYPERLINK("https%3A%2F%2Fwww.webofscience.com%2Fwos%2Fwoscc%2Ffull-record%2FWOS:001050604700013","View Full Record in Web of Science")</f>
        <v>View Full Record in Web of Science</v>
      </c>
    </row>
    <row r="716" spans="1:72" x14ac:dyDescent="0.15">
      <c r="A716" t="s">
        <v>72</v>
      </c>
      <c r="B716" t="s">
        <v>13795</v>
      </c>
      <c r="C716" t="s">
        <v>74</v>
      </c>
      <c r="D716" t="s">
        <v>74</v>
      </c>
      <c r="E716" t="s">
        <v>74</v>
      </c>
      <c r="F716" t="s">
        <v>13796</v>
      </c>
      <c r="G716" t="s">
        <v>74</v>
      </c>
      <c r="H716" t="s">
        <v>74</v>
      </c>
      <c r="I716" t="s">
        <v>13797</v>
      </c>
      <c r="J716" t="s">
        <v>13798</v>
      </c>
      <c r="K716" t="s">
        <v>74</v>
      </c>
      <c r="L716" t="s">
        <v>74</v>
      </c>
      <c r="M716" t="s">
        <v>78</v>
      </c>
      <c r="N716" t="s">
        <v>79</v>
      </c>
      <c r="O716" t="s">
        <v>74</v>
      </c>
      <c r="P716" t="s">
        <v>74</v>
      </c>
      <c r="Q716" t="s">
        <v>74</v>
      </c>
      <c r="R716" t="s">
        <v>74</v>
      </c>
      <c r="S716" t="s">
        <v>74</v>
      </c>
      <c r="T716" t="s">
        <v>13799</v>
      </c>
      <c r="U716" t="s">
        <v>13800</v>
      </c>
      <c r="V716" t="s">
        <v>13801</v>
      </c>
      <c r="W716" t="s">
        <v>13802</v>
      </c>
      <c r="X716" t="s">
        <v>13803</v>
      </c>
      <c r="Y716" t="s">
        <v>13804</v>
      </c>
      <c r="Z716" t="s">
        <v>504</v>
      </c>
      <c r="AA716" t="s">
        <v>505</v>
      </c>
      <c r="AB716" t="s">
        <v>13805</v>
      </c>
      <c r="AC716" t="s">
        <v>13806</v>
      </c>
      <c r="AD716" t="s">
        <v>13807</v>
      </c>
      <c r="AE716" t="s">
        <v>13808</v>
      </c>
      <c r="AF716" t="s">
        <v>74</v>
      </c>
      <c r="AG716">
        <v>61</v>
      </c>
      <c r="AH716">
        <v>0</v>
      </c>
      <c r="AI716">
        <v>0</v>
      </c>
      <c r="AJ716">
        <v>6</v>
      </c>
      <c r="AK716">
        <v>7</v>
      </c>
      <c r="AL716" t="s">
        <v>510</v>
      </c>
      <c r="AM716" t="s">
        <v>511</v>
      </c>
      <c r="AN716" t="s">
        <v>512</v>
      </c>
      <c r="AO716" t="s">
        <v>13809</v>
      </c>
      <c r="AP716" t="s">
        <v>74</v>
      </c>
      <c r="AQ716" t="s">
        <v>74</v>
      </c>
      <c r="AR716" t="s">
        <v>13810</v>
      </c>
      <c r="AS716" t="s">
        <v>13811</v>
      </c>
      <c r="AT716" t="s">
        <v>8990</v>
      </c>
      <c r="AU716">
        <v>2023</v>
      </c>
      <c r="AV716">
        <v>14</v>
      </c>
      <c r="AW716">
        <v>3</v>
      </c>
      <c r="AX716" t="s">
        <v>74</v>
      </c>
      <c r="AY716" t="s">
        <v>74</v>
      </c>
      <c r="AZ716" t="s">
        <v>74</v>
      </c>
      <c r="BA716" t="s">
        <v>74</v>
      </c>
      <c r="BB716">
        <v>363</v>
      </c>
      <c r="BC716">
        <v>371</v>
      </c>
      <c r="BD716" t="s">
        <v>74</v>
      </c>
      <c r="BE716" t="s">
        <v>13812</v>
      </c>
      <c r="BF716" t="str">
        <f>HYPERLINK("http://dx.doi.org/10.1016/j.accre.2023.06.001","http://dx.doi.org/10.1016/j.accre.2023.06.001")</f>
        <v>http://dx.doi.org/10.1016/j.accre.2023.06.001</v>
      </c>
      <c r="BG716" t="s">
        <v>74</v>
      </c>
      <c r="BH716" t="s">
        <v>74</v>
      </c>
      <c r="BI716">
        <v>9</v>
      </c>
      <c r="BJ716" t="s">
        <v>3303</v>
      </c>
      <c r="BK716" t="s">
        <v>104</v>
      </c>
      <c r="BL716" t="s">
        <v>2372</v>
      </c>
      <c r="BM716" t="s">
        <v>13813</v>
      </c>
      <c r="BN716" t="s">
        <v>74</v>
      </c>
      <c r="BO716" t="s">
        <v>206</v>
      </c>
      <c r="BP716" t="s">
        <v>74</v>
      </c>
      <c r="BQ716" t="s">
        <v>74</v>
      </c>
      <c r="BR716" t="s">
        <v>107</v>
      </c>
      <c r="BS716" t="s">
        <v>13814</v>
      </c>
      <c r="BT716" t="str">
        <f>HYPERLINK("https%3A%2F%2Fwww.webofscience.com%2Fwos%2Fwoscc%2Ffull-record%2FWOS:001052628700001","View Full Record in Web of Science")</f>
        <v>View Full Record in Web of Science</v>
      </c>
    </row>
    <row r="717" spans="1:72" x14ac:dyDescent="0.15">
      <c r="A717" t="s">
        <v>72</v>
      </c>
      <c r="B717" t="s">
        <v>13815</v>
      </c>
      <c r="C717" t="s">
        <v>74</v>
      </c>
      <c r="D717" t="s">
        <v>74</v>
      </c>
      <c r="E717" t="s">
        <v>74</v>
      </c>
      <c r="F717" t="s">
        <v>13816</v>
      </c>
      <c r="G717" t="s">
        <v>74</v>
      </c>
      <c r="H717" t="s">
        <v>74</v>
      </c>
      <c r="I717" t="s">
        <v>13817</v>
      </c>
      <c r="J717" t="s">
        <v>4863</v>
      </c>
      <c r="K717" t="s">
        <v>74</v>
      </c>
      <c r="L717" t="s">
        <v>74</v>
      </c>
      <c r="M717" t="s">
        <v>78</v>
      </c>
      <c r="N717" t="s">
        <v>79</v>
      </c>
      <c r="O717" t="s">
        <v>74</v>
      </c>
      <c r="P717" t="s">
        <v>74</v>
      </c>
      <c r="Q717" t="s">
        <v>74</v>
      </c>
      <c r="R717" t="s">
        <v>74</v>
      </c>
      <c r="S717" t="s">
        <v>74</v>
      </c>
      <c r="T717" t="s">
        <v>13818</v>
      </c>
      <c r="U717" t="s">
        <v>13819</v>
      </c>
      <c r="V717" t="s">
        <v>13820</v>
      </c>
      <c r="W717" t="s">
        <v>13821</v>
      </c>
      <c r="X717" t="s">
        <v>13822</v>
      </c>
      <c r="Y717" t="s">
        <v>13823</v>
      </c>
      <c r="Z717" t="s">
        <v>13824</v>
      </c>
      <c r="AA717" t="s">
        <v>74</v>
      </c>
      <c r="AB717" t="s">
        <v>74</v>
      </c>
      <c r="AC717" t="s">
        <v>74</v>
      </c>
      <c r="AD717" t="s">
        <v>74</v>
      </c>
      <c r="AE717" t="s">
        <v>74</v>
      </c>
      <c r="AF717" t="s">
        <v>74</v>
      </c>
      <c r="AG717">
        <v>40</v>
      </c>
      <c r="AH717">
        <v>0</v>
      </c>
      <c r="AI717">
        <v>0</v>
      </c>
      <c r="AJ717">
        <v>0</v>
      </c>
      <c r="AK717">
        <v>0</v>
      </c>
      <c r="AL717" t="s">
        <v>4830</v>
      </c>
      <c r="AM717" t="s">
        <v>299</v>
      </c>
      <c r="AN717" t="s">
        <v>4831</v>
      </c>
      <c r="AO717" t="s">
        <v>4872</v>
      </c>
      <c r="AP717" t="s">
        <v>4873</v>
      </c>
      <c r="AQ717" t="s">
        <v>74</v>
      </c>
      <c r="AR717" t="s">
        <v>4874</v>
      </c>
      <c r="AS717" t="s">
        <v>4875</v>
      </c>
      <c r="AT717" t="s">
        <v>8990</v>
      </c>
      <c r="AU717">
        <v>2023</v>
      </c>
      <c r="AV717">
        <v>57</v>
      </c>
      <c r="AW717">
        <v>3</v>
      </c>
      <c r="AX717" t="s">
        <v>74</v>
      </c>
      <c r="AY717" t="s">
        <v>74</v>
      </c>
      <c r="AZ717" t="s">
        <v>74</v>
      </c>
      <c r="BA717" t="s">
        <v>74</v>
      </c>
      <c r="BB717">
        <v>251</v>
      </c>
      <c r="BC717">
        <v>262</v>
      </c>
      <c r="BD717" t="s">
        <v>74</v>
      </c>
      <c r="BE717" t="s">
        <v>13825</v>
      </c>
      <c r="BF717" t="str">
        <f>HYPERLINK("http://dx.doi.org/10.1134/S0016852123030020","http://dx.doi.org/10.1134/S0016852123030020")</f>
        <v>http://dx.doi.org/10.1134/S0016852123030020</v>
      </c>
      <c r="BG717" t="s">
        <v>74</v>
      </c>
      <c r="BH717" t="s">
        <v>74</v>
      </c>
      <c r="BI717">
        <v>12</v>
      </c>
      <c r="BJ717" t="s">
        <v>597</v>
      </c>
      <c r="BK717" t="s">
        <v>104</v>
      </c>
      <c r="BL717" t="s">
        <v>597</v>
      </c>
      <c r="BM717" t="s">
        <v>12340</v>
      </c>
      <c r="BN717" t="s">
        <v>74</v>
      </c>
      <c r="BO717" t="s">
        <v>74</v>
      </c>
      <c r="BP717" t="s">
        <v>74</v>
      </c>
      <c r="BQ717" t="s">
        <v>74</v>
      </c>
      <c r="BR717" t="s">
        <v>107</v>
      </c>
      <c r="BS717" t="s">
        <v>13826</v>
      </c>
      <c r="BT717" t="str">
        <f>HYPERLINK("https%3A%2F%2Fwww.webofscience.com%2Fwos%2Fwoscc%2Ffull-record%2FWOS:001050486000001","View Full Record in Web of Science")</f>
        <v>View Full Record in Web of Science</v>
      </c>
    </row>
    <row r="718" spans="1:72" x14ac:dyDescent="0.15">
      <c r="A718" t="s">
        <v>72</v>
      </c>
      <c r="B718" t="s">
        <v>13827</v>
      </c>
      <c r="C718" t="s">
        <v>74</v>
      </c>
      <c r="D718" t="s">
        <v>74</v>
      </c>
      <c r="E718" t="s">
        <v>74</v>
      </c>
      <c r="F718" t="s">
        <v>13828</v>
      </c>
      <c r="G718" t="s">
        <v>74</v>
      </c>
      <c r="H718" t="s">
        <v>74</v>
      </c>
      <c r="I718" t="s">
        <v>13829</v>
      </c>
      <c r="J718" t="s">
        <v>13830</v>
      </c>
      <c r="K718" t="s">
        <v>74</v>
      </c>
      <c r="L718" t="s">
        <v>74</v>
      </c>
      <c r="M718" t="s">
        <v>78</v>
      </c>
      <c r="N718" t="s">
        <v>79</v>
      </c>
      <c r="O718" t="s">
        <v>74</v>
      </c>
      <c r="P718" t="s">
        <v>74</v>
      </c>
      <c r="Q718" t="s">
        <v>74</v>
      </c>
      <c r="R718" t="s">
        <v>74</v>
      </c>
      <c r="S718" t="s">
        <v>74</v>
      </c>
      <c r="T718" t="s">
        <v>13831</v>
      </c>
      <c r="U718" t="s">
        <v>13832</v>
      </c>
      <c r="V718" t="s">
        <v>13833</v>
      </c>
      <c r="W718" t="s">
        <v>13834</v>
      </c>
      <c r="X718" t="s">
        <v>13835</v>
      </c>
      <c r="Y718" t="s">
        <v>13836</v>
      </c>
      <c r="Z718" t="s">
        <v>13837</v>
      </c>
      <c r="AA718" t="s">
        <v>74</v>
      </c>
      <c r="AB718" t="s">
        <v>13838</v>
      </c>
      <c r="AC718" t="s">
        <v>13839</v>
      </c>
      <c r="AD718" t="s">
        <v>13839</v>
      </c>
      <c r="AE718" t="s">
        <v>13840</v>
      </c>
      <c r="AF718" t="s">
        <v>74</v>
      </c>
      <c r="AG718">
        <v>81</v>
      </c>
      <c r="AH718">
        <v>0</v>
      </c>
      <c r="AI718">
        <v>0</v>
      </c>
      <c r="AJ718">
        <v>7</v>
      </c>
      <c r="AK718">
        <v>9</v>
      </c>
      <c r="AL718" t="s">
        <v>13784</v>
      </c>
      <c r="AM718" t="s">
        <v>13785</v>
      </c>
      <c r="AN718" t="s">
        <v>13786</v>
      </c>
      <c r="AO718" t="s">
        <v>13841</v>
      </c>
      <c r="AP718" t="s">
        <v>13842</v>
      </c>
      <c r="AQ718" t="s">
        <v>74</v>
      </c>
      <c r="AR718" t="s">
        <v>13843</v>
      </c>
      <c r="AS718" t="s">
        <v>13844</v>
      </c>
      <c r="AT718" t="s">
        <v>8990</v>
      </c>
      <c r="AU718">
        <v>2023</v>
      </c>
      <c r="AV718">
        <v>7</v>
      </c>
      <c r="AW718">
        <v>1</v>
      </c>
      <c r="AX718" t="s">
        <v>74</v>
      </c>
      <c r="AY718" t="s">
        <v>74</v>
      </c>
      <c r="AZ718" t="s">
        <v>99</v>
      </c>
      <c r="BA718" t="s">
        <v>74</v>
      </c>
      <c r="BB718">
        <v>75</v>
      </c>
      <c r="BC718">
        <v>99</v>
      </c>
      <c r="BD718" t="s">
        <v>74</v>
      </c>
      <c r="BE718" t="s">
        <v>13845</v>
      </c>
      <c r="BF718" t="str">
        <f>HYPERLINK("http://dx.doi.org/10.1163/24686042-12340098","http://dx.doi.org/10.1163/24686042-12340098")</f>
        <v>http://dx.doi.org/10.1163/24686042-12340098</v>
      </c>
      <c r="BG718" t="s">
        <v>74</v>
      </c>
      <c r="BH718" t="s">
        <v>74</v>
      </c>
      <c r="BI718">
        <v>25</v>
      </c>
      <c r="BJ718" t="s">
        <v>13846</v>
      </c>
      <c r="BK718" t="s">
        <v>518</v>
      </c>
      <c r="BL718" t="s">
        <v>13847</v>
      </c>
      <c r="BM718" t="s">
        <v>13848</v>
      </c>
      <c r="BN718" t="s">
        <v>74</v>
      </c>
      <c r="BO718" t="s">
        <v>133</v>
      </c>
      <c r="BP718" t="s">
        <v>74</v>
      </c>
      <c r="BQ718" t="s">
        <v>74</v>
      </c>
      <c r="BR718" t="s">
        <v>107</v>
      </c>
      <c r="BS718" t="s">
        <v>13849</v>
      </c>
      <c r="BT718" t="str">
        <f>HYPERLINK("https%3A%2F%2Fwww.webofscience.com%2Fwos%2Fwoscc%2Ffull-record%2FWOS:001031664900006","View Full Record in Web of Science")</f>
        <v>View Full Record in Web of Science</v>
      </c>
    </row>
    <row r="719" spans="1:72" x14ac:dyDescent="0.15">
      <c r="A719" t="s">
        <v>72</v>
      </c>
      <c r="B719" t="s">
        <v>13850</v>
      </c>
      <c r="C719" t="s">
        <v>74</v>
      </c>
      <c r="D719" t="s">
        <v>74</v>
      </c>
      <c r="E719" t="s">
        <v>74</v>
      </c>
      <c r="F719" t="s">
        <v>13851</v>
      </c>
      <c r="G719" t="s">
        <v>74</v>
      </c>
      <c r="H719" t="s">
        <v>74</v>
      </c>
      <c r="I719" t="s">
        <v>13852</v>
      </c>
      <c r="J719" t="s">
        <v>664</v>
      </c>
      <c r="K719" t="s">
        <v>74</v>
      </c>
      <c r="L719" t="s">
        <v>74</v>
      </c>
      <c r="M719" t="s">
        <v>665</v>
      </c>
      <c r="N719" t="s">
        <v>79</v>
      </c>
      <c r="O719" t="s">
        <v>74</v>
      </c>
      <c r="P719" t="s">
        <v>74</v>
      </c>
      <c r="Q719" t="s">
        <v>74</v>
      </c>
      <c r="R719" t="s">
        <v>74</v>
      </c>
      <c r="S719" t="s">
        <v>74</v>
      </c>
      <c r="T719" t="s">
        <v>13853</v>
      </c>
      <c r="U719" t="s">
        <v>13854</v>
      </c>
      <c r="V719" t="s">
        <v>13855</v>
      </c>
      <c r="W719" t="s">
        <v>13856</v>
      </c>
      <c r="X719" t="s">
        <v>10009</v>
      </c>
      <c r="Y719" t="s">
        <v>13857</v>
      </c>
      <c r="Z719" t="s">
        <v>13858</v>
      </c>
      <c r="AA719" t="s">
        <v>13859</v>
      </c>
      <c r="AB719" t="s">
        <v>74</v>
      </c>
      <c r="AC719" t="s">
        <v>74</v>
      </c>
      <c r="AD719" t="s">
        <v>74</v>
      </c>
      <c r="AE719" t="s">
        <v>74</v>
      </c>
      <c r="AF719" t="s">
        <v>74</v>
      </c>
      <c r="AG719">
        <v>54</v>
      </c>
      <c r="AH719">
        <v>0</v>
      </c>
      <c r="AI719">
        <v>0</v>
      </c>
      <c r="AJ719">
        <v>3</v>
      </c>
      <c r="AK719">
        <v>5</v>
      </c>
      <c r="AL719" t="s">
        <v>674</v>
      </c>
      <c r="AM719" t="s">
        <v>675</v>
      </c>
      <c r="AN719" t="s">
        <v>676</v>
      </c>
      <c r="AO719" t="s">
        <v>677</v>
      </c>
      <c r="AP719" t="s">
        <v>74</v>
      </c>
      <c r="AQ719" t="s">
        <v>74</v>
      </c>
      <c r="AR719" t="s">
        <v>678</v>
      </c>
      <c r="AS719" t="s">
        <v>679</v>
      </c>
      <c r="AT719" t="s">
        <v>8990</v>
      </c>
      <c r="AU719">
        <v>2023</v>
      </c>
      <c r="AV719">
        <v>43</v>
      </c>
      <c r="AW719">
        <v>12</v>
      </c>
      <c r="AX719" t="s">
        <v>74</v>
      </c>
      <c r="AY719" t="s">
        <v>74</v>
      </c>
      <c r="AZ719" t="s">
        <v>74</v>
      </c>
      <c r="BA719" t="s">
        <v>74</v>
      </c>
      <c r="BB719" t="s">
        <v>74</v>
      </c>
      <c r="BC719" t="s">
        <v>74</v>
      </c>
      <c r="BD719">
        <v>1228008</v>
      </c>
      <c r="BE719" t="s">
        <v>13860</v>
      </c>
      <c r="BF719" t="str">
        <f>HYPERLINK("http://dx.doi.org/10.3788/AOS221717","http://dx.doi.org/10.3788/AOS221717")</f>
        <v>http://dx.doi.org/10.3788/AOS221717</v>
      </c>
      <c r="BG719" t="s">
        <v>74</v>
      </c>
      <c r="BH719" t="s">
        <v>74</v>
      </c>
      <c r="BI719">
        <v>13</v>
      </c>
      <c r="BJ719" t="s">
        <v>681</v>
      </c>
      <c r="BK719" t="s">
        <v>518</v>
      </c>
      <c r="BL719" t="s">
        <v>681</v>
      </c>
      <c r="BM719" t="s">
        <v>13861</v>
      </c>
      <c r="BN719" t="s">
        <v>74</v>
      </c>
      <c r="BO719" t="s">
        <v>74</v>
      </c>
      <c r="BP719" t="s">
        <v>74</v>
      </c>
      <c r="BQ719" t="s">
        <v>74</v>
      </c>
      <c r="BR719" t="s">
        <v>107</v>
      </c>
      <c r="BS719" t="s">
        <v>13862</v>
      </c>
      <c r="BT719" t="str">
        <f>HYPERLINK("https%3A%2F%2Fwww.webofscience.com%2Fwos%2Fwoscc%2Ffull-record%2FWOS:001028747700029","View Full Record in Web of Science")</f>
        <v>View Full Record in Web of Science</v>
      </c>
    </row>
    <row r="720" spans="1:72" x14ac:dyDescent="0.15">
      <c r="A720" t="s">
        <v>72</v>
      </c>
      <c r="B720" t="s">
        <v>13863</v>
      </c>
      <c r="C720" t="s">
        <v>74</v>
      </c>
      <c r="D720" t="s">
        <v>74</v>
      </c>
      <c r="E720" t="s">
        <v>74</v>
      </c>
      <c r="F720" t="s">
        <v>13864</v>
      </c>
      <c r="G720" t="s">
        <v>74</v>
      </c>
      <c r="H720" t="s">
        <v>74</v>
      </c>
      <c r="I720" t="s">
        <v>13865</v>
      </c>
      <c r="J720" t="s">
        <v>13866</v>
      </c>
      <c r="K720" t="s">
        <v>74</v>
      </c>
      <c r="L720" t="s">
        <v>74</v>
      </c>
      <c r="M720" t="s">
        <v>78</v>
      </c>
      <c r="N720" t="s">
        <v>79</v>
      </c>
      <c r="O720" t="s">
        <v>74</v>
      </c>
      <c r="P720" t="s">
        <v>74</v>
      </c>
      <c r="Q720" t="s">
        <v>74</v>
      </c>
      <c r="R720" t="s">
        <v>74</v>
      </c>
      <c r="S720" t="s">
        <v>74</v>
      </c>
      <c r="T720" t="s">
        <v>13867</v>
      </c>
      <c r="U720" t="s">
        <v>13868</v>
      </c>
      <c r="V720" t="s">
        <v>13869</v>
      </c>
      <c r="W720" t="s">
        <v>13870</v>
      </c>
      <c r="X720" t="s">
        <v>13871</v>
      </c>
      <c r="Y720" t="s">
        <v>13872</v>
      </c>
      <c r="Z720" t="s">
        <v>13873</v>
      </c>
      <c r="AA720" t="s">
        <v>74</v>
      </c>
      <c r="AB720" t="s">
        <v>74</v>
      </c>
      <c r="AC720" t="s">
        <v>13874</v>
      </c>
      <c r="AD720" t="s">
        <v>13875</v>
      </c>
      <c r="AE720" t="s">
        <v>13876</v>
      </c>
      <c r="AF720" t="s">
        <v>74</v>
      </c>
      <c r="AG720">
        <v>69</v>
      </c>
      <c r="AH720">
        <v>2</v>
      </c>
      <c r="AI720">
        <v>2</v>
      </c>
      <c r="AJ720">
        <v>1</v>
      </c>
      <c r="AK720">
        <v>1</v>
      </c>
      <c r="AL720" t="s">
        <v>13877</v>
      </c>
      <c r="AM720" t="s">
        <v>13878</v>
      </c>
      <c r="AN720" t="s">
        <v>13879</v>
      </c>
      <c r="AO720" t="s">
        <v>13880</v>
      </c>
      <c r="AP720" t="s">
        <v>13881</v>
      </c>
      <c r="AQ720" t="s">
        <v>74</v>
      </c>
      <c r="AR720" t="s">
        <v>13866</v>
      </c>
      <c r="AS720" t="s">
        <v>13882</v>
      </c>
      <c r="AT720" t="s">
        <v>8990</v>
      </c>
      <c r="AU720">
        <v>2023</v>
      </c>
      <c r="AV720">
        <v>60</v>
      </c>
      <c r="AW720">
        <v>4</v>
      </c>
      <c r="AX720" t="s">
        <v>74</v>
      </c>
      <c r="AY720" t="s">
        <v>74</v>
      </c>
      <c r="AZ720" t="s">
        <v>74</v>
      </c>
      <c r="BA720" t="s">
        <v>74</v>
      </c>
      <c r="BB720">
        <v>327</v>
      </c>
      <c r="BC720">
        <v>341</v>
      </c>
      <c r="BD720" t="s">
        <v>74</v>
      </c>
      <c r="BE720" t="s">
        <v>13883</v>
      </c>
      <c r="BF720" t="str">
        <f>HYPERLINK("http://dx.doi.org/10.5710/AMGH.25.02.2023.3514","http://dx.doi.org/10.5710/AMGH.25.02.2023.3514")</f>
        <v>http://dx.doi.org/10.5710/AMGH.25.02.2023.3514</v>
      </c>
      <c r="BG720" t="s">
        <v>74</v>
      </c>
      <c r="BH720" t="s">
        <v>74</v>
      </c>
      <c r="BI720">
        <v>15</v>
      </c>
      <c r="BJ720" t="s">
        <v>10082</v>
      </c>
      <c r="BK720" t="s">
        <v>104</v>
      </c>
      <c r="BL720" t="s">
        <v>10082</v>
      </c>
      <c r="BM720" t="s">
        <v>13884</v>
      </c>
      <c r="BN720" t="s">
        <v>74</v>
      </c>
      <c r="BO720" t="s">
        <v>74</v>
      </c>
      <c r="BP720" t="s">
        <v>74</v>
      </c>
      <c r="BQ720" t="s">
        <v>74</v>
      </c>
      <c r="BR720" t="s">
        <v>107</v>
      </c>
      <c r="BS720" t="s">
        <v>13885</v>
      </c>
      <c r="BT720" t="str">
        <f>HYPERLINK("https%3A%2F%2Fwww.webofscience.com%2Fwos%2Fwoscc%2Ffull-record%2FWOS:001029002200005","View Full Record in Web of Science")</f>
        <v>View Full Record in Web of Science</v>
      </c>
    </row>
    <row r="721" spans="1:72" x14ac:dyDescent="0.15">
      <c r="A721" t="s">
        <v>72</v>
      </c>
      <c r="B721" t="s">
        <v>13886</v>
      </c>
      <c r="C721" t="s">
        <v>74</v>
      </c>
      <c r="D721" t="s">
        <v>74</v>
      </c>
      <c r="E721" t="s">
        <v>74</v>
      </c>
      <c r="F721" t="s">
        <v>13887</v>
      </c>
      <c r="G721" t="s">
        <v>74</v>
      </c>
      <c r="H721" t="s">
        <v>74</v>
      </c>
      <c r="I721" t="s">
        <v>13888</v>
      </c>
      <c r="J721" t="s">
        <v>1790</v>
      </c>
      <c r="K721" t="s">
        <v>74</v>
      </c>
      <c r="L721" t="s">
        <v>74</v>
      </c>
      <c r="M721" t="s">
        <v>78</v>
      </c>
      <c r="N721" t="s">
        <v>869</v>
      </c>
      <c r="O721" t="s">
        <v>74</v>
      </c>
      <c r="P721" t="s">
        <v>74</v>
      </c>
      <c r="Q721" t="s">
        <v>74</v>
      </c>
      <c r="R721" t="s">
        <v>74</v>
      </c>
      <c r="S721" t="s">
        <v>74</v>
      </c>
      <c r="T721" t="s">
        <v>74</v>
      </c>
      <c r="U721" t="s">
        <v>74</v>
      </c>
      <c r="V721" t="s">
        <v>74</v>
      </c>
      <c r="W721" t="s">
        <v>13889</v>
      </c>
      <c r="X721" t="s">
        <v>917</v>
      </c>
      <c r="Y721" t="s">
        <v>13890</v>
      </c>
      <c r="Z721" t="s">
        <v>74</v>
      </c>
      <c r="AA721" t="s">
        <v>74</v>
      </c>
      <c r="AB721" t="s">
        <v>74</v>
      </c>
      <c r="AC721" t="s">
        <v>74</v>
      </c>
      <c r="AD721" t="s">
        <v>74</v>
      </c>
      <c r="AE721" t="s">
        <v>74</v>
      </c>
      <c r="AF721" t="s">
        <v>74</v>
      </c>
      <c r="AG721">
        <v>0</v>
      </c>
      <c r="AH721">
        <v>0</v>
      </c>
      <c r="AI721">
        <v>0</v>
      </c>
      <c r="AJ721">
        <v>0</v>
      </c>
      <c r="AK721">
        <v>0</v>
      </c>
      <c r="AL721" t="s">
        <v>1803</v>
      </c>
      <c r="AM721" t="s">
        <v>299</v>
      </c>
      <c r="AN721" t="s">
        <v>1924</v>
      </c>
      <c r="AO721" t="s">
        <v>1806</v>
      </c>
      <c r="AP721" t="s">
        <v>1807</v>
      </c>
      <c r="AQ721" t="s">
        <v>74</v>
      </c>
      <c r="AR721" t="s">
        <v>1808</v>
      </c>
      <c r="AS721" t="s">
        <v>1809</v>
      </c>
      <c r="AT721" t="s">
        <v>8990</v>
      </c>
      <c r="AU721">
        <v>2023</v>
      </c>
      <c r="AV721">
        <v>35</v>
      </c>
      <c r="AW721">
        <v>3</v>
      </c>
      <c r="AX721" t="s">
        <v>74</v>
      </c>
      <c r="AY721" t="s">
        <v>74</v>
      </c>
      <c r="AZ721" t="s">
        <v>74</v>
      </c>
      <c r="BA721" t="s">
        <v>74</v>
      </c>
      <c r="BB721">
        <v>161</v>
      </c>
      <c r="BC721">
        <v>164</v>
      </c>
      <c r="BD721" t="s">
        <v>13891</v>
      </c>
      <c r="BE721" t="s">
        <v>13892</v>
      </c>
      <c r="BF721" t="str">
        <f>HYPERLINK("http://dx.doi.org/10.1017/S0954102023000184","http://dx.doi.org/10.1017/S0954102023000184")</f>
        <v>http://dx.doi.org/10.1017/S0954102023000184</v>
      </c>
      <c r="BG721" t="s">
        <v>74</v>
      </c>
      <c r="BH721" t="s">
        <v>74</v>
      </c>
      <c r="BI721">
        <v>4</v>
      </c>
      <c r="BJ721" t="s">
        <v>1813</v>
      </c>
      <c r="BK721" t="s">
        <v>104</v>
      </c>
      <c r="BL721" t="s">
        <v>1814</v>
      </c>
      <c r="BM721" t="s">
        <v>8993</v>
      </c>
      <c r="BN721" t="s">
        <v>74</v>
      </c>
      <c r="BO721" t="s">
        <v>133</v>
      </c>
      <c r="BP721" t="s">
        <v>74</v>
      </c>
      <c r="BQ721" t="s">
        <v>74</v>
      </c>
      <c r="BR721" t="s">
        <v>107</v>
      </c>
      <c r="BS721" t="s">
        <v>13893</v>
      </c>
      <c r="BT721" t="str">
        <f>HYPERLINK("https%3A%2F%2Fwww.webofscience.com%2Fwos%2Fwoscc%2Ffull-record%2FWOS:001042104300001","View Full Record in Web of Science")</f>
        <v>View Full Record in Web of Science</v>
      </c>
    </row>
    <row r="722" spans="1:72" x14ac:dyDescent="0.15">
      <c r="A722" t="s">
        <v>72</v>
      </c>
      <c r="B722" t="s">
        <v>13894</v>
      </c>
      <c r="C722" t="s">
        <v>74</v>
      </c>
      <c r="D722" t="s">
        <v>74</v>
      </c>
      <c r="E722" t="s">
        <v>74</v>
      </c>
      <c r="F722" t="s">
        <v>13895</v>
      </c>
      <c r="G722" t="s">
        <v>74</v>
      </c>
      <c r="H722" t="s">
        <v>74</v>
      </c>
      <c r="I722" t="s">
        <v>13896</v>
      </c>
      <c r="J722" t="s">
        <v>13897</v>
      </c>
      <c r="K722" t="s">
        <v>74</v>
      </c>
      <c r="L722" t="s">
        <v>74</v>
      </c>
      <c r="M722" t="s">
        <v>78</v>
      </c>
      <c r="N722" t="s">
        <v>79</v>
      </c>
      <c r="O722" t="s">
        <v>74</v>
      </c>
      <c r="P722" t="s">
        <v>74</v>
      </c>
      <c r="Q722" t="s">
        <v>74</v>
      </c>
      <c r="R722" t="s">
        <v>74</v>
      </c>
      <c r="S722" t="s">
        <v>74</v>
      </c>
      <c r="T722" t="s">
        <v>13898</v>
      </c>
      <c r="U722" t="s">
        <v>13899</v>
      </c>
      <c r="V722" t="s">
        <v>13900</v>
      </c>
      <c r="W722" t="s">
        <v>13901</v>
      </c>
      <c r="X722" t="s">
        <v>13902</v>
      </c>
      <c r="Y722" t="s">
        <v>13903</v>
      </c>
      <c r="Z722" t="s">
        <v>13904</v>
      </c>
      <c r="AA722" t="s">
        <v>74</v>
      </c>
      <c r="AB722" t="s">
        <v>74</v>
      </c>
      <c r="AC722" t="s">
        <v>74</v>
      </c>
      <c r="AD722" t="s">
        <v>74</v>
      </c>
      <c r="AE722" t="s">
        <v>74</v>
      </c>
      <c r="AF722" t="s">
        <v>74</v>
      </c>
      <c r="AG722">
        <v>22</v>
      </c>
      <c r="AH722">
        <v>0</v>
      </c>
      <c r="AI722">
        <v>0</v>
      </c>
      <c r="AJ722">
        <v>0</v>
      </c>
      <c r="AK722">
        <v>0</v>
      </c>
      <c r="AL722" t="s">
        <v>2142</v>
      </c>
      <c r="AM722" t="s">
        <v>299</v>
      </c>
      <c r="AN722" t="s">
        <v>2143</v>
      </c>
      <c r="AO722" t="s">
        <v>13905</v>
      </c>
      <c r="AP722" t="s">
        <v>13906</v>
      </c>
      <c r="AQ722" t="s">
        <v>74</v>
      </c>
      <c r="AR722" t="s">
        <v>13907</v>
      </c>
      <c r="AS722" t="s">
        <v>13908</v>
      </c>
      <c r="AT722" t="s">
        <v>8990</v>
      </c>
      <c r="AU722">
        <v>2023</v>
      </c>
      <c r="AV722">
        <v>59</v>
      </c>
      <c r="AW722">
        <v>3</v>
      </c>
      <c r="AX722" t="s">
        <v>74</v>
      </c>
      <c r="AY722" t="s">
        <v>74</v>
      </c>
      <c r="AZ722" t="s">
        <v>74</v>
      </c>
      <c r="BA722" t="s">
        <v>74</v>
      </c>
      <c r="BB722">
        <v>224</v>
      </c>
      <c r="BC722">
        <v>232</v>
      </c>
      <c r="BD722" t="s">
        <v>74</v>
      </c>
      <c r="BE722" t="s">
        <v>13909</v>
      </c>
      <c r="BF722" t="str">
        <f>HYPERLINK("http://dx.doi.org/10.1134/S0001433823030027","http://dx.doi.org/10.1134/S0001433823030027")</f>
        <v>http://dx.doi.org/10.1134/S0001433823030027</v>
      </c>
      <c r="BG722" t="s">
        <v>74</v>
      </c>
      <c r="BH722" t="s">
        <v>74</v>
      </c>
      <c r="BI722">
        <v>9</v>
      </c>
      <c r="BJ722" t="s">
        <v>4321</v>
      </c>
      <c r="BK722" t="s">
        <v>104</v>
      </c>
      <c r="BL722" t="s">
        <v>4321</v>
      </c>
      <c r="BM722" t="s">
        <v>13910</v>
      </c>
      <c r="BN722" t="s">
        <v>74</v>
      </c>
      <c r="BO722" t="s">
        <v>74</v>
      </c>
      <c r="BP722" t="s">
        <v>74</v>
      </c>
      <c r="BQ722" t="s">
        <v>74</v>
      </c>
      <c r="BR722" t="s">
        <v>107</v>
      </c>
      <c r="BS722" t="s">
        <v>13911</v>
      </c>
      <c r="BT722" t="str">
        <f>HYPERLINK("https%3A%2F%2Fwww.webofscience.com%2Fwos%2Fwoscc%2Ffull-record%2FWOS:001035853600002","View Full Record in Web of Science")</f>
        <v>View Full Record in Web of Science</v>
      </c>
    </row>
    <row r="723" spans="1:72" x14ac:dyDescent="0.15">
      <c r="A723" t="s">
        <v>72</v>
      </c>
      <c r="B723" t="s">
        <v>13912</v>
      </c>
      <c r="C723" t="s">
        <v>74</v>
      </c>
      <c r="D723" t="s">
        <v>74</v>
      </c>
      <c r="E723" t="s">
        <v>74</v>
      </c>
      <c r="F723" t="s">
        <v>13913</v>
      </c>
      <c r="G723" t="s">
        <v>74</v>
      </c>
      <c r="H723" t="s">
        <v>74</v>
      </c>
      <c r="I723" t="s">
        <v>13914</v>
      </c>
      <c r="J723" t="s">
        <v>5519</v>
      </c>
      <c r="K723" t="s">
        <v>74</v>
      </c>
      <c r="L723" t="s">
        <v>74</v>
      </c>
      <c r="M723" t="s">
        <v>78</v>
      </c>
      <c r="N723" t="s">
        <v>79</v>
      </c>
      <c r="O723" t="s">
        <v>74</v>
      </c>
      <c r="P723" t="s">
        <v>74</v>
      </c>
      <c r="Q723" t="s">
        <v>74</v>
      </c>
      <c r="R723" t="s">
        <v>74</v>
      </c>
      <c r="S723" t="s">
        <v>74</v>
      </c>
      <c r="T723" t="s">
        <v>74</v>
      </c>
      <c r="U723" t="s">
        <v>13915</v>
      </c>
      <c r="V723" t="s">
        <v>13916</v>
      </c>
      <c r="W723" t="s">
        <v>13917</v>
      </c>
      <c r="X723" t="s">
        <v>13918</v>
      </c>
      <c r="Y723" t="s">
        <v>13919</v>
      </c>
      <c r="Z723" t="s">
        <v>13920</v>
      </c>
      <c r="AA723" t="s">
        <v>74</v>
      </c>
      <c r="AB723" t="s">
        <v>13921</v>
      </c>
      <c r="AC723" t="s">
        <v>13922</v>
      </c>
      <c r="AD723" t="s">
        <v>13923</v>
      </c>
      <c r="AE723" t="s">
        <v>13924</v>
      </c>
      <c r="AF723" t="s">
        <v>74</v>
      </c>
      <c r="AG723">
        <v>91</v>
      </c>
      <c r="AH723">
        <v>0</v>
      </c>
      <c r="AI723">
        <v>0</v>
      </c>
      <c r="AJ723">
        <v>12</v>
      </c>
      <c r="AK723">
        <v>24</v>
      </c>
      <c r="AL723" t="s">
        <v>5530</v>
      </c>
      <c r="AM723" t="s">
        <v>589</v>
      </c>
      <c r="AN723" t="s">
        <v>5531</v>
      </c>
      <c r="AO723" t="s">
        <v>5532</v>
      </c>
      <c r="AP723" t="s">
        <v>74</v>
      </c>
      <c r="AQ723" t="s">
        <v>74</v>
      </c>
      <c r="AR723" t="s">
        <v>5533</v>
      </c>
      <c r="AS723" t="s">
        <v>5534</v>
      </c>
      <c r="AT723" t="s">
        <v>8990</v>
      </c>
      <c r="AU723">
        <v>2023</v>
      </c>
      <c r="AV723">
        <v>9</v>
      </c>
      <c r="AW723">
        <v>26</v>
      </c>
      <c r="AX723" t="s">
        <v>74</v>
      </c>
      <c r="AY723" t="s">
        <v>74</v>
      </c>
      <c r="AZ723" t="s">
        <v>74</v>
      </c>
      <c r="BA723" t="s">
        <v>74</v>
      </c>
      <c r="BB723" t="s">
        <v>74</v>
      </c>
      <c r="BC723" t="s">
        <v>74</v>
      </c>
      <c r="BD723" t="s">
        <v>13925</v>
      </c>
      <c r="BE723" t="s">
        <v>13926</v>
      </c>
      <c r="BF723" t="str">
        <f>HYPERLINK("http://dx.doi.org/10.1126/sciadv.adf9696","http://dx.doi.org/10.1126/sciadv.adf9696")</f>
        <v>http://dx.doi.org/10.1126/sciadv.adf9696</v>
      </c>
      <c r="BG723" t="s">
        <v>74</v>
      </c>
      <c r="BH723" t="s">
        <v>74</v>
      </c>
      <c r="BI723">
        <v>13</v>
      </c>
      <c r="BJ723" t="s">
        <v>1881</v>
      </c>
      <c r="BK723" t="s">
        <v>104</v>
      </c>
      <c r="BL723" t="s">
        <v>1882</v>
      </c>
      <c r="BM723" t="s">
        <v>13927</v>
      </c>
      <c r="BN723">
        <v>37379397</v>
      </c>
      <c r="BO723" t="s">
        <v>181</v>
      </c>
      <c r="BP723" t="s">
        <v>74</v>
      </c>
      <c r="BQ723" t="s">
        <v>74</v>
      </c>
      <c r="BR723" t="s">
        <v>107</v>
      </c>
      <c r="BS723" t="s">
        <v>13928</v>
      </c>
      <c r="BT723" t="str">
        <f>HYPERLINK("https%3A%2F%2Fwww.webofscience.com%2Fwos%2Fwoscc%2Ffull-record%2FWOS:001029333400017","View Full Record in Web of Science")</f>
        <v>View Full Record in Web of Science</v>
      </c>
    </row>
    <row r="724" spans="1:72" x14ac:dyDescent="0.15">
      <c r="A724" t="s">
        <v>72</v>
      </c>
      <c r="B724" t="s">
        <v>13929</v>
      </c>
      <c r="C724" t="s">
        <v>74</v>
      </c>
      <c r="D724" t="s">
        <v>74</v>
      </c>
      <c r="E724" t="s">
        <v>74</v>
      </c>
      <c r="F724" t="s">
        <v>13930</v>
      </c>
      <c r="G724" t="s">
        <v>74</v>
      </c>
      <c r="H724" t="s">
        <v>13931</v>
      </c>
      <c r="I724" t="s">
        <v>13932</v>
      </c>
      <c r="J724" t="s">
        <v>13933</v>
      </c>
      <c r="K724" t="s">
        <v>74</v>
      </c>
      <c r="L724" t="s">
        <v>74</v>
      </c>
      <c r="M724" t="s">
        <v>78</v>
      </c>
      <c r="N724" t="s">
        <v>79</v>
      </c>
      <c r="O724" t="s">
        <v>74</v>
      </c>
      <c r="P724" t="s">
        <v>74</v>
      </c>
      <c r="Q724" t="s">
        <v>74</v>
      </c>
      <c r="R724" t="s">
        <v>74</v>
      </c>
      <c r="S724" t="s">
        <v>74</v>
      </c>
      <c r="T724" t="s">
        <v>13934</v>
      </c>
      <c r="U724" t="s">
        <v>13935</v>
      </c>
      <c r="V724" t="s">
        <v>13936</v>
      </c>
      <c r="W724" t="s">
        <v>74</v>
      </c>
      <c r="X724" t="s">
        <v>74</v>
      </c>
      <c r="Y724" t="s">
        <v>74</v>
      </c>
      <c r="Z724" t="s">
        <v>13937</v>
      </c>
      <c r="AA724" t="s">
        <v>13938</v>
      </c>
      <c r="AB724" t="s">
        <v>13939</v>
      </c>
      <c r="AC724" t="s">
        <v>74</v>
      </c>
      <c r="AD724" t="s">
        <v>74</v>
      </c>
      <c r="AE724" t="s">
        <v>74</v>
      </c>
      <c r="AF724" t="s">
        <v>74</v>
      </c>
      <c r="AG724">
        <v>82</v>
      </c>
      <c r="AH724">
        <v>15</v>
      </c>
      <c r="AI724">
        <v>15</v>
      </c>
      <c r="AJ724">
        <v>4</v>
      </c>
      <c r="AK724">
        <v>7</v>
      </c>
      <c r="AL724" t="s">
        <v>460</v>
      </c>
      <c r="AM724" t="s">
        <v>461</v>
      </c>
      <c r="AN724" t="s">
        <v>6832</v>
      </c>
      <c r="AO724" t="s">
        <v>74</v>
      </c>
      <c r="AP724" t="s">
        <v>13940</v>
      </c>
      <c r="AQ724" t="s">
        <v>74</v>
      </c>
      <c r="AR724" t="s">
        <v>13941</v>
      </c>
      <c r="AS724" t="s">
        <v>13942</v>
      </c>
      <c r="AT724" t="s">
        <v>8990</v>
      </c>
      <c r="AU724">
        <v>2023</v>
      </c>
      <c r="AV724">
        <v>21</v>
      </c>
      <c r="AW724">
        <v>6</v>
      </c>
      <c r="AX724" t="s">
        <v>74</v>
      </c>
      <c r="AY724" t="s">
        <v>74</v>
      </c>
      <c r="AZ724" t="s">
        <v>74</v>
      </c>
      <c r="BA724" t="s">
        <v>74</v>
      </c>
      <c r="BB724" t="s">
        <v>74</v>
      </c>
      <c r="BC724" t="s">
        <v>74</v>
      </c>
      <c r="BD724" t="s">
        <v>13943</v>
      </c>
      <c r="BE724" t="s">
        <v>13944</v>
      </c>
      <c r="BF724" t="str">
        <f>HYPERLINK("http://dx.doi.org/10.2903/j.efsa.2023.8039","http://dx.doi.org/10.2903/j.efsa.2023.8039")</f>
        <v>http://dx.doi.org/10.2903/j.efsa.2023.8039</v>
      </c>
      <c r="BG724" t="s">
        <v>74</v>
      </c>
      <c r="BH724" t="s">
        <v>74</v>
      </c>
      <c r="BI724">
        <v>45</v>
      </c>
      <c r="BJ724" t="s">
        <v>13945</v>
      </c>
      <c r="BK724" t="s">
        <v>104</v>
      </c>
      <c r="BL724" t="s">
        <v>13945</v>
      </c>
      <c r="BM724" t="s">
        <v>13946</v>
      </c>
      <c r="BN724">
        <v>37293570</v>
      </c>
      <c r="BO724" t="s">
        <v>181</v>
      </c>
      <c r="BP724" t="s">
        <v>13947</v>
      </c>
      <c r="BQ724" t="s">
        <v>13948</v>
      </c>
      <c r="BR724" t="s">
        <v>107</v>
      </c>
      <c r="BS724" t="s">
        <v>13949</v>
      </c>
      <c r="BT724" t="str">
        <f>HYPERLINK("https%3A%2F%2Fwww.webofscience.com%2Fwos%2Fwoscc%2Ffull-record%2FWOS:001002655900001","View Full Record in Web of Science")</f>
        <v>View Full Record in Web of Science</v>
      </c>
    </row>
    <row r="725" spans="1:72" x14ac:dyDescent="0.15">
      <c r="A725" t="s">
        <v>72</v>
      </c>
      <c r="B725" t="s">
        <v>13950</v>
      </c>
      <c r="C725" t="s">
        <v>74</v>
      </c>
      <c r="D725" t="s">
        <v>74</v>
      </c>
      <c r="E725" t="s">
        <v>74</v>
      </c>
      <c r="F725" t="s">
        <v>13951</v>
      </c>
      <c r="G725" t="s">
        <v>74</v>
      </c>
      <c r="H725" t="s">
        <v>74</v>
      </c>
      <c r="I725" t="s">
        <v>13952</v>
      </c>
      <c r="J725" t="s">
        <v>13953</v>
      </c>
      <c r="K725" t="s">
        <v>74</v>
      </c>
      <c r="L725" t="s">
        <v>74</v>
      </c>
      <c r="M725" t="s">
        <v>78</v>
      </c>
      <c r="N725" t="s">
        <v>79</v>
      </c>
      <c r="O725" t="s">
        <v>74</v>
      </c>
      <c r="P725" t="s">
        <v>74</v>
      </c>
      <c r="Q725" t="s">
        <v>74</v>
      </c>
      <c r="R725" t="s">
        <v>74</v>
      </c>
      <c r="S725" t="s">
        <v>74</v>
      </c>
      <c r="T725" t="s">
        <v>13954</v>
      </c>
      <c r="U725" t="s">
        <v>13955</v>
      </c>
      <c r="V725" t="s">
        <v>13956</v>
      </c>
      <c r="W725" t="s">
        <v>13957</v>
      </c>
      <c r="X725" t="s">
        <v>13958</v>
      </c>
      <c r="Y725" t="s">
        <v>13959</v>
      </c>
      <c r="Z725" t="s">
        <v>13960</v>
      </c>
      <c r="AA725" t="s">
        <v>13961</v>
      </c>
      <c r="AB725" t="s">
        <v>13962</v>
      </c>
      <c r="AC725" t="s">
        <v>13963</v>
      </c>
      <c r="AD725" t="s">
        <v>13964</v>
      </c>
      <c r="AE725" t="s">
        <v>13965</v>
      </c>
      <c r="AF725" t="s">
        <v>74</v>
      </c>
      <c r="AG725">
        <v>78</v>
      </c>
      <c r="AH725">
        <v>1</v>
      </c>
      <c r="AI725">
        <v>1</v>
      </c>
      <c r="AJ725">
        <v>0</v>
      </c>
      <c r="AK725">
        <v>2</v>
      </c>
      <c r="AL725" t="s">
        <v>13966</v>
      </c>
      <c r="AM725" t="s">
        <v>13967</v>
      </c>
      <c r="AN725" t="s">
        <v>13968</v>
      </c>
      <c r="AO725" t="s">
        <v>13969</v>
      </c>
      <c r="AP725" t="s">
        <v>13970</v>
      </c>
      <c r="AQ725" t="s">
        <v>74</v>
      </c>
      <c r="AR725" t="s">
        <v>13971</v>
      </c>
      <c r="AS725" t="s">
        <v>13972</v>
      </c>
      <c r="AT725" t="s">
        <v>8990</v>
      </c>
      <c r="AU725">
        <v>2023</v>
      </c>
      <c r="AV725">
        <v>87</v>
      </c>
      <c r="AW725">
        <v>2</v>
      </c>
      <c r="AX725" t="s">
        <v>74</v>
      </c>
      <c r="AY725" t="s">
        <v>74</v>
      </c>
      <c r="AZ725" t="s">
        <v>74</v>
      </c>
      <c r="BA725" t="s">
        <v>74</v>
      </c>
      <c r="BB725" t="s">
        <v>74</v>
      </c>
      <c r="BC725" t="s">
        <v>74</v>
      </c>
      <c r="BD725" t="s">
        <v>13973</v>
      </c>
      <c r="BE725" t="s">
        <v>13974</v>
      </c>
      <c r="BF725" t="str">
        <f>HYPERLINK("http://dx.doi.org/10.3989/scimar.05260.063","http://dx.doi.org/10.3989/scimar.05260.063")</f>
        <v>http://dx.doi.org/10.3989/scimar.05260.063</v>
      </c>
      <c r="BG725" t="s">
        <v>74</v>
      </c>
      <c r="BH725" t="s">
        <v>74</v>
      </c>
      <c r="BI725">
        <v>13</v>
      </c>
      <c r="BJ725" t="s">
        <v>3638</v>
      </c>
      <c r="BK725" t="s">
        <v>104</v>
      </c>
      <c r="BL725" t="s">
        <v>3638</v>
      </c>
      <c r="BM725" t="s">
        <v>13975</v>
      </c>
      <c r="BN725" t="s">
        <v>74</v>
      </c>
      <c r="BO725" t="s">
        <v>206</v>
      </c>
      <c r="BP725" t="s">
        <v>74</v>
      </c>
      <c r="BQ725" t="s">
        <v>74</v>
      </c>
      <c r="BR725" t="s">
        <v>107</v>
      </c>
      <c r="BS725" t="s">
        <v>13976</v>
      </c>
      <c r="BT725" t="str">
        <f>HYPERLINK("https%3A%2F%2Fwww.webofscience.com%2Fwos%2Fwoscc%2Ffull-record%2FWOS:001026154100005","View Full Record in Web of Science")</f>
        <v>View Full Record in Web of Science</v>
      </c>
    </row>
    <row r="726" spans="1:72" x14ac:dyDescent="0.15">
      <c r="A726" t="s">
        <v>72</v>
      </c>
      <c r="B726" t="s">
        <v>13977</v>
      </c>
      <c r="C726" t="s">
        <v>74</v>
      </c>
      <c r="D726" t="s">
        <v>74</v>
      </c>
      <c r="E726" t="s">
        <v>74</v>
      </c>
      <c r="F726" t="s">
        <v>13978</v>
      </c>
      <c r="G726" t="s">
        <v>74</v>
      </c>
      <c r="H726" t="s">
        <v>74</v>
      </c>
      <c r="I726" t="s">
        <v>13979</v>
      </c>
      <c r="J726" t="s">
        <v>5519</v>
      </c>
      <c r="K726" t="s">
        <v>74</v>
      </c>
      <c r="L726" t="s">
        <v>74</v>
      </c>
      <c r="M726" t="s">
        <v>78</v>
      </c>
      <c r="N726" t="s">
        <v>79</v>
      </c>
      <c r="O726" t="s">
        <v>74</v>
      </c>
      <c r="P726" t="s">
        <v>74</v>
      </c>
      <c r="Q726" t="s">
        <v>74</v>
      </c>
      <c r="R726" t="s">
        <v>74</v>
      </c>
      <c r="S726" t="s">
        <v>74</v>
      </c>
      <c r="T726" t="s">
        <v>74</v>
      </c>
      <c r="U726" t="s">
        <v>13980</v>
      </c>
      <c r="V726" t="s">
        <v>13981</v>
      </c>
      <c r="W726" t="s">
        <v>13982</v>
      </c>
      <c r="X726" t="s">
        <v>13983</v>
      </c>
      <c r="Y726" t="s">
        <v>13984</v>
      </c>
      <c r="Z726" t="s">
        <v>13985</v>
      </c>
      <c r="AA726" t="s">
        <v>13986</v>
      </c>
      <c r="AB726" t="s">
        <v>13987</v>
      </c>
      <c r="AC726" t="s">
        <v>13988</v>
      </c>
      <c r="AD726" t="s">
        <v>13989</v>
      </c>
      <c r="AE726" t="s">
        <v>13990</v>
      </c>
      <c r="AF726" t="s">
        <v>74</v>
      </c>
      <c r="AG726">
        <v>46</v>
      </c>
      <c r="AH726">
        <v>4</v>
      </c>
      <c r="AI726">
        <v>4</v>
      </c>
      <c r="AJ726">
        <v>7</v>
      </c>
      <c r="AK726">
        <v>14</v>
      </c>
      <c r="AL726" t="s">
        <v>5530</v>
      </c>
      <c r="AM726" t="s">
        <v>589</v>
      </c>
      <c r="AN726" t="s">
        <v>5531</v>
      </c>
      <c r="AO726" t="s">
        <v>5532</v>
      </c>
      <c r="AP726" t="s">
        <v>74</v>
      </c>
      <c r="AQ726" t="s">
        <v>74</v>
      </c>
      <c r="AR726" t="s">
        <v>5533</v>
      </c>
      <c r="AS726" t="s">
        <v>5534</v>
      </c>
      <c r="AT726" t="s">
        <v>8990</v>
      </c>
      <c r="AU726">
        <v>2023</v>
      </c>
      <c r="AV726">
        <v>9</v>
      </c>
      <c r="AW726">
        <v>26</v>
      </c>
      <c r="AX726" t="s">
        <v>74</v>
      </c>
      <c r="AY726" t="s">
        <v>74</v>
      </c>
      <c r="AZ726" t="s">
        <v>74</v>
      </c>
      <c r="BA726" t="s">
        <v>74</v>
      </c>
      <c r="BB726" t="s">
        <v>74</v>
      </c>
      <c r="BC726" t="s">
        <v>74</v>
      </c>
      <c r="BD726" t="s">
        <v>13991</v>
      </c>
      <c r="BE726" t="s">
        <v>13992</v>
      </c>
      <c r="BF726" t="str">
        <f>HYPERLINK("http://dx.doi.org/10.1126/sciadv.adi0963","http://dx.doi.org/10.1126/sciadv.adi0963")</f>
        <v>http://dx.doi.org/10.1126/sciadv.adi0963</v>
      </c>
      <c r="BG726" t="s">
        <v>74</v>
      </c>
      <c r="BH726" t="s">
        <v>74</v>
      </c>
      <c r="BI726">
        <v>9</v>
      </c>
      <c r="BJ726" t="s">
        <v>1881</v>
      </c>
      <c r="BK726" t="s">
        <v>104</v>
      </c>
      <c r="BL726" t="s">
        <v>1882</v>
      </c>
      <c r="BM726" t="s">
        <v>13993</v>
      </c>
      <c r="BN726">
        <v>37379391</v>
      </c>
      <c r="BO726" t="s">
        <v>181</v>
      </c>
      <c r="BP726" t="s">
        <v>74</v>
      </c>
      <c r="BQ726" t="s">
        <v>74</v>
      </c>
      <c r="BR726" t="s">
        <v>107</v>
      </c>
      <c r="BS726" t="s">
        <v>13994</v>
      </c>
      <c r="BT726" t="str">
        <f>HYPERLINK("https%3A%2F%2Fwww.webofscience.com%2Fwos%2Fwoscc%2Ffull-record%2FWOS:001029314100001","View Full Record in Web of Science")</f>
        <v>View Full Record in Web of Science</v>
      </c>
    </row>
    <row r="727" spans="1:72" x14ac:dyDescent="0.15">
      <c r="A727" t="s">
        <v>72</v>
      </c>
      <c r="B727" t="s">
        <v>13995</v>
      </c>
      <c r="C727" t="s">
        <v>74</v>
      </c>
      <c r="D727" t="s">
        <v>74</v>
      </c>
      <c r="E727" t="s">
        <v>74</v>
      </c>
      <c r="F727" t="s">
        <v>13996</v>
      </c>
      <c r="G727" t="s">
        <v>74</v>
      </c>
      <c r="H727" t="s">
        <v>74</v>
      </c>
      <c r="I727" t="s">
        <v>13997</v>
      </c>
      <c r="J727" t="s">
        <v>708</v>
      </c>
      <c r="K727" t="s">
        <v>74</v>
      </c>
      <c r="L727" t="s">
        <v>74</v>
      </c>
      <c r="M727" t="s">
        <v>78</v>
      </c>
      <c r="N727" t="s">
        <v>79</v>
      </c>
      <c r="O727" t="s">
        <v>74</v>
      </c>
      <c r="P727" t="s">
        <v>74</v>
      </c>
      <c r="Q727" t="s">
        <v>74</v>
      </c>
      <c r="R727" t="s">
        <v>74</v>
      </c>
      <c r="S727" t="s">
        <v>74</v>
      </c>
      <c r="T727" t="s">
        <v>13998</v>
      </c>
      <c r="U727" t="s">
        <v>13999</v>
      </c>
      <c r="V727" t="s">
        <v>14000</v>
      </c>
      <c r="W727" t="s">
        <v>14001</v>
      </c>
      <c r="X727" t="s">
        <v>14002</v>
      </c>
      <c r="Y727" t="s">
        <v>14003</v>
      </c>
      <c r="Z727" t="s">
        <v>14004</v>
      </c>
      <c r="AA727" t="s">
        <v>14005</v>
      </c>
      <c r="AB727" t="s">
        <v>14006</v>
      </c>
      <c r="AC727" t="s">
        <v>14007</v>
      </c>
      <c r="AD727" t="s">
        <v>14008</v>
      </c>
      <c r="AE727" t="s">
        <v>14009</v>
      </c>
      <c r="AF727" t="s">
        <v>74</v>
      </c>
      <c r="AG727">
        <v>86</v>
      </c>
      <c r="AH727">
        <v>1</v>
      </c>
      <c r="AI727">
        <v>1</v>
      </c>
      <c r="AJ727">
        <v>3</v>
      </c>
      <c r="AK727">
        <v>3</v>
      </c>
      <c r="AL727" t="s">
        <v>369</v>
      </c>
      <c r="AM727" t="s">
        <v>370</v>
      </c>
      <c r="AN727" t="s">
        <v>371</v>
      </c>
      <c r="AO727" t="s">
        <v>74</v>
      </c>
      <c r="AP727" t="s">
        <v>720</v>
      </c>
      <c r="AQ727" t="s">
        <v>74</v>
      </c>
      <c r="AR727" t="s">
        <v>721</v>
      </c>
      <c r="AS727" t="s">
        <v>722</v>
      </c>
      <c r="AT727" t="s">
        <v>8990</v>
      </c>
      <c r="AU727">
        <v>2023</v>
      </c>
      <c r="AV727">
        <v>15</v>
      </c>
      <c r="AW727">
        <v>12</v>
      </c>
      <c r="AX727" t="s">
        <v>74</v>
      </c>
      <c r="AY727" t="s">
        <v>74</v>
      </c>
      <c r="AZ727" t="s">
        <v>74</v>
      </c>
      <c r="BA727" t="s">
        <v>74</v>
      </c>
      <c r="BB727" t="s">
        <v>74</v>
      </c>
      <c r="BC727" t="s">
        <v>74</v>
      </c>
      <c r="BD727">
        <v>3170</v>
      </c>
      <c r="BE727" t="s">
        <v>14010</v>
      </c>
      <c r="BF727" t="str">
        <f>HYPERLINK("http://dx.doi.org/10.3390/rs15123170","http://dx.doi.org/10.3390/rs15123170")</f>
        <v>http://dx.doi.org/10.3390/rs15123170</v>
      </c>
      <c r="BG727" t="s">
        <v>74</v>
      </c>
      <c r="BH727" t="s">
        <v>74</v>
      </c>
      <c r="BI727">
        <v>23</v>
      </c>
      <c r="BJ727" t="s">
        <v>724</v>
      </c>
      <c r="BK727" t="s">
        <v>104</v>
      </c>
      <c r="BL727" t="s">
        <v>725</v>
      </c>
      <c r="BM727" t="s">
        <v>14011</v>
      </c>
      <c r="BN727" t="s">
        <v>74</v>
      </c>
      <c r="BO727" t="s">
        <v>771</v>
      </c>
      <c r="BP727" t="s">
        <v>74</v>
      </c>
      <c r="BQ727" t="s">
        <v>74</v>
      </c>
      <c r="BR727" t="s">
        <v>107</v>
      </c>
      <c r="BS727" t="s">
        <v>14012</v>
      </c>
      <c r="BT727" t="str">
        <f>HYPERLINK("https%3A%2F%2Fwww.webofscience.com%2Fwos%2Fwoscc%2Ffull-record%2FWOS:001018308300001","View Full Record in Web of Science")</f>
        <v>View Full Record in Web of Science</v>
      </c>
    </row>
    <row r="728" spans="1:72" x14ac:dyDescent="0.15">
      <c r="A728" t="s">
        <v>72</v>
      </c>
      <c r="B728" t="s">
        <v>14013</v>
      </c>
      <c r="C728" t="s">
        <v>74</v>
      </c>
      <c r="D728" t="s">
        <v>74</v>
      </c>
      <c r="E728" t="s">
        <v>74</v>
      </c>
      <c r="F728" t="s">
        <v>14014</v>
      </c>
      <c r="G728" t="s">
        <v>74</v>
      </c>
      <c r="H728" t="s">
        <v>74</v>
      </c>
      <c r="I728" t="s">
        <v>14015</v>
      </c>
      <c r="J728" t="s">
        <v>14016</v>
      </c>
      <c r="K728" t="s">
        <v>74</v>
      </c>
      <c r="L728" t="s">
        <v>74</v>
      </c>
      <c r="M728" t="s">
        <v>78</v>
      </c>
      <c r="N728" t="s">
        <v>79</v>
      </c>
      <c r="O728" t="s">
        <v>74</v>
      </c>
      <c r="P728" t="s">
        <v>74</v>
      </c>
      <c r="Q728" t="s">
        <v>74</v>
      </c>
      <c r="R728" t="s">
        <v>74</v>
      </c>
      <c r="S728" t="s">
        <v>74</v>
      </c>
      <c r="T728" t="s">
        <v>14017</v>
      </c>
      <c r="U728" t="s">
        <v>14018</v>
      </c>
      <c r="V728" t="s">
        <v>14019</v>
      </c>
      <c r="W728" t="s">
        <v>14020</v>
      </c>
      <c r="X728" t="s">
        <v>14021</v>
      </c>
      <c r="Y728" t="s">
        <v>14022</v>
      </c>
      <c r="Z728" t="s">
        <v>14023</v>
      </c>
      <c r="AA728" t="s">
        <v>10141</v>
      </c>
      <c r="AB728" t="s">
        <v>14024</v>
      </c>
      <c r="AC728" t="s">
        <v>14025</v>
      </c>
      <c r="AD728" t="s">
        <v>14026</v>
      </c>
      <c r="AE728" t="s">
        <v>14027</v>
      </c>
      <c r="AF728" t="s">
        <v>74</v>
      </c>
      <c r="AG728">
        <v>47</v>
      </c>
      <c r="AH728">
        <v>0</v>
      </c>
      <c r="AI728">
        <v>0</v>
      </c>
      <c r="AJ728">
        <v>0</v>
      </c>
      <c r="AK728">
        <v>2</v>
      </c>
      <c r="AL728" t="s">
        <v>4830</v>
      </c>
      <c r="AM728" t="s">
        <v>299</v>
      </c>
      <c r="AN728" t="s">
        <v>4831</v>
      </c>
      <c r="AO728" t="s">
        <v>14028</v>
      </c>
      <c r="AP728" t="s">
        <v>14029</v>
      </c>
      <c r="AQ728" t="s">
        <v>74</v>
      </c>
      <c r="AR728" t="s">
        <v>14030</v>
      </c>
      <c r="AS728" t="s">
        <v>14031</v>
      </c>
      <c r="AT728" t="s">
        <v>8990</v>
      </c>
      <c r="AU728">
        <v>2023</v>
      </c>
      <c r="AV728">
        <v>57</v>
      </c>
      <c r="AW728">
        <v>3</v>
      </c>
      <c r="AX728" t="s">
        <v>74</v>
      </c>
      <c r="AY728" t="s">
        <v>74</v>
      </c>
      <c r="AZ728" t="s">
        <v>74</v>
      </c>
      <c r="BA728" t="s">
        <v>74</v>
      </c>
      <c r="BB728">
        <v>207</v>
      </c>
      <c r="BC728">
        <v>212</v>
      </c>
      <c r="BD728" t="s">
        <v>74</v>
      </c>
      <c r="BE728" t="s">
        <v>14032</v>
      </c>
      <c r="BF728" t="str">
        <f>HYPERLINK("http://dx.doi.org/10.3103/S0095452723030064","http://dx.doi.org/10.3103/S0095452723030064")</f>
        <v>http://dx.doi.org/10.3103/S0095452723030064</v>
      </c>
      <c r="BG728" t="s">
        <v>74</v>
      </c>
      <c r="BH728" t="s">
        <v>74</v>
      </c>
      <c r="BI728">
        <v>6</v>
      </c>
      <c r="BJ728" t="s">
        <v>9500</v>
      </c>
      <c r="BK728" t="s">
        <v>104</v>
      </c>
      <c r="BL728" t="s">
        <v>9500</v>
      </c>
      <c r="BM728" t="s">
        <v>14033</v>
      </c>
      <c r="BN728" t="s">
        <v>74</v>
      </c>
      <c r="BO728" t="s">
        <v>74</v>
      </c>
      <c r="BP728" t="s">
        <v>74</v>
      </c>
      <c r="BQ728" t="s">
        <v>74</v>
      </c>
      <c r="BR728" t="s">
        <v>107</v>
      </c>
      <c r="BS728" t="s">
        <v>14034</v>
      </c>
      <c r="BT728" t="str">
        <f>HYPERLINK("https%3A%2F%2Fwww.webofscience.com%2Fwos%2Fwoscc%2Ffull-record%2FWOS:001013381800001","View Full Record in Web of Science")</f>
        <v>View Full Record in Web of Science</v>
      </c>
    </row>
    <row r="729" spans="1:72" x14ac:dyDescent="0.15">
      <c r="A729" t="s">
        <v>72</v>
      </c>
      <c r="B729" t="s">
        <v>14035</v>
      </c>
      <c r="C729" t="s">
        <v>74</v>
      </c>
      <c r="D729" t="s">
        <v>74</v>
      </c>
      <c r="E729" t="s">
        <v>74</v>
      </c>
      <c r="F729" t="s">
        <v>14036</v>
      </c>
      <c r="G729" t="s">
        <v>74</v>
      </c>
      <c r="H729" t="s">
        <v>74</v>
      </c>
      <c r="I729" t="s">
        <v>14037</v>
      </c>
      <c r="J729" t="s">
        <v>5044</v>
      </c>
      <c r="K729" t="s">
        <v>74</v>
      </c>
      <c r="L729" t="s">
        <v>74</v>
      </c>
      <c r="M729" t="s">
        <v>78</v>
      </c>
      <c r="N729" t="s">
        <v>79</v>
      </c>
      <c r="O729" t="s">
        <v>74</v>
      </c>
      <c r="P729" t="s">
        <v>74</v>
      </c>
      <c r="Q729" t="s">
        <v>74</v>
      </c>
      <c r="R729" t="s">
        <v>74</v>
      </c>
      <c r="S729" t="s">
        <v>74</v>
      </c>
      <c r="T729" t="s">
        <v>14038</v>
      </c>
      <c r="U729" t="s">
        <v>74</v>
      </c>
      <c r="V729" t="s">
        <v>14039</v>
      </c>
      <c r="W729" t="s">
        <v>14040</v>
      </c>
      <c r="X729" t="s">
        <v>14041</v>
      </c>
      <c r="Y729" t="s">
        <v>14042</v>
      </c>
      <c r="Z729" t="s">
        <v>14043</v>
      </c>
      <c r="AA729" t="s">
        <v>74</v>
      </c>
      <c r="AB729" t="s">
        <v>74</v>
      </c>
      <c r="AC729" t="s">
        <v>74</v>
      </c>
      <c r="AD729" t="s">
        <v>74</v>
      </c>
      <c r="AE729" t="s">
        <v>74</v>
      </c>
      <c r="AF729" t="s">
        <v>74</v>
      </c>
      <c r="AG729">
        <v>27</v>
      </c>
      <c r="AH729">
        <v>0</v>
      </c>
      <c r="AI729">
        <v>0</v>
      </c>
      <c r="AJ729">
        <v>1</v>
      </c>
      <c r="AK729">
        <v>1</v>
      </c>
      <c r="AL729" t="s">
        <v>4830</v>
      </c>
      <c r="AM729" t="s">
        <v>299</v>
      </c>
      <c r="AN729" t="s">
        <v>4831</v>
      </c>
      <c r="AO729" t="s">
        <v>5056</v>
      </c>
      <c r="AP729" t="s">
        <v>5057</v>
      </c>
      <c r="AQ729" t="s">
        <v>74</v>
      </c>
      <c r="AR729" t="s">
        <v>5058</v>
      </c>
      <c r="AS729" t="s">
        <v>5059</v>
      </c>
      <c r="AT729" t="s">
        <v>8990</v>
      </c>
      <c r="AU729">
        <v>2023</v>
      </c>
      <c r="AV729">
        <v>63</v>
      </c>
      <c r="AW729">
        <v>3</v>
      </c>
      <c r="AX729" t="s">
        <v>74</v>
      </c>
      <c r="AY729" t="s">
        <v>74</v>
      </c>
      <c r="AZ729" t="s">
        <v>74</v>
      </c>
      <c r="BA729" t="s">
        <v>74</v>
      </c>
      <c r="BB729">
        <v>299</v>
      </c>
      <c r="BC729">
        <v>313</v>
      </c>
      <c r="BD729" t="s">
        <v>74</v>
      </c>
      <c r="BE729" t="s">
        <v>14044</v>
      </c>
      <c r="BF729" t="str">
        <f>HYPERLINK("http://dx.doi.org/10.1134/S000143702302008X","http://dx.doi.org/10.1134/S000143702302008X")</f>
        <v>http://dx.doi.org/10.1134/S000143702302008X</v>
      </c>
      <c r="BG729" t="s">
        <v>74</v>
      </c>
      <c r="BH729" t="s">
        <v>74</v>
      </c>
      <c r="BI729">
        <v>15</v>
      </c>
      <c r="BJ729" t="s">
        <v>306</v>
      </c>
      <c r="BK729" t="s">
        <v>104</v>
      </c>
      <c r="BL729" t="s">
        <v>306</v>
      </c>
      <c r="BM729" t="s">
        <v>14045</v>
      </c>
      <c r="BN729" t="s">
        <v>74</v>
      </c>
      <c r="BO729" t="s">
        <v>74</v>
      </c>
      <c r="BP729" t="s">
        <v>74</v>
      </c>
      <c r="BQ729" t="s">
        <v>74</v>
      </c>
      <c r="BR729" t="s">
        <v>107</v>
      </c>
      <c r="BS729" t="s">
        <v>14046</v>
      </c>
      <c r="BT729" t="str">
        <f>HYPERLINK("https%3A%2F%2Fwww.webofscience.com%2Fwos%2Fwoscc%2Ffull-record%2FWOS:001025608400001","View Full Record in Web of Science")</f>
        <v>View Full Record in Web of Science</v>
      </c>
    </row>
    <row r="730" spans="1:72" x14ac:dyDescent="0.15">
      <c r="A730" t="s">
        <v>72</v>
      </c>
      <c r="B730" t="s">
        <v>14047</v>
      </c>
      <c r="C730" t="s">
        <v>74</v>
      </c>
      <c r="D730" t="s">
        <v>74</v>
      </c>
      <c r="E730" t="s">
        <v>74</v>
      </c>
      <c r="F730" t="s">
        <v>14048</v>
      </c>
      <c r="G730" t="s">
        <v>74</v>
      </c>
      <c r="H730" t="s">
        <v>74</v>
      </c>
      <c r="I730" t="s">
        <v>14049</v>
      </c>
      <c r="J730" t="s">
        <v>5044</v>
      </c>
      <c r="K730" t="s">
        <v>74</v>
      </c>
      <c r="L730" t="s">
        <v>74</v>
      </c>
      <c r="M730" t="s">
        <v>78</v>
      </c>
      <c r="N730" t="s">
        <v>79</v>
      </c>
      <c r="O730" t="s">
        <v>74</v>
      </c>
      <c r="P730" t="s">
        <v>74</v>
      </c>
      <c r="Q730" t="s">
        <v>74</v>
      </c>
      <c r="R730" t="s">
        <v>74</v>
      </c>
      <c r="S730" t="s">
        <v>74</v>
      </c>
      <c r="T730" t="s">
        <v>14050</v>
      </c>
      <c r="U730" t="s">
        <v>14051</v>
      </c>
      <c r="V730" t="s">
        <v>14052</v>
      </c>
      <c r="W730" t="s">
        <v>14053</v>
      </c>
      <c r="X730" t="s">
        <v>14054</v>
      </c>
      <c r="Y730" t="s">
        <v>14055</v>
      </c>
      <c r="Z730" t="s">
        <v>14056</v>
      </c>
      <c r="AA730" t="s">
        <v>74</v>
      </c>
      <c r="AB730" t="s">
        <v>74</v>
      </c>
      <c r="AC730" t="s">
        <v>14057</v>
      </c>
      <c r="AD730" t="s">
        <v>2603</v>
      </c>
      <c r="AE730" t="s">
        <v>14058</v>
      </c>
      <c r="AF730" t="s">
        <v>74</v>
      </c>
      <c r="AG730">
        <v>19</v>
      </c>
      <c r="AH730">
        <v>0</v>
      </c>
      <c r="AI730">
        <v>0</v>
      </c>
      <c r="AJ730">
        <v>1</v>
      </c>
      <c r="AK730">
        <v>1</v>
      </c>
      <c r="AL730" t="s">
        <v>4830</v>
      </c>
      <c r="AM730" t="s">
        <v>299</v>
      </c>
      <c r="AN730" t="s">
        <v>4831</v>
      </c>
      <c r="AO730" t="s">
        <v>5056</v>
      </c>
      <c r="AP730" t="s">
        <v>5057</v>
      </c>
      <c r="AQ730" t="s">
        <v>74</v>
      </c>
      <c r="AR730" t="s">
        <v>5058</v>
      </c>
      <c r="AS730" t="s">
        <v>5059</v>
      </c>
      <c r="AT730" t="s">
        <v>8990</v>
      </c>
      <c r="AU730">
        <v>2023</v>
      </c>
      <c r="AV730">
        <v>63</v>
      </c>
      <c r="AW730">
        <v>3</v>
      </c>
      <c r="AX730" t="s">
        <v>74</v>
      </c>
      <c r="AY730" t="s">
        <v>74</v>
      </c>
      <c r="AZ730" t="s">
        <v>74</v>
      </c>
      <c r="BA730" t="s">
        <v>74</v>
      </c>
      <c r="BB730">
        <v>419</v>
      </c>
      <c r="BC730">
        <v>427</v>
      </c>
      <c r="BD730" t="s">
        <v>74</v>
      </c>
      <c r="BE730" t="s">
        <v>14059</v>
      </c>
      <c r="BF730" t="str">
        <f>HYPERLINK("http://dx.doi.org/10.1134/S0001437023030049","http://dx.doi.org/10.1134/S0001437023030049")</f>
        <v>http://dx.doi.org/10.1134/S0001437023030049</v>
      </c>
      <c r="BG730" t="s">
        <v>74</v>
      </c>
      <c r="BH730" t="s">
        <v>74</v>
      </c>
      <c r="BI730">
        <v>9</v>
      </c>
      <c r="BJ730" t="s">
        <v>306</v>
      </c>
      <c r="BK730" t="s">
        <v>104</v>
      </c>
      <c r="BL730" t="s">
        <v>306</v>
      </c>
      <c r="BM730" t="s">
        <v>14045</v>
      </c>
      <c r="BN730" t="s">
        <v>74</v>
      </c>
      <c r="BO730" t="s">
        <v>74</v>
      </c>
      <c r="BP730" t="s">
        <v>74</v>
      </c>
      <c r="BQ730" t="s">
        <v>74</v>
      </c>
      <c r="BR730" t="s">
        <v>107</v>
      </c>
      <c r="BS730" t="s">
        <v>14060</v>
      </c>
      <c r="BT730" t="str">
        <f>HYPERLINK("https%3A%2F%2Fwww.webofscience.com%2Fwos%2Fwoscc%2Ffull-record%2FWOS:001025608400013","View Full Record in Web of Science")</f>
        <v>View Full Record in Web of Science</v>
      </c>
    </row>
    <row r="731" spans="1:72" x14ac:dyDescent="0.15">
      <c r="A731" t="s">
        <v>72</v>
      </c>
      <c r="B731" t="s">
        <v>14061</v>
      </c>
      <c r="C731" t="s">
        <v>74</v>
      </c>
      <c r="D731" t="s">
        <v>74</v>
      </c>
      <c r="E731" t="s">
        <v>74</v>
      </c>
      <c r="F731" t="s">
        <v>14062</v>
      </c>
      <c r="G731" t="s">
        <v>74</v>
      </c>
      <c r="H731" t="s">
        <v>74</v>
      </c>
      <c r="I731" t="s">
        <v>14063</v>
      </c>
      <c r="J731" t="s">
        <v>5309</v>
      </c>
      <c r="K731" t="s">
        <v>74</v>
      </c>
      <c r="L731" t="s">
        <v>74</v>
      </c>
      <c r="M731" t="s">
        <v>78</v>
      </c>
      <c r="N731" t="s">
        <v>79</v>
      </c>
      <c r="O731" t="s">
        <v>74</v>
      </c>
      <c r="P731" t="s">
        <v>74</v>
      </c>
      <c r="Q731" t="s">
        <v>74</v>
      </c>
      <c r="R731" t="s">
        <v>74</v>
      </c>
      <c r="S731" t="s">
        <v>74</v>
      </c>
      <c r="T731" t="s">
        <v>14064</v>
      </c>
      <c r="U731" t="s">
        <v>74</v>
      </c>
      <c r="V731" t="s">
        <v>14065</v>
      </c>
      <c r="W731" t="s">
        <v>14066</v>
      </c>
      <c r="X731" t="s">
        <v>14067</v>
      </c>
      <c r="Y731" t="s">
        <v>14068</v>
      </c>
      <c r="Z731" t="s">
        <v>14069</v>
      </c>
      <c r="AA731" t="s">
        <v>74</v>
      </c>
      <c r="AB731" t="s">
        <v>74</v>
      </c>
      <c r="AC731" t="s">
        <v>74</v>
      </c>
      <c r="AD731" t="s">
        <v>74</v>
      </c>
      <c r="AE731" t="s">
        <v>74</v>
      </c>
      <c r="AF731" t="s">
        <v>74</v>
      </c>
      <c r="AG731">
        <v>27</v>
      </c>
      <c r="AH731">
        <v>0</v>
      </c>
      <c r="AI731">
        <v>0</v>
      </c>
      <c r="AJ731">
        <v>0</v>
      </c>
      <c r="AK731">
        <v>0</v>
      </c>
      <c r="AL731" t="s">
        <v>369</v>
      </c>
      <c r="AM731" t="s">
        <v>370</v>
      </c>
      <c r="AN731" t="s">
        <v>371</v>
      </c>
      <c r="AO731" t="s">
        <v>74</v>
      </c>
      <c r="AP731" t="s">
        <v>5316</v>
      </c>
      <c r="AQ731" t="s">
        <v>74</v>
      </c>
      <c r="AR731" t="s">
        <v>5309</v>
      </c>
      <c r="AS731" t="s">
        <v>5317</v>
      </c>
      <c r="AT731" t="s">
        <v>8990</v>
      </c>
      <c r="AU731">
        <v>2023</v>
      </c>
      <c r="AV731">
        <v>13</v>
      </c>
      <c r="AW731">
        <v>6</v>
      </c>
      <c r="AX731" t="s">
        <v>74</v>
      </c>
      <c r="AY731" t="s">
        <v>74</v>
      </c>
      <c r="AZ731" t="s">
        <v>74</v>
      </c>
      <c r="BA731" t="s">
        <v>74</v>
      </c>
      <c r="BB731" t="s">
        <v>74</v>
      </c>
      <c r="BC731" t="s">
        <v>74</v>
      </c>
      <c r="BD731">
        <v>177</v>
      </c>
      <c r="BE731" t="s">
        <v>14070</v>
      </c>
      <c r="BF731" t="str">
        <f>HYPERLINK("http://dx.doi.org/10.3390/geosciences13060177","http://dx.doi.org/10.3390/geosciences13060177")</f>
        <v>http://dx.doi.org/10.3390/geosciences13060177</v>
      </c>
      <c r="BG731" t="s">
        <v>74</v>
      </c>
      <c r="BH731" t="s">
        <v>74</v>
      </c>
      <c r="BI731">
        <v>17</v>
      </c>
      <c r="BJ731" t="s">
        <v>155</v>
      </c>
      <c r="BK731" t="s">
        <v>518</v>
      </c>
      <c r="BL731" t="s">
        <v>156</v>
      </c>
      <c r="BM731" t="s">
        <v>14071</v>
      </c>
      <c r="BN731" t="s">
        <v>74</v>
      </c>
      <c r="BO731" t="s">
        <v>206</v>
      </c>
      <c r="BP731" t="s">
        <v>74</v>
      </c>
      <c r="BQ731" t="s">
        <v>74</v>
      </c>
      <c r="BR731" t="s">
        <v>107</v>
      </c>
      <c r="BS731" t="s">
        <v>14072</v>
      </c>
      <c r="BT731" t="str">
        <f>HYPERLINK("https%3A%2F%2Fwww.webofscience.com%2Fwos%2Fwoscc%2Ffull-record%2FWOS:001015023500001","View Full Record in Web of Science")</f>
        <v>View Full Record in Web of Science</v>
      </c>
    </row>
    <row r="732" spans="1:72" x14ac:dyDescent="0.15">
      <c r="A732" t="s">
        <v>72</v>
      </c>
      <c r="B732" t="s">
        <v>14073</v>
      </c>
      <c r="C732" t="s">
        <v>74</v>
      </c>
      <c r="D732" t="s">
        <v>74</v>
      </c>
      <c r="E732" t="s">
        <v>74</v>
      </c>
      <c r="F732" t="s">
        <v>14074</v>
      </c>
      <c r="G732" t="s">
        <v>74</v>
      </c>
      <c r="H732" t="s">
        <v>74</v>
      </c>
      <c r="I732" t="s">
        <v>14075</v>
      </c>
      <c r="J732" t="s">
        <v>9046</v>
      </c>
      <c r="K732" t="s">
        <v>74</v>
      </c>
      <c r="L732" t="s">
        <v>74</v>
      </c>
      <c r="M732" t="s">
        <v>78</v>
      </c>
      <c r="N732" t="s">
        <v>79</v>
      </c>
      <c r="O732" t="s">
        <v>74</v>
      </c>
      <c r="P732" t="s">
        <v>74</v>
      </c>
      <c r="Q732" t="s">
        <v>74</v>
      </c>
      <c r="R732" t="s">
        <v>74</v>
      </c>
      <c r="S732" t="s">
        <v>74</v>
      </c>
      <c r="T732" t="s">
        <v>14076</v>
      </c>
      <c r="U732" t="s">
        <v>14077</v>
      </c>
      <c r="V732" t="s">
        <v>14078</v>
      </c>
      <c r="W732" t="s">
        <v>14079</v>
      </c>
      <c r="X732" t="s">
        <v>14080</v>
      </c>
      <c r="Y732" t="s">
        <v>14081</v>
      </c>
      <c r="Z732" t="s">
        <v>14082</v>
      </c>
      <c r="AA732" t="s">
        <v>14083</v>
      </c>
      <c r="AB732" t="s">
        <v>14084</v>
      </c>
      <c r="AC732" t="s">
        <v>14085</v>
      </c>
      <c r="AD732" t="s">
        <v>14086</v>
      </c>
      <c r="AE732" t="s">
        <v>14087</v>
      </c>
      <c r="AF732" t="s">
        <v>74</v>
      </c>
      <c r="AG732">
        <v>88</v>
      </c>
      <c r="AH732">
        <v>3</v>
      </c>
      <c r="AI732">
        <v>3</v>
      </c>
      <c r="AJ732">
        <v>2</v>
      </c>
      <c r="AK732">
        <v>6</v>
      </c>
      <c r="AL732" t="s">
        <v>9059</v>
      </c>
      <c r="AM732" t="s">
        <v>1804</v>
      </c>
      <c r="AN732" t="s">
        <v>9060</v>
      </c>
      <c r="AO732" t="s">
        <v>9061</v>
      </c>
      <c r="AP732" t="s">
        <v>9062</v>
      </c>
      <c r="AQ732" t="s">
        <v>74</v>
      </c>
      <c r="AR732" t="s">
        <v>9063</v>
      </c>
      <c r="AS732" t="s">
        <v>9064</v>
      </c>
      <c r="AT732" t="s">
        <v>8990</v>
      </c>
      <c r="AU732">
        <v>2023</v>
      </c>
      <c r="AV732">
        <v>226</v>
      </c>
      <c r="AW732">
        <v>11</v>
      </c>
      <c r="AX732" t="s">
        <v>74</v>
      </c>
      <c r="AY732" t="s">
        <v>74</v>
      </c>
      <c r="AZ732" t="s">
        <v>74</v>
      </c>
      <c r="BA732" t="s">
        <v>74</v>
      </c>
      <c r="BB732" t="s">
        <v>74</v>
      </c>
      <c r="BC732" t="s">
        <v>74</v>
      </c>
      <c r="BD732" t="s">
        <v>14088</v>
      </c>
      <c r="BE732" t="s">
        <v>14089</v>
      </c>
      <c r="BF732" t="str">
        <f>HYPERLINK("http://dx.doi.org/10.1242/jeb.245097","http://dx.doi.org/10.1242/jeb.245097")</f>
        <v>http://dx.doi.org/10.1242/jeb.245097</v>
      </c>
      <c r="BG732" t="s">
        <v>74</v>
      </c>
      <c r="BH732" t="s">
        <v>74</v>
      </c>
      <c r="BI732">
        <v>11</v>
      </c>
      <c r="BJ732" t="s">
        <v>1045</v>
      </c>
      <c r="BK732" t="s">
        <v>104</v>
      </c>
      <c r="BL732" t="s">
        <v>1046</v>
      </c>
      <c r="BM732" t="s">
        <v>14090</v>
      </c>
      <c r="BN732" t="s">
        <v>74</v>
      </c>
      <c r="BO732" t="s">
        <v>133</v>
      </c>
      <c r="BP732" t="s">
        <v>74</v>
      </c>
      <c r="BQ732" t="s">
        <v>74</v>
      </c>
      <c r="BR732" t="s">
        <v>107</v>
      </c>
      <c r="BS732" t="s">
        <v>14091</v>
      </c>
      <c r="BT732" t="str">
        <f>HYPERLINK("https%3A%2F%2Fwww.webofscience.com%2Fwos%2Fwoscc%2Ffull-record%2FWOS:001018280800007","View Full Record in Web of Science")</f>
        <v>View Full Record in Web of Science</v>
      </c>
    </row>
    <row r="733" spans="1:72" x14ac:dyDescent="0.15">
      <c r="A733" t="s">
        <v>72</v>
      </c>
      <c r="B733" t="s">
        <v>14092</v>
      </c>
      <c r="C733" t="s">
        <v>74</v>
      </c>
      <c r="D733" t="s">
        <v>74</v>
      </c>
      <c r="E733" t="s">
        <v>74</v>
      </c>
      <c r="F733" t="s">
        <v>14093</v>
      </c>
      <c r="G733" t="s">
        <v>74</v>
      </c>
      <c r="H733" t="s">
        <v>74</v>
      </c>
      <c r="I733" t="s">
        <v>14094</v>
      </c>
      <c r="J733" t="s">
        <v>687</v>
      </c>
      <c r="K733" t="s">
        <v>74</v>
      </c>
      <c r="L733" t="s">
        <v>74</v>
      </c>
      <c r="M733" t="s">
        <v>78</v>
      </c>
      <c r="N733" t="s">
        <v>79</v>
      </c>
      <c r="O733" t="s">
        <v>74</v>
      </c>
      <c r="P733" t="s">
        <v>74</v>
      </c>
      <c r="Q733" t="s">
        <v>74</v>
      </c>
      <c r="R733" t="s">
        <v>74</v>
      </c>
      <c r="S733" t="s">
        <v>74</v>
      </c>
      <c r="T733" t="s">
        <v>14095</v>
      </c>
      <c r="U733" t="s">
        <v>14096</v>
      </c>
      <c r="V733" t="s">
        <v>14097</v>
      </c>
      <c r="W733" t="s">
        <v>14098</v>
      </c>
      <c r="X733" t="s">
        <v>14099</v>
      </c>
      <c r="Y733" t="s">
        <v>14100</v>
      </c>
      <c r="Z733" t="s">
        <v>14101</v>
      </c>
      <c r="AA733" t="s">
        <v>14102</v>
      </c>
      <c r="AB733" t="s">
        <v>14103</v>
      </c>
      <c r="AC733" t="s">
        <v>74</v>
      </c>
      <c r="AD733" t="s">
        <v>74</v>
      </c>
      <c r="AE733" t="s">
        <v>74</v>
      </c>
      <c r="AF733" t="s">
        <v>74</v>
      </c>
      <c r="AG733">
        <v>54</v>
      </c>
      <c r="AH733">
        <v>0</v>
      </c>
      <c r="AI733">
        <v>0</v>
      </c>
      <c r="AJ733">
        <v>7</v>
      </c>
      <c r="AK733">
        <v>11</v>
      </c>
      <c r="AL733" t="s">
        <v>369</v>
      </c>
      <c r="AM733" t="s">
        <v>370</v>
      </c>
      <c r="AN733" t="s">
        <v>371</v>
      </c>
      <c r="AO733" t="s">
        <v>74</v>
      </c>
      <c r="AP733" t="s">
        <v>699</v>
      </c>
      <c r="AQ733" t="s">
        <v>74</v>
      </c>
      <c r="AR733" t="s">
        <v>687</v>
      </c>
      <c r="AS733" t="s">
        <v>700</v>
      </c>
      <c r="AT733" t="s">
        <v>8990</v>
      </c>
      <c r="AU733">
        <v>2023</v>
      </c>
      <c r="AV733">
        <v>11</v>
      </c>
      <c r="AW733">
        <v>6</v>
      </c>
      <c r="AX733" t="s">
        <v>74</v>
      </c>
      <c r="AY733" t="s">
        <v>74</v>
      </c>
      <c r="AZ733" t="s">
        <v>74</v>
      </c>
      <c r="BA733" t="s">
        <v>74</v>
      </c>
      <c r="BB733" t="s">
        <v>74</v>
      </c>
      <c r="BC733" t="s">
        <v>74</v>
      </c>
      <c r="BD733">
        <v>1566</v>
      </c>
      <c r="BE733" t="s">
        <v>14104</v>
      </c>
      <c r="BF733" t="str">
        <f>HYPERLINK("http://dx.doi.org/10.3390/microorganisms11061566","http://dx.doi.org/10.3390/microorganisms11061566")</f>
        <v>http://dx.doi.org/10.3390/microorganisms11061566</v>
      </c>
      <c r="BG733" t="s">
        <v>74</v>
      </c>
      <c r="BH733" t="s">
        <v>74</v>
      </c>
      <c r="BI733">
        <v>16</v>
      </c>
      <c r="BJ733" t="s">
        <v>702</v>
      </c>
      <c r="BK733" t="s">
        <v>104</v>
      </c>
      <c r="BL733" t="s">
        <v>702</v>
      </c>
      <c r="BM733" t="s">
        <v>14105</v>
      </c>
      <c r="BN733">
        <v>37375068</v>
      </c>
      <c r="BO733" t="s">
        <v>181</v>
      </c>
      <c r="BP733" t="s">
        <v>74</v>
      </c>
      <c r="BQ733" t="s">
        <v>74</v>
      </c>
      <c r="BR733" t="s">
        <v>107</v>
      </c>
      <c r="BS733" t="s">
        <v>14106</v>
      </c>
      <c r="BT733" t="str">
        <f>HYPERLINK("https%3A%2F%2Fwww.webofscience.com%2Fwos%2Fwoscc%2Ffull-record%2FWOS:001014678700001","View Full Record in Web of Science")</f>
        <v>View Full Record in Web of Science</v>
      </c>
    </row>
    <row r="734" spans="1:72" x14ac:dyDescent="0.15">
      <c r="A734" t="s">
        <v>72</v>
      </c>
      <c r="B734" t="s">
        <v>14107</v>
      </c>
      <c r="C734" t="s">
        <v>74</v>
      </c>
      <c r="D734" t="s">
        <v>74</v>
      </c>
      <c r="E734" t="s">
        <v>74</v>
      </c>
      <c r="F734" t="s">
        <v>14108</v>
      </c>
      <c r="G734" t="s">
        <v>74</v>
      </c>
      <c r="H734" t="s">
        <v>74</v>
      </c>
      <c r="I734" t="s">
        <v>14109</v>
      </c>
      <c r="J734" t="s">
        <v>1008</v>
      </c>
      <c r="K734" t="s">
        <v>74</v>
      </c>
      <c r="L734" t="s">
        <v>74</v>
      </c>
      <c r="M734" t="s">
        <v>78</v>
      </c>
      <c r="N734" t="s">
        <v>79</v>
      </c>
      <c r="O734" t="s">
        <v>74</v>
      </c>
      <c r="P734" t="s">
        <v>74</v>
      </c>
      <c r="Q734" t="s">
        <v>74</v>
      </c>
      <c r="R734" t="s">
        <v>74</v>
      </c>
      <c r="S734" t="s">
        <v>74</v>
      </c>
      <c r="T734" t="s">
        <v>14110</v>
      </c>
      <c r="U734" t="s">
        <v>14111</v>
      </c>
      <c r="V734" t="s">
        <v>14112</v>
      </c>
      <c r="W734" t="s">
        <v>14113</v>
      </c>
      <c r="X734" t="s">
        <v>14114</v>
      </c>
      <c r="Y734" t="s">
        <v>14115</v>
      </c>
      <c r="Z734" t="s">
        <v>14116</v>
      </c>
      <c r="AA734" t="s">
        <v>14117</v>
      </c>
      <c r="AB734" t="s">
        <v>14118</v>
      </c>
      <c r="AC734" t="s">
        <v>14119</v>
      </c>
      <c r="AD734" t="s">
        <v>14120</v>
      </c>
      <c r="AE734" t="s">
        <v>14121</v>
      </c>
      <c r="AF734" t="s">
        <v>74</v>
      </c>
      <c r="AG734">
        <v>32</v>
      </c>
      <c r="AH734">
        <v>2</v>
      </c>
      <c r="AI734">
        <v>2</v>
      </c>
      <c r="AJ734">
        <v>1</v>
      </c>
      <c r="AK734">
        <v>2</v>
      </c>
      <c r="AL734" t="s">
        <v>588</v>
      </c>
      <c r="AM734" t="s">
        <v>589</v>
      </c>
      <c r="AN734" t="s">
        <v>590</v>
      </c>
      <c r="AO734" t="s">
        <v>1020</v>
      </c>
      <c r="AP734" t="s">
        <v>1021</v>
      </c>
      <c r="AQ734" t="s">
        <v>74</v>
      </c>
      <c r="AR734" t="s">
        <v>1022</v>
      </c>
      <c r="AS734" t="s">
        <v>1023</v>
      </c>
      <c r="AT734" t="s">
        <v>8990</v>
      </c>
      <c r="AU734">
        <v>2023</v>
      </c>
      <c r="AV734">
        <v>128</v>
      </c>
      <c r="AW734">
        <v>6</v>
      </c>
      <c r="AX734" t="s">
        <v>74</v>
      </c>
      <c r="AY734" t="s">
        <v>74</v>
      </c>
      <c r="AZ734" t="s">
        <v>74</v>
      </c>
      <c r="BA734" t="s">
        <v>74</v>
      </c>
      <c r="BB734" t="s">
        <v>74</v>
      </c>
      <c r="BC734" t="s">
        <v>74</v>
      </c>
      <c r="BD734" t="s">
        <v>14122</v>
      </c>
      <c r="BE734" t="s">
        <v>14123</v>
      </c>
      <c r="BF734" t="str">
        <f>HYPERLINK("http://dx.doi.org/10.1029/2023JC019893","http://dx.doi.org/10.1029/2023JC019893")</f>
        <v>http://dx.doi.org/10.1029/2023JC019893</v>
      </c>
      <c r="BG734" t="s">
        <v>74</v>
      </c>
      <c r="BH734" t="s">
        <v>74</v>
      </c>
      <c r="BI734">
        <v>11</v>
      </c>
      <c r="BJ734" t="s">
        <v>306</v>
      </c>
      <c r="BK734" t="s">
        <v>104</v>
      </c>
      <c r="BL734" t="s">
        <v>306</v>
      </c>
      <c r="BM734" t="s">
        <v>14124</v>
      </c>
      <c r="BN734" t="s">
        <v>74</v>
      </c>
      <c r="BO734" t="s">
        <v>14125</v>
      </c>
      <c r="BP734" t="s">
        <v>74</v>
      </c>
      <c r="BQ734" t="s">
        <v>74</v>
      </c>
      <c r="BR734" t="s">
        <v>107</v>
      </c>
      <c r="BS734" t="s">
        <v>14126</v>
      </c>
      <c r="BT734" t="str">
        <f>HYPERLINK("https%3A%2F%2Fwww.webofscience.com%2Fwos%2Fwoscc%2Ffull-record%2FWOS:001011923600001","View Full Record in Web of Science")</f>
        <v>View Full Record in Web of Science</v>
      </c>
    </row>
    <row r="735" spans="1:72" x14ac:dyDescent="0.15">
      <c r="A735" t="s">
        <v>72</v>
      </c>
      <c r="B735" t="s">
        <v>14127</v>
      </c>
      <c r="C735" t="s">
        <v>74</v>
      </c>
      <c r="D735" t="s">
        <v>74</v>
      </c>
      <c r="E735" t="s">
        <v>74</v>
      </c>
      <c r="F735" t="s">
        <v>14128</v>
      </c>
      <c r="G735" t="s">
        <v>74</v>
      </c>
      <c r="H735" t="s">
        <v>74</v>
      </c>
      <c r="I735" t="s">
        <v>14129</v>
      </c>
      <c r="J735" t="s">
        <v>1008</v>
      </c>
      <c r="K735" t="s">
        <v>74</v>
      </c>
      <c r="L735" t="s">
        <v>74</v>
      </c>
      <c r="M735" t="s">
        <v>78</v>
      </c>
      <c r="N735" t="s">
        <v>79</v>
      </c>
      <c r="O735" t="s">
        <v>74</v>
      </c>
      <c r="P735" t="s">
        <v>74</v>
      </c>
      <c r="Q735" t="s">
        <v>74</v>
      </c>
      <c r="R735" t="s">
        <v>74</v>
      </c>
      <c r="S735" t="s">
        <v>74</v>
      </c>
      <c r="T735" t="s">
        <v>14130</v>
      </c>
      <c r="U735" t="s">
        <v>14131</v>
      </c>
      <c r="V735" t="s">
        <v>14132</v>
      </c>
      <c r="W735" t="s">
        <v>14133</v>
      </c>
      <c r="X735" t="s">
        <v>14134</v>
      </c>
      <c r="Y735" t="s">
        <v>14135</v>
      </c>
      <c r="Z735" t="s">
        <v>14136</v>
      </c>
      <c r="AA735" t="s">
        <v>14137</v>
      </c>
      <c r="AB735" t="s">
        <v>14138</v>
      </c>
      <c r="AC735" t="s">
        <v>14139</v>
      </c>
      <c r="AD735" t="s">
        <v>14140</v>
      </c>
      <c r="AE735" t="s">
        <v>14141</v>
      </c>
      <c r="AF735" t="s">
        <v>74</v>
      </c>
      <c r="AG735">
        <v>64</v>
      </c>
      <c r="AH735">
        <v>5</v>
      </c>
      <c r="AI735">
        <v>5</v>
      </c>
      <c r="AJ735">
        <v>2</v>
      </c>
      <c r="AK735">
        <v>4</v>
      </c>
      <c r="AL735" t="s">
        <v>588</v>
      </c>
      <c r="AM735" t="s">
        <v>589</v>
      </c>
      <c r="AN735" t="s">
        <v>590</v>
      </c>
      <c r="AO735" t="s">
        <v>1020</v>
      </c>
      <c r="AP735" t="s">
        <v>1021</v>
      </c>
      <c r="AQ735" t="s">
        <v>74</v>
      </c>
      <c r="AR735" t="s">
        <v>1022</v>
      </c>
      <c r="AS735" t="s">
        <v>1023</v>
      </c>
      <c r="AT735" t="s">
        <v>8990</v>
      </c>
      <c r="AU735">
        <v>2023</v>
      </c>
      <c r="AV735">
        <v>128</v>
      </c>
      <c r="AW735">
        <v>6</v>
      </c>
      <c r="AX735" t="s">
        <v>74</v>
      </c>
      <c r="AY735" t="s">
        <v>74</v>
      </c>
      <c r="AZ735" t="s">
        <v>74</v>
      </c>
      <c r="BA735" t="s">
        <v>74</v>
      </c>
      <c r="BB735" t="s">
        <v>74</v>
      </c>
      <c r="BC735" t="s">
        <v>74</v>
      </c>
      <c r="BD735" t="s">
        <v>14142</v>
      </c>
      <c r="BE735" t="s">
        <v>14143</v>
      </c>
      <c r="BF735" t="str">
        <f>HYPERLINK("http://dx.doi.org/10.1029/2023JC019774","http://dx.doi.org/10.1029/2023JC019774")</f>
        <v>http://dx.doi.org/10.1029/2023JC019774</v>
      </c>
      <c r="BG735" t="s">
        <v>74</v>
      </c>
      <c r="BH735" t="s">
        <v>74</v>
      </c>
      <c r="BI735">
        <v>18</v>
      </c>
      <c r="BJ735" t="s">
        <v>306</v>
      </c>
      <c r="BK735" t="s">
        <v>104</v>
      </c>
      <c r="BL735" t="s">
        <v>306</v>
      </c>
      <c r="BM735" t="s">
        <v>14144</v>
      </c>
      <c r="BN735" t="s">
        <v>74</v>
      </c>
      <c r="BO735" t="s">
        <v>5629</v>
      </c>
      <c r="BP735" t="s">
        <v>74</v>
      </c>
      <c r="BQ735" t="s">
        <v>74</v>
      </c>
      <c r="BR735" t="s">
        <v>107</v>
      </c>
      <c r="BS735" t="s">
        <v>14145</v>
      </c>
      <c r="BT735" t="str">
        <f>HYPERLINK("https%3A%2F%2Fwww.webofscience.com%2Fwos%2Fwoscc%2Ffull-record%2FWOS:001022750800001","View Full Record in Web of Science")</f>
        <v>View Full Record in Web of Science</v>
      </c>
    </row>
    <row r="736" spans="1:72" x14ac:dyDescent="0.15">
      <c r="A736" t="s">
        <v>72</v>
      </c>
      <c r="B736" t="s">
        <v>14146</v>
      </c>
      <c r="C736" t="s">
        <v>74</v>
      </c>
      <c r="D736" t="s">
        <v>74</v>
      </c>
      <c r="E736" t="s">
        <v>74</v>
      </c>
      <c r="F736" t="s">
        <v>14147</v>
      </c>
      <c r="G736" t="s">
        <v>74</v>
      </c>
      <c r="H736" t="s">
        <v>74</v>
      </c>
      <c r="I736" t="s">
        <v>14148</v>
      </c>
      <c r="J736" t="s">
        <v>1358</v>
      </c>
      <c r="K736" t="s">
        <v>74</v>
      </c>
      <c r="L736" t="s">
        <v>74</v>
      </c>
      <c r="M736" t="s">
        <v>78</v>
      </c>
      <c r="N736" t="s">
        <v>79</v>
      </c>
      <c r="O736" t="s">
        <v>74</v>
      </c>
      <c r="P736" t="s">
        <v>74</v>
      </c>
      <c r="Q736" t="s">
        <v>74</v>
      </c>
      <c r="R736" t="s">
        <v>74</v>
      </c>
      <c r="S736" t="s">
        <v>74</v>
      </c>
      <c r="T736" t="s">
        <v>14149</v>
      </c>
      <c r="U736" t="s">
        <v>14150</v>
      </c>
      <c r="V736" t="s">
        <v>14151</v>
      </c>
      <c r="W736" t="s">
        <v>14152</v>
      </c>
      <c r="X736" t="s">
        <v>14153</v>
      </c>
      <c r="Y736" t="s">
        <v>14154</v>
      </c>
      <c r="Z736" t="s">
        <v>14155</v>
      </c>
      <c r="AA736" t="s">
        <v>74</v>
      </c>
      <c r="AB736" t="s">
        <v>14156</v>
      </c>
      <c r="AC736" t="s">
        <v>14157</v>
      </c>
      <c r="AD736" t="s">
        <v>14158</v>
      </c>
      <c r="AE736" t="s">
        <v>14159</v>
      </c>
      <c r="AF736" t="s">
        <v>74</v>
      </c>
      <c r="AG736">
        <v>62</v>
      </c>
      <c r="AH736">
        <v>1</v>
      </c>
      <c r="AI736">
        <v>1</v>
      </c>
      <c r="AJ736">
        <v>1</v>
      </c>
      <c r="AK736">
        <v>2</v>
      </c>
      <c r="AL736" t="s">
        <v>588</v>
      </c>
      <c r="AM736" t="s">
        <v>589</v>
      </c>
      <c r="AN736" t="s">
        <v>590</v>
      </c>
      <c r="AO736" t="s">
        <v>1368</v>
      </c>
      <c r="AP736" t="s">
        <v>1369</v>
      </c>
      <c r="AQ736" t="s">
        <v>74</v>
      </c>
      <c r="AR736" t="s">
        <v>1370</v>
      </c>
      <c r="AS736" t="s">
        <v>1371</v>
      </c>
      <c r="AT736" t="s">
        <v>8990</v>
      </c>
      <c r="AU736">
        <v>2023</v>
      </c>
      <c r="AV736">
        <v>128</v>
      </c>
      <c r="AW736">
        <v>6</v>
      </c>
      <c r="AX736" t="s">
        <v>74</v>
      </c>
      <c r="AY736" t="s">
        <v>74</v>
      </c>
      <c r="AZ736" t="s">
        <v>74</v>
      </c>
      <c r="BA736" t="s">
        <v>74</v>
      </c>
      <c r="BB736" t="s">
        <v>74</v>
      </c>
      <c r="BC736" t="s">
        <v>74</v>
      </c>
      <c r="BD736" t="s">
        <v>14160</v>
      </c>
      <c r="BE736" t="s">
        <v>14161</v>
      </c>
      <c r="BF736" t="str">
        <f>HYPERLINK("http://dx.doi.org/10.1029/2023JB026740","http://dx.doi.org/10.1029/2023JB026740")</f>
        <v>http://dx.doi.org/10.1029/2023JB026740</v>
      </c>
      <c r="BG736" t="s">
        <v>74</v>
      </c>
      <c r="BH736" t="s">
        <v>74</v>
      </c>
      <c r="BI736">
        <v>25</v>
      </c>
      <c r="BJ736" t="s">
        <v>597</v>
      </c>
      <c r="BK736" t="s">
        <v>104</v>
      </c>
      <c r="BL736" t="s">
        <v>597</v>
      </c>
      <c r="BM736" t="s">
        <v>14162</v>
      </c>
      <c r="BN736" t="s">
        <v>74</v>
      </c>
      <c r="BO736" t="s">
        <v>549</v>
      </c>
      <c r="BP736" t="s">
        <v>74</v>
      </c>
      <c r="BQ736" t="s">
        <v>74</v>
      </c>
      <c r="BR736" t="s">
        <v>107</v>
      </c>
      <c r="BS736" t="s">
        <v>14163</v>
      </c>
      <c r="BT736" t="str">
        <f>HYPERLINK("https%3A%2F%2Fwww.webofscience.com%2Fwos%2Fwoscc%2Ffull-record%2FWOS:001022758700001","View Full Record in Web of Science")</f>
        <v>View Full Record in Web of Science</v>
      </c>
    </row>
    <row r="737" spans="1:72" x14ac:dyDescent="0.15">
      <c r="A737" t="s">
        <v>72</v>
      </c>
      <c r="B737" t="s">
        <v>14164</v>
      </c>
      <c r="C737" t="s">
        <v>74</v>
      </c>
      <c r="D737" t="s">
        <v>74</v>
      </c>
      <c r="E737" t="s">
        <v>74</v>
      </c>
      <c r="F737" t="s">
        <v>14165</v>
      </c>
      <c r="G737" t="s">
        <v>74</v>
      </c>
      <c r="H737" t="s">
        <v>74</v>
      </c>
      <c r="I737" t="s">
        <v>14166</v>
      </c>
      <c r="J737" t="s">
        <v>9442</v>
      </c>
      <c r="K737" t="s">
        <v>74</v>
      </c>
      <c r="L737" t="s">
        <v>74</v>
      </c>
      <c r="M737" t="s">
        <v>78</v>
      </c>
      <c r="N737" t="s">
        <v>79</v>
      </c>
      <c r="O737" t="s">
        <v>74</v>
      </c>
      <c r="P737" t="s">
        <v>74</v>
      </c>
      <c r="Q737" t="s">
        <v>74</v>
      </c>
      <c r="R737" t="s">
        <v>74</v>
      </c>
      <c r="S737" t="s">
        <v>74</v>
      </c>
      <c r="T737" t="s">
        <v>14167</v>
      </c>
      <c r="U737" t="s">
        <v>14168</v>
      </c>
      <c r="V737" t="s">
        <v>14169</v>
      </c>
      <c r="W737" t="s">
        <v>14170</v>
      </c>
      <c r="X737" t="s">
        <v>14171</v>
      </c>
      <c r="Y737" t="s">
        <v>14172</v>
      </c>
      <c r="Z737" t="s">
        <v>14173</v>
      </c>
      <c r="AA737" t="s">
        <v>14174</v>
      </c>
      <c r="AB737" t="s">
        <v>14175</v>
      </c>
      <c r="AC737" t="s">
        <v>14176</v>
      </c>
      <c r="AD737" t="s">
        <v>14177</v>
      </c>
      <c r="AE737" t="s">
        <v>14178</v>
      </c>
      <c r="AF737" t="s">
        <v>74</v>
      </c>
      <c r="AG737">
        <v>54</v>
      </c>
      <c r="AH737">
        <v>2</v>
      </c>
      <c r="AI737">
        <v>2</v>
      </c>
      <c r="AJ737">
        <v>8</v>
      </c>
      <c r="AK737">
        <v>10</v>
      </c>
      <c r="AL737" t="s">
        <v>588</v>
      </c>
      <c r="AM737" t="s">
        <v>589</v>
      </c>
      <c r="AN737" t="s">
        <v>590</v>
      </c>
      <c r="AO737" t="s">
        <v>74</v>
      </c>
      <c r="AP737" t="s">
        <v>9455</v>
      </c>
      <c r="AQ737" t="s">
        <v>74</v>
      </c>
      <c r="AR737" t="s">
        <v>9456</v>
      </c>
      <c r="AS737" t="s">
        <v>9457</v>
      </c>
      <c r="AT737" t="s">
        <v>8990</v>
      </c>
      <c r="AU737">
        <v>2023</v>
      </c>
      <c r="AV737">
        <v>21</v>
      </c>
      <c r="AW737">
        <v>6</v>
      </c>
      <c r="AX737" t="s">
        <v>74</v>
      </c>
      <c r="AY737" t="s">
        <v>74</v>
      </c>
      <c r="AZ737" t="s">
        <v>74</v>
      </c>
      <c r="BA737" t="s">
        <v>74</v>
      </c>
      <c r="BB737" t="s">
        <v>74</v>
      </c>
      <c r="BC737" t="s">
        <v>74</v>
      </c>
      <c r="BD737" t="s">
        <v>14179</v>
      </c>
      <c r="BE737" t="s">
        <v>14180</v>
      </c>
      <c r="BF737" t="str">
        <f>HYPERLINK("http://dx.doi.org/10.1029/2022SW003362","http://dx.doi.org/10.1029/2022SW003362")</f>
        <v>http://dx.doi.org/10.1029/2022SW003362</v>
      </c>
      <c r="BG737" t="s">
        <v>74</v>
      </c>
      <c r="BH737" t="s">
        <v>74</v>
      </c>
      <c r="BI737">
        <v>17</v>
      </c>
      <c r="BJ737" t="s">
        <v>9460</v>
      </c>
      <c r="BK737" t="s">
        <v>104</v>
      </c>
      <c r="BL737" t="s">
        <v>9460</v>
      </c>
      <c r="BM737" t="s">
        <v>14181</v>
      </c>
      <c r="BN737" t="s">
        <v>74</v>
      </c>
      <c r="BO737" t="s">
        <v>549</v>
      </c>
      <c r="BP737" t="s">
        <v>74</v>
      </c>
      <c r="BQ737" t="s">
        <v>74</v>
      </c>
      <c r="BR737" t="s">
        <v>107</v>
      </c>
      <c r="BS737" t="s">
        <v>14182</v>
      </c>
      <c r="BT737" t="str">
        <f>HYPERLINK("https%3A%2F%2Fwww.webofscience.com%2Fwos%2Fwoscc%2Ffull-record%2FWOS:001022769300001","View Full Record in Web of Science")</f>
        <v>View Full Record in Web of Science</v>
      </c>
    </row>
    <row r="738" spans="1:72" x14ac:dyDescent="0.15">
      <c r="A738" t="s">
        <v>72</v>
      </c>
      <c r="B738" t="s">
        <v>14183</v>
      </c>
      <c r="C738" t="s">
        <v>74</v>
      </c>
      <c r="D738" t="s">
        <v>74</v>
      </c>
      <c r="E738" t="s">
        <v>74</v>
      </c>
      <c r="F738" t="s">
        <v>14184</v>
      </c>
      <c r="G738" t="s">
        <v>74</v>
      </c>
      <c r="H738" t="s">
        <v>74</v>
      </c>
      <c r="I738" t="s">
        <v>14185</v>
      </c>
      <c r="J738" t="s">
        <v>77</v>
      </c>
      <c r="K738" t="s">
        <v>74</v>
      </c>
      <c r="L738" t="s">
        <v>74</v>
      </c>
      <c r="M738" t="s">
        <v>78</v>
      </c>
      <c r="N738" t="s">
        <v>79</v>
      </c>
      <c r="O738" t="s">
        <v>74</v>
      </c>
      <c r="P738" t="s">
        <v>74</v>
      </c>
      <c r="Q738" t="s">
        <v>74</v>
      </c>
      <c r="R738" t="s">
        <v>74</v>
      </c>
      <c r="S738" t="s">
        <v>74</v>
      </c>
      <c r="T738" t="s">
        <v>14186</v>
      </c>
      <c r="U738" t="s">
        <v>14187</v>
      </c>
      <c r="V738" t="s">
        <v>14188</v>
      </c>
      <c r="W738" t="s">
        <v>14189</v>
      </c>
      <c r="X738" t="s">
        <v>14190</v>
      </c>
      <c r="Y738" t="s">
        <v>14191</v>
      </c>
      <c r="Z738" t="s">
        <v>14192</v>
      </c>
      <c r="AA738" t="s">
        <v>14193</v>
      </c>
      <c r="AB738" t="s">
        <v>14194</v>
      </c>
      <c r="AC738" t="s">
        <v>14195</v>
      </c>
      <c r="AD738" t="s">
        <v>14196</v>
      </c>
      <c r="AE738" t="s">
        <v>14197</v>
      </c>
      <c r="AF738" t="s">
        <v>74</v>
      </c>
      <c r="AG738">
        <v>30</v>
      </c>
      <c r="AH738">
        <v>2</v>
      </c>
      <c r="AI738">
        <v>2</v>
      </c>
      <c r="AJ738">
        <v>4</v>
      </c>
      <c r="AK738">
        <v>8</v>
      </c>
      <c r="AL738" t="s">
        <v>90</v>
      </c>
      <c r="AM738" t="s">
        <v>91</v>
      </c>
      <c r="AN738" t="s">
        <v>92</v>
      </c>
      <c r="AO738" t="s">
        <v>93</v>
      </c>
      <c r="AP738" t="s">
        <v>94</v>
      </c>
      <c r="AQ738" t="s">
        <v>74</v>
      </c>
      <c r="AR738" t="s">
        <v>95</v>
      </c>
      <c r="AS738" t="s">
        <v>96</v>
      </c>
      <c r="AT738" t="s">
        <v>8990</v>
      </c>
      <c r="AU738">
        <v>2023</v>
      </c>
      <c r="AV738">
        <v>104</v>
      </c>
      <c r="AW738">
        <v>6</v>
      </c>
      <c r="AX738" t="s">
        <v>74</v>
      </c>
      <c r="AY738" t="s">
        <v>74</v>
      </c>
      <c r="AZ738" t="s">
        <v>74</v>
      </c>
      <c r="BA738" t="s">
        <v>74</v>
      </c>
      <c r="BB738" t="s">
        <v>14198</v>
      </c>
      <c r="BC738" t="s">
        <v>14199</v>
      </c>
      <c r="BD738" t="s">
        <v>74</v>
      </c>
      <c r="BE738" t="s">
        <v>14200</v>
      </c>
      <c r="BF738" t="str">
        <f>HYPERLINK("http://dx.doi.org/10.1175/BAMS-D-22-0153.1","http://dx.doi.org/10.1175/BAMS-D-22-0153.1")</f>
        <v>http://dx.doi.org/10.1175/BAMS-D-22-0153.1</v>
      </c>
      <c r="BG738" t="s">
        <v>74</v>
      </c>
      <c r="BH738" t="s">
        <v>74</v>
      </c>
      <c r="BI738">
        <v>12</v>
      </c>
      <c r="BJ738" t="s">
        <v>103</v>
      </c>
      <c r="BK738" t="s">
        <v>104</v>
      </c>
      <c r="BL738" t="s">
        <v>103</v>
      </c>
      <c r="BM738" t="s">
        <v>14201</v>
      </c>
      <c r="BN738" t="s">
        <v>74</v>
      </c>
      <c r="BO738" t="s">
        <v>133</v>
      </c>
      <c r="BP738" t="s">
        <v>74</v>
      </c>
      <c r="BQ738" t="s">
        <v>74</v>
      </c>
      <c r="BR738" t="s">
        <v>107</v>
      </c>
      <c r="BS738" t="s">
        <v>14202</v>
      </c>
      <c r="BT738" t="str">
        <f>HYPERLINK("https%3A%2F%2Fwww.webofscience.com%2Fwos%2Fwoscc%2Ffull-record%2FWOS:001022680800001","View Full Record in Web of Science")</f>
        <v>View Full Record in Web of Science</v>
      </c>
    </row>
    <row r="739" spans="1:72" x14ac:dyDescent="0.15">
      <c r="A739" t="s">
        <v>72</v>
      </c>
      <c r="B739" t="s">
        <v>14203</v>
      </c>
      <c r="C739" t="s">
        <v>74</v>
      </c>
      <c r="D739" t="s">
        <v>74</v>
      </c>
      <c r="E739" t="s">
        <v>74</v>
      </c>
      <c r="F739" t="s">
        <v>14204</v>
      </c>
      <c r="G739" t="s">
        <v>74</v>
      </c>
      <c r="H739" t="s">
        <v>74</v>
      </c>
      <c r="I739" t="s">
        <v>14205</v>
      </c>
      <c r="J739" t="s">
        <v>14206</v>
      </c>
      <c r="K739" t="s">
        <v>74</v>
      </c>
      <c r="L739" t="s">
        <v>74</v>
      </c>
      <c r="M739" t="s">
        <v>78</v>
      </c>
      <c r="N739" t="s">
        <v>79</v>
      </c>
      <c r="O739" t="s">
        <v>74</v>
      </c>
      <c r="P739" t="s">
        <v>74</v>
      </c>
      <c r="Q739" t="s">
        <v>74</v>
      </c>
      <c r="R739" t="s">
        <v>74</v>
      </c>
      <c r="S739" t="s">
        <v>74</v>
      </c>
      <c r="T739" t="s">
        <v>14207</v>
      </c>
      <c r="U739" t="s">
        <v>14208</v>
      </c>
      <c r="V739" t="s">
        <v>14209</v>
      </c>
      <c r="W739" t="s">
        <v>14210</v>
      </c>
      <c r="X739" t="s">
        <v>14211</v>
      </c>
      <c r="Y739" t="s">
        <v>14212</v>
      </c>
      <c r="Z739" t="s">
        <v>14213</v>
      </c>
      <c r="AA739" t="s">
        <v>14214</v>
      </c>
      <c r="AB739" t="s">
        <v>14215</v>
      </c>
      <c r="AC739" t="s">
        <v>14216</v>
      </c>
      <c r="AD739" t="s">
        <v>14217</v>
      </c>
      <c r="AE739" t="s">
        <v>14218</v>
      </c>
      <c r="AF739" t="s">
        <v>74</v>
      </c>
      <c r="AG739">
        <v>73</v>
      </c>
      <c r="AH739">
        <v>1</v>
      </c>
      <c r="AI739">
        <v>1</v>
      </c>
      <c r="AJ739">
        <v>1</v>
      </c>
      <c r="AK739">
        <v>1</v>
      </c>
      <c r="AL739" t="s">
        <v>2142</v>
      </c>
      <c r="AM739" t="s">
        <v>299</v>
      </c>
      <c r="AN739" t="s">
        <v>2143</v>
      </c>
      <c r="AO739" t="s">
        <v>14219</v>
      </c>
      <c r="AP739" t="s">
        <v>14220</v>
      </c>
      <c r="AQ739" t="s">
        <v>74</v>
      </c>
      <c r="AR739" t="s">
        <v>14221</v>
      </c>
      <c r="AS739" t="s">
        <v>14222</v>
      </c>
      <c r="AT739" t="s">
        <v>8990</v>
      </c>
      <c r="AU739">
        <v>2023</v>
      </c>
      <c r="AV739">
        <v>59</v>
      </c>
      <c r="AW739">
        <v>3</v>
      </c>
      <c r="AX739" t="s">
        <v>74</v>
      </c>
      <c r="AY739" t="s">
        <v>74</v>
      </c>
      <c r="AZ739" t="s">
        <v>74</v>
      </c>
      <c r="BA739" t="s">
        <v>74</v>
      </c>
      <c r="BB739">
        <v>364</v>
      </c>
      <c r="BC739">
        <v>376</v>
      </c>
      <c r="BD739" t="s">
        <v>74</v>
      </c>
      <c r="BE739" t="s">
        <v>14223</v>
      </c>
      <c r="BF739" t="str">
        <f>HYPERLINK("http://dx.doi.org/10.1134/S1069351323030084","http://dx.doi.org/10.1134/S1069351323030084")</f>
        <v>http://dx.doi.org/10.1134/S1069351323030084</v>
      </c>
      <c r="BG739" t="s">
        <v>74</v>
      </c>
      <c r="BH739" t="s">
        <v>74</v>
      </c>
      <c r="BI739">
        <v>13</v>
      </c>
      <c r="BJ739" t="s">
        <v>597</v>
      </c>
      <c r="BK739" t="s">
        <v>104</v>
      </c>
      <c r="BL739" t="s">
        <v>597</v>
      </c>
      <c r="BM739" t="s">
        <v>14224</v>
      </c>
      <c r="BN739" t="s">
        <v>74</v>
      </c>
      <c r="BO739" t="s">
        <v>74</v>
      </c>
      <c r="BP739" t="s">
        <v>74</v>
      </c>
      <c r="BQ739" t="s">
        <v>74</v>
      </c>
      <c r="BR739" t="s">
        <v>107</v>
      </c>
      <c r="BS739" t="s">
        <v>14225</v>
      </c>
      <c r="BT739" t="str">
        <f>HYPERLINK("https%3A%2F%2Fwww.webofscience.com%2Fwos%2Fwoscc%2Ffull-record%2FWOS:001009436000002","View Full Record in Web of Science")</f>
        <v>View Full Record in Web of Science</v>
      </c>
    </row>
    <row r="740" spans="1:72" x14ac:dyDescent="0.15">
      <c r="A740" t="s">
        <v>72</v>
      </c>
      <c r="B740" t="s">
        <v>14226</v>
      </c>
      <c r="C740" t="s">
        <v>74</v>
      </c>
      <c r="D740" t="s">
        <v>74</v>
      </c>
      <c r="E740" t="s">
        <v>74</v>
      </c>
      <c r="F740" t="s">
        <v>14227</v>
      </c>
      <c r="G740" t="s">
        <v>74</v>
      </c>
      <c r="H740" t="s">
        <v>74</v>
      </c>
      <c r="I740" t="s">
        <v>14228</v>
      </c>
      <c r="J740" t="s">
        <v>1304</v>
      </c>
      <c r="K740" t="s">
        <v>74</v>
      </c>
      <c r="L740" t="s">
        <v>74</v>
      </c>
      <c r="M740" t="s">
        <v>78</v>
      </c>
      <c r="N740" t="s">
        <v>79</v>
      </c>
      <c r="O740" t="s">
        <v>74</v>
      </c>
      <c r="P740" t="s">
        <v>74</v>
      </c>
      <c r="Q740" t="s">
        <v>74</v>
      </c>
      <c r="R740" t="s">
        <v>74</v>
      </c>
      <c r="S740" t="s">
        <v>74</v>
      </c>
      <c r="T740" t="s">
        <v>14229</v>
      </c>
      <c r="U740" t="s">
        <v>14230</v>
      </c>
      <c r="V740" t="s">
        <v>14231</v>
      </c>
      <c r="W740" t="s">
        <v>14232</v>
      </c>
      <c r="X740" t="s">
        <v>14233</v>
      </c>
      <c r="Y740" t="s">
        <v>14234</v>
      </c>
      <c r="Z740" t="s">
        <v>14235</v>
      </c>
      <c r="AA740" t="s">
        <v>14236</v>
      </c>
      <c r="AB740" t="s">
        <v>14237</v>
      </c>
      <c r="AC740" t="s">
        <v>14238</v>
      </c>
      <c r="AD740" t="s">
        <v>14239</v>
      </c>
      <c r="AE740" t="s">
        <v>14240</v>
      </c>
      <c r="AF740" t="s">
        <v>74</v>
      </c>
      <c r="AG740">
        <v>104</v>
      </c>
      <c r="AH740">
        <v>5</v>
      </c>
      <c r="AI740">
        <v>6</v>
      </c>
      <c r="AJ740">
        <v>12</v>
      </c>
      <c r="AK740">
        <v>16</v>
      </c>
      <c r="AL740" t="s">
        <v>588</v>
      </c>
      <c r="AM740" t="s">
        <v>589</v>
      </c>
      <c r="AN740" t="s">
        <v>590</v>
      </c>
      <c r="AO740" t="s">
        <v>1317</v>
      </c>
      <c r="AP740" t="s">
        <v>1318</v>
      </c>
      <c r="AQ740" t="s">
        <v>74</v>
      </c>
      <c r="AR740" t="s">
        <v>1319</v>
      </c>
      <c r="AS740" t="s">
        <v>1320</v>
      </c>
      <c r="AT740" t="s">
        <v>8990</v>
      </c>
      <c r="AU740">
        <v>2023</v>
      </c>
      <c r="AV740">
        <v>38</v>
      </c>
      <c r="AW740">
        <v>6</v>
      </c>
      <c r="AX740" t="s">
        <v>74</v>
      </c>
      <c r="AY740" t="s">
        <v>74</v>
      </c>
      <c r="AZ740" t="s">
        <v>74</v>
      </c>
      <c r="BA740" t="s">
        <v>74</v>
      </c>
      <c r="BB740" t="s">
        <v>74</v>
      </c>
      <c r="BC740" t="s">
        <v>74</v>
      </c>
      <c r="BD740" t="s">
        <v>14241</v>
      </c>
      <c r="BE740" t="s">
        <v>14242</v>
      </c>
      <c r="BF740" t="str">
        <f>HYPERLINK("http://dx.doi.org/10.1029/2022PA004542","http://dx.doi.org/10.1029/2022PA004542")</f>
        <v>http://dx.doi.org/10.1029/2022PA004542</v>
      </c>
      <c r="BG740" t="s">
        <v>74</v>
      </c>
      <c r="BH740" t="s">
        <v>74</v>
      </c>
      <c r="BI740">
        <v>21</v>
      </c>
      <c r="BJ740" t="s">
        <v>1323</v>
      </c>
      <c r="BK740" t="s">
        <v>104</v>
      </c>
      <c r="BL740" t="s">
        <v>1324</v>
      </c>
      <c r="BM740" t="s">
        <v>14243</v>
      </c>
      <c r="BN740" t="s">
        <v>74</v>
      </c>
      <c r="BO740" t="s">
        <v>1604</v>
      </c>
      <c r="BP740" t="s">
        <v>74</v>
      </c>
      <c r="BQ740" t="s">
        <v>74</v>
      </c>
      <c r="BR740" t="s">
        <v>107</v>
      </c>
      <c r="BS740" t="s">
        <v>14244</v>
      </c>
      <c r="BT740" t="str">
        <f>HYPERLINK("https%3A%2F%2Fwww.webofscience.com%2Fwos%2Fwoscc%2Ffull-record%2FWOS:001009589100001","View Full Record in Web of Science")</f>
        <v>View Full Record in Web of Science</v>
      </c>
    </row>
    <row r="741" spans="1:72" x14ac:dyDescent="0.15">
      <c r="A741" t="s">
        <v>72</v>
      </c>
      <c r="B741" t="s">
        <v>14245</v>
      </c>
      <c r="C741" t="s">
        <v>74</v>
      </c>
      <c r="D741" t="s">
        <v>74</v>
      </c>
      <c r="E741" t="s">
        <v>74</v>
      </c>
      <c r="F741" t="s">
        <v>14246</v>
      </c>
      <c r="G741" t="s">
        <v>74</v>
      </c>
      <c r="H741" t="s">
        <v>74</v>
      </c>
      <c r="I741" t="s">
        <v>14247</v>
      </c>
      <c r="J741" t="s">
        <v>575</v>
      </c>
      <c r="K741" t="s">
        <v>74</v>
      </c>
      <c r="L741" t="s">
        <v>74</v>
      </c>
      <c r="M741" t="s">
        <v>78</v>
      </c>
      <c r="N741" t="s">
        <v>424</v>
      </c>
      <c r="O741" t="s">
        <v>74</v>
      </c>
      <c r="P741" t="s">
        <v>74</v>
      </c>
      <c r="Q741" t="s">
        <v>74</v>
      </c>
      <c r="R741" t="s">
        <v>74</v>
      </c>
      <c r="S741" t="s">
        <v>74</v>
      </c>
      <c r="T741" t="s">
        <v>14248</v>
      </c>
      <c r="U741" t="s">
        <v>14249</v>
      </c>
      <c r="V741" t="s">
        <v>14250</v>
      </c>
      <c r="W741" t="s">
        <v>14251</v>
      </c>
      <c r="X741" t="s">
        <v>14252</v>
      </c>
      <c r="Y741" t="s">
        <v>14253</v>
      </c>
      <c r="Z741" t="s">
        <v>14254</v>
      </c>
      <c r="AA741" t="s">
        <v>14255</v>
      </c>
      <c r="AB741" t="s">
        <v>14256</v>
      </c>
      <c r="AC741" t="s">
        <v>14257</v>
      </c>
      <c r="AD741" t="s">
        <v>14258</v>
      </c>
      <c r="AE741" t="s">
        <v>14259</v>
      </c>
      <c r="AF741" t="s">
        <v>74</v>
      </c>
      <c r="AG741">
        <v>473</v>
      </c>
      <c r="AH741">
        <v>7</v>
      </c>
      <c r="AI741">
        <v>7</v>
      </c>
      <c r="AJ741">
        <v>20</v>
      </c>
      <c r="AK741">
        <v>31</v>
      </c>
      <c r="AL741" t="s">
        <v>588</v>
      </c>
      <c r="AM741" t="s">
        <v>589</v>
      </c>
      <c r="AN741" t="s">
        <v>590</v>
      </c>
      <c r="AO741" t="s">
        <v>591</v>
      </c>
      <c r="AP741" t="s">
        <v>592</v>
      </c>
      <c r="AQ741" t="s">
        <v>74</v>
      </c>
      <c r="AR741" t="s">
        <v>593</v>
      </c>
      <c r="AS741" t="s">
        <v>594</v>
      </c>
      <c r="AT741" t="s">
        <v>8990</v>
      </c>
      <c r="AU741">
        <v>2023</v>
      </c>
      <c r="AV741">
        <v>61</v>
      </c>
      <c r="AW741">
        <v>2</v>
      </c>
      <c r="AX741" t="s">
        <v>74</v>
      </c>
      <c r="AY741" t="s">
        <v>74</v>
      </c>
      <c r="AZ741" t="s">
        <v>74</v>
      </c>
      <c r="BA741" t="s">
        <v>74</v>
      </c>
      <c r="BB741" t="s">
        <v>74</v>
      </c>
      <c r="BC741" t="s">
        <v>74</v>
      </c>
      <c r="BD741" t="s">
        <v>14260</v>
      </c>
      <c r="BE741" t="s">
        <v>14261</v>
      </c>
      <c r="BF741" t="str">
        <f>HYPERLINK("http://dx.doi.org/10.1029/2022RG000770","http://dx.doi.org/10.1029/2022RG000770")</f>
        <v>http://dx.doi.org/10.1029/2022RG000770</v>
      </c>
      <c r="BG741" t="s">
        <v>74</v>
      </c>
      <c r="BH741" t="s">
        <v>74</v>
      </c>
      <c r="BI741">
        <v>68</v>
      </c>
      <c r="BJ741" t="s">
        <v>597</v>
      </c>
      <c r="BK741" t="s">
        <v>104</v>
      </c>
      <c r="BL741" t="s">
        <v>597</v>
      </c>
      <c r="BM741" t="s">
        <v>14262</v>
      </c>
      <c r="BN741" t="s">
        <v>74</v>
      </c>
      <c r="BO741" t="s">
        <v>1128</v>
      </c>
      <c r="BP741" t="s">
        <v>74</v>
      </c>
      <c r="BQ741" t="s">
        <v>74</v>
      </c>
      <c r="BR741" t="s">
        <v>107</v>
      </c>
      <c r="BS741" t="s">
        <v>14263</v>
      </c>
      <c r="BT741" t="str">
        <f>HYPERLINK("https%3A%2F%2Fwww.webofscience.com%2Fwos%2Fwoscc%2Ffull-record%2FWOS:001022768600001","View Full Record in Web of Science")</f>
        <v>View Full Record in Web of Science</v>
      </c>
    </row>
    <row r="742" spans="1:72" x14ac:dyDescent="0.15">
      <c r="A742" t="s">
        <v>72</v>
      </c>
      <c r="B742" t="s">
        <v>14264</v>
      </c>
      <c r="C742" t="s">
        <v>74</v>
      </c>
      <c r="D742" t="s">
        <v>74</v>
      </c>
      <c r="E742" t="s">
        <v>74</v>
      </c>
      <c r="F742" t="s">
        <v>14265</v>
      </c>
      <c r="G742" t="s">
        <v>74</v>
      </c>
      <c r="H742" t="s">
        <v>74</v>
      </c>
      <c r="I742" t="s">
        <v>14266</v>
      </c>
      <c r="J742" t="s">
        <v>9486</v>
      </c>
      <c r="K742" t="s">
        <v>74</v>
      </c>
      <c r="L742" t="s">
        <v>74</v>
      </c>
      <c r="M742" t="s">
        <v>78</v>
      </c>
      <c r="N742" t="s">
        <v>79</v>
      </c>
      <c r="O742" t="s">
        <v>74</v>
      </c>
      <c r="P742" t="s">
        <v>74</v>
      </c>
      <c r="Q742" t="s">
        <v>74</v>
      </c>
      <c r="R742" t="s">
        <v>74</v>
      </c>
      <c r="S742" t="s">
        <v>74</v>
      </c>
      <c r="T742" t="s">
        <v>14267</v>
      </c>
      <c r="U742" t="s">
        <v>14268</v>
      </c>
      <c r="V742" t="s">
        <v>14269</v>
      </c>
      <c r="W742" t="s">
        <v>14270</v>
      </c>
      <c r="X742" t="s">
        <v>14271</v>
      </c>
      <c r="Y742" t="s">
        <v>14272</v>
      </c>
      <c r="Z742" t="s">
        <v>14273</v>
      </c>
      <c r="AA742" t="s">
        <v>14274</v>
      </c>
      <c r="AB742" t="s">
        <v>14275</v>
      </c>
      <c r="AC742" t="s">
        <v>74</v>
      </c>
      <c r="AD742" t="s">
        <v>74</v>
      </c>
      <c r="AE742" t="s">
        <v>74</v>
      </c>
      <c r="AF742" t="s">
        <v>74</v>
      </c>
      <c r="AG742">
        <v>82</v>
      </c>
      <c r="AH742">
        <v>1</v>
      </c>
      <c r="AI742">
        <v>1</v>
      </c>
      <c r="AJ742">
        <v>6</v>
      </c>
      <c r="AK742">
        <v>9</v>
      </c>
      <c r="AL742" t="s">
        <v>369</v>
      </c>
      <c r="AM742" t="s">
        <v>370</v>
      </c>
      <c r="AN742" t="s">
        <v>371</v>
      </c>
      <c r="AO742" t="s">
        <v>74</v>
      </c>
      <c r="AP742" t="s">
        <v>9496</v>
      </c>
      <c r="AQ742" t="s">
        <v>74</v>
      </c>
      <c r="AR742" t="s">
        <v>9497</v>
      </c>
      <c r="AS742" t="s">
        <v>9498</v>
      </c>
      <c r="AT742" t="s">
        <v>8990</v>
      </c>
      <c r="AU742">
        <v>2023</v>
      </c>
      <c r="AV742">
        <v>14</v>
      </c>
      <c r="AW742">
        <v>6</v>
      </c>
      <c r="AX742" t="s">
        <v>74</v>
      </c>
      <c r="AY742" t="s">
        <v>74</v>
      </c>
      <c r="AZ742" t="s">
        <v>74</v>
      </c>
      <c r="BA742" t="s">
        <v>74</v>
      </c>
      <c r="BB742" t="s">
        <v>74</v>
      </c>
      <c r="BC742" t="s">
        <v>74</v>
      </c>
      <c r="BD742">
        <v>1196</v>
      </c>
      <c r="BE742" t="s">
        <v>14276</v>
      </c>
      <c r="BF742" t="str">
        <f>HYPERLINK("http://dx.doi.org/10.3390/genes14061196","http://dx.doi.org/10.3390/genes14061196")</f>
        <v>http://dx.doi.org/10.3390/genes14061196</v>
      </c>
      <c r="BG742" t="s">
        <v>74</v>
      </c>
      <c r="BH742" t="s">
        <v>74</v>
      </c>
      <c r="BI742">
        <v>21</v>
      </c>
      <c r="BJ742" t="s">
        <v>9500</v>
      </c>
      <c r="BK742" t="s">
        <v>104</v>
      </c>
      <c r="BL742" t="s">
        <v>9500</v>
      </c>
      <c r="BM742" t="s">
        <v>14277</v>
      </c>
      <c r="BN742">
        <v>37372376</v>
      </c>
      <c r="BO742" t="s">
        <v>11883</v>
      </c>
      <c r="BP742" t="s">
        <v>74</v>
      </c>
      <c r="BQ742" t="s">
        <v>74</v>
      </c>
      <c r="BR742" t="s">
        <v>107</v>
      </c>
      <c r="BS742" t="s">
        <v>14278</v>
      </c>
      <c r="BT742" t="str">
        <f>HYPERLINK("https%3A%2F%2Fwww.webofscience.com%2Fwos%2Fwoscc%2Ffull-record%2FWOS:001014894800001","View Full Record in Web of Science")</f>
        <v>View Full Record in Web of Science</v>
      </c>
    </row>
    <row r="743" spans="1:72" x14ac:dyDescent="0.15">
      <c r="A743" t="s">
        <v>72</v>
      </c>
      <c r="B743" t="s">
        <v>14279</v>
      </c>
      <c r="C743" t="s">
        <v>74</v>
      </c>
      <c r="D743" t="s">
        <v>74</v>
      </c>
      <c r="E743" t="s">
        <v>74</v>
      </c>
      <c r="F743" t="s">
        <v>14280</v>
      </c>
      <c r="G743" t="s">
        <v>74</v>
      </c>
      <c r="H743" t="s">
        <v>74</v>
      </c>
      <c r="I743" t="s">
        <v>14281</v>
      </c>
      <c r="J743" t="s">
        <v>14282</v>
      </c>
      <c r="K743" t="s">
        <v>74</v>
      </c>
      <c r="L743" t="s">
        <v>74</v>
      </c>
      <c r="M743" t="s">
        <v>78</v>
      </c>
      <c r="N743" t="s">
        <v>79</v>
      </c>
      <c r="O743" t="s">
        <v>74</v>
      </c>
      <c r="P743" t="s">
        <v>74</v>
      </c>
      <c r="Q743" t="s">
        <v>74</v>
      </c>
      <c r="R743" t="s">
        <v>74</v>
      </c>
      <c r="S743" t="s">
        <v>74</v>
      </c>
      <c r="T743" t="s">
        <v>14283</v>
      </c>
      <c r="U743" t="s">
        <v>14284</v>
      </c>
      <c r="V743" t="s">
        <v>14285</v>
      </c>
      <c r="W743" t="s">
        <v>14286</v>
      </c>
      <c r="X743" t="s">
        <v>6992</v>
      </c>
      <c r="Y743" t="s">
        <v>14287</v>
      </c>
      <c r="Z743" t="s">
        <v>14288</v>
      </c>
      <c r="AA743" t="s">
        <v>74</v>
      </c>
      <c r="AB743" t="s">
        <v>14289</v>
      </c>
      <c r="AC743" t="s">
        <v>7223</v>
      </c>
      <c r="AD743" t="s">
        <v>7224</v>
      </c>
      <c r="AE743" t="s">
        <v>14290</v>
      </c>
      <c r="AF743" t="s">
        <v>74</v>
      </c>
      <c r="AG743">
        <v>49</v>
      </c>
      <c r="AH743">
        <v>0</v>
      </c>
      <c r="AI743">
        <v>0</v>
      </c>
      <c r="AJ743">
        <v>0</v>
      </c>
      <c r="AK743">
        <v>0</v>
      </c>
      <c r="AL743" t="s">
        <v>537</v>
      </c>
      <c r="AM743" t="s">
        <v>538</v>
      </c>
      <c r="AN743" t="s">
        <v>539</v>
      </c>
      <c r="AO743" t="s">
        <v>14291</v>
      </c>
      <c r="AP743" t="s">
        <v>14292</v>
      </c>
      <c r="AQ743" t="s">
        <v>74</v>
      </c>
      <c r="AR743" t="s">
        <v>14282</v>
      </c>
      <c r="AS743" t="s">
        <v>14293</v>
      </c>
      <c r="AT743" t="s">
        <v>13613</v>
      </c>
      <c r="AU743">
        <v>2023</v>
      </c>
      <c r="AV743">
        <v>15</v>
      </c>
      <c r="AW743">
        <v>6</v>
      </c>
      <c r="AX743" t="s">
        <v>74</v>
      </c>
      <c r="AY743" t="s">
        <v>74</v>
      </c>
      <c r="AZ743" t="s">
        <v>74</v>
      </c>
      <c r="BA743" t="s">
        <v>74</v>
      </c>
      <c r="BB743" t="s">
        <v>74</v>
      </c>
      <c r="BC743" t="s">
        <v>74</v>
      </c>
      <c r="BD743" t="s">
        <v>14294</v>
      </c>
      <c r="BE743" t="s">
        <v>14295</v>
      </c>
      <c r="BF743" t="str">
        <f>HYPERLINK("http://dx.doi.org/10.1093/mtomcs/mfad038","http://dx.doi.org/10.1093/mtomcs/mfad038")</f>
        <v>http://dx.doi.org/10.1093/mtomcs/mfad038</v>
      </c>
      <c r="BG743" t="s">
        <v>74</v>
      </c>
      <c r="BH743" t="s">
        <v>74</v>
      </c>
      <c r="BI743">
        <v>10</v>
      </c>
      <c r="BJ743" t="s">
        <v>179</v>
      </c>
      <c r="BK743" t="s">
        <v>104</v>
      </c>
      <c r="BL743" t="s">
        <v>179</v>
      </c>
      <c r="BM743" t="s">
        <v>14296</v>
      </c>
      <c r="BN743">
        <v>37327074</v>
      </c>
      <c r="BO743" t="s">
        <v>1217</v>
      </c>
      <c r="BP743" t="s">
        <v>74</v>
      </c>
      <c r="BQ743" t="s">
        <v>74</v>
      </c>
      <c r="BR743" t="s">
        <v>107</v>
      </c>
      <c r="BS743" t="s">
        <v>14297</v>
      </c>
      <c r="BT743" t="str">
        <f>HYPERLINK("https%3A%2F%2Fwww.webofscience.com%2Fwos%2Fwoscc%2Ffull-record%2FWOS:001019051100002","View Full Record in Web of Science")</f>
        <v>View Full Record in Web of Science</v>
      </c>
    </row>
    <row r="744" spans="1:72" x14ac:dyDescent="0.15">
      <c r="A744" t="s">
        <v>72</v>
      </c>
      <c r="B744" t="s">
        <v>14298</v>
      </c>
      <c r="C744" t="s">
        <v>74</v>
      </c>
      <c r="D744" t="s">
        <v>74</v>
      </c>
      <c r="E744" t="s">
        <v>74</v>
      </c>
      <c r="F744" t="s">
        <v>14299</v>
      </c>
      <c r="G744" t="s">
        <v>74</v>
      </c>
      <c r="H744" t="s">
        <v>74</v>
      </c>
      <c r="I744" t="s">
        <v>14300</v>
      </c>
      <c r="J744" t="s">
        <v>5309</v>
      </c>
      <c r="K744" t="s">
        <v>74</v>
      </c>
      <c r="L744" t="s">
        <v>74</v>
      </c>
      <c r="M744" t="s">
        <v>78</v>
      </c>
      <c r="N744" t="s">
        <v>79</v>
      </c>
      <c r="O744" t="s">
        <v>74</v>
      </c>
      <c r="P744" t="s">
        <v>74</v>
      </c>
      <c r="Q744" t="s">
        <v>74</v>
      </c>
      <c r="R744" t="s">
        <v>74</v>
      </c>
      <c r="S744" t="s">
        <v>74</v>
      </c>
      <c r="T744" t="s">
        <v>14301</v>
      </c>
      <c r="U744" t="s">
        <v>14302</v>
      </c>
      <c r="V744" t="s">
        <v>14303</v>
      </c>
      <c r="W744" t="s">
        <v>14304</v>
      </c>
      <c r="X744" t="s">
        <v>14305</v>
      </c>
      <c r="Y744" t="s">
        <v>14306</v>
      </c>
      <c r="Z744" t="s">
        <v>14307</v>
      </c>
      <c r="AA744" t="s">
        <v>14308</v>
      </c>
      <c r="AB744" t="s">
        <v>14309</v>
      </c>
      <c r="AC744" t="s">
        <v>14310</v>
      </c>
      <c r="AD744" t="s">
        <v>14311</v>
      </c>
      <c r="AE744" t="s">
        <v>14312</v>
      </c>
      <c r="AF744" t="s">
        <v>74</v>
      </c>
      <c r="AG744">
        <v>65</v>
      </c>
      <c r="AH744">
        <v>2</v>
      </c>
      <c r="AI744">
        <v>2</v>
      </c>
      <c r="AJ744">
        <v>1</v>
      </c>
      <c r="AK744">
        <v>2</v>
      </c>
      <c r="AL744" t="s">
        <v>369</v>
      </c>
      <c r="AM744" t="s">
        <v>370</v>
      </c>
      <c r="AN744" t="s">
        <v>371</v>
      </c>
      <c r="AO744" t="s">
        <v>74</v>
      </c>
      <c r="AP744" t="s">
        <v>5316</v>
      </c>
      <c r="AQ744" t="s">
        <v>74</v>
      </c>
      <c r="AR744" t="s">
        <v>5309</v>
      </c>
      <c r="AS744" t="s">
        <v>5317</v>
      </c>
      <c r="AT744" t="s">
        <v>8990</v>
      </c>
      <c r="AU744">
        <v>2023</v>
      </c>
      <c r="AV744">
        <v>13</v>
      </c>
      <c r="AW744">
        <v>6</v>
      </c>
      <c r="AX744" t="s">
        <v>74</v>
      </c>
      <c r="AY744" t="s">
        <v>74</v>
      </c>
      <c r="AZ744" t="s">
        <v>74</v>
      </c>
      <c r="BA744" t="s">
        <v>74</v>
      </c>
      <c r="BB744" t="s">
        <v>74</v>
      </c>
      <c r="BC744" t="s">
        <v>74</v>
      </c>
      <c r="BD744">
        <v>188</v>
      </c>
      <c r="BE744" t="s">
        <v>14313</v>
      </c>
      <c r="BF744" t="str">
        <f>HYPERLINK("http://dx.doi.org/10.3390/geosciences13060188","http://dx.doi.org/10.3390/geosciences13060188")</f>
        <v>http://dx.doi.org/10.3390/geosciences13060188</v>
      </c>
      <c r="BG744" t="s">
        <v>74</v>
      </c>
      <c r="BH744" t="s">
        <v>74</v>
      </c>
      <c r="BI744">
        <v>15</v>
      </c>
      <c r="BJ744" t="s">
        <v>155</v>
      </c>
      <c r="BK744" t="s">
        <v>518</v>
      </c>
      <c r="BL744" t="s">
        <v>156</v>
      </c>
      <c r="BM744" t="s">
        <v>14314</v>
      </c>
      <c r="BN744" t="s">
        <v>74</v>
      </c>
      <c r="BO744" t="s">
        <v>206</v>
      </c>
      <c r="BP744" t="s">
        <v>74</v>
      </c>
      <c r="BQ744" t="s">
        <v>74</v>
      </c>
      <c r="BR744" t="s">
        <v>107</v>
      </c>
      <c r="BS744" t="s">
        <v>14315</v>
      </c>
      <c r="BT744" t="str">
        <f>HYPERLINK("https%3A%2F%2Fwww.webofscience.com%2Fwos%2Fwoscc%2Ffull-record%2FWOS:001017453400001","View Full Record in Web of Science")</f>
        <v>View Full Record in Web of Science</v>
      </c>
    </row>
    <row r="745" spans="1:72" x14ac:dyDescent="0.15">
      <c r="A745" t="s">
        <v>72</v>
      </c>
      <c r="B745" t="s">
        <v>14316</v>
      </c>
      <c r="C745" t="s">
        <v>74</v>
      </c>
      <c r="D745" t="s">
        <v>74</v>
      </c>
      <c r="E745" t="s">
        <v>74</v>
      </c>
      <c r="F745" t="s">
        <v>14317</v>
      </c>
      <c r="G745" t="s">
        <v>74</v>
      </c>
      <c r="H745" t="s">
        <v>74</v>
      </c>
      <c r="I745" t="s">
        <v>14318</v>
      </c>
      <c r="J745" t="s">
        <v>687</v>
      </c>
      <c r="K745" t="s">
        <v>74</v>
      </c>
      <c r="L745" t="s">
        <v>74</v>
      </c>
      <c r="M745" t="s">
        <v>78</v>
      </c>
      <c r="N745" t="s">
        <v>79</v>
      </c>
      <c r="O745" t="s">
        <v>74</v>
      </c>
      <c r="P745" t="s">
        <v>74</v>
      </c>
      <c r="Q745" t="s">
        <v>74</v>
      </c>
      <c r="R745" t="s">
        <v>74</v>
      </c>
      <c r="S745" t="s">
        <v>74</v>
      </c>
      <c r="T745" t="s">
        <v>14319</v>
      </c>
      <c r="U745" t="s">
        <v>14320</v>
      </c>
      <c r="V745" t="s">
        <v>14321</v>
      </c>
      <c r="W745" t="s">
        <v>14322</v>
      </c>
      <c r="X745" t="s">
        <v>14323</v>
      </c>
      <c r="Y745" t="s">
        <v>14324</v>
      </c>
      <c r="Z745" t="s">
        <v>14325</v>
      </c>
      <c r="AA745" t="s">
        <v>14326</v>
      </c>
      <c r="AB745" t="s">
        <v>14327</v>
      </c>
      <c r="AC745" t="s">
        <v>74</v>
      </c>
      <c r="AD745" t="s">
        <v>74</v>
      </c>
      <c r="AE745" t="s">
        <v>74</v>
      </c>
      <c r="AF745" t="s">
        <v>74</v>
      </c>
      <c r="AG745">
        <v>99</v>
      </c>
      <c r="AH745">
        <v>1</v>
      </c>
      <c r="AI745">
        <v>1</v>
      </c>
      <c r="AJ745">
        <v>9</v>
      </c>
      <c r="AK745">
        <v>13</v>
      </c>
      <c r="AL745" t="s">
        <v>369</v>
      </c>
      <c r="AM745" t="s">
        <v>370</v>
      </c>
      <c r="AN745" t="s">
        <v>371</v>
      </c>
      <c r="AO745" t="s">
        <v>74</v>
      </c>
      <c r="AP745" t="s">
        <v>699</v>
      </c>
      <c r="AQ745" t="s">
        <v>74</v>
      </c>
      <c r="AR745" t="s">
        <v>687</v>
      </c>
      <c r="AS745" t="s">
        <v>700</v>
      </c>
      <c r="AT745" t="s">
        <v>8990</v>
      </c>
      <c r="AU745">
        <v>2023</v>
      </c>
      <c r="AV745">
        <v>11</v>
      </c>
      <c r="AW745">
        <v>6</v>
      </c>
      <c r="AX745" t="s">
        <v>74</v>
      </c>
      <c r="AY745" t="s">
        <v>74</v>
      </c>
      <c r="AZ745" t="s">
        <v>74</v>
      </c>
      <c r="BA745" t="s">
        <v>74</v>
      </c>
      <c r="BB745" t="s">
        <v>74</v>
      </c>
      <c r="BC745" t="s">
        <v>74</v>
      </c>
      <c r="BD745">
        <v>1572</v>
      </c>
      <c r="BE745" t="s">
        <v>14328</v>
      </c>
      <c r="BF745" t="str">
        <f>HYPERLINK("http://dx.doi.org/10.3390/microorganisms11061572","http://dx.doi.org/10.3390/microorganisms11061572")</f>
        <v>http://dx.doi.org/10.3390/microorganisms11061572</v>
      </c>
      <c r="BG745" t="s">
        <v>74</v>
      </c>
      <c r="BH745" t="s">
        <v>74</v>
      </c>
      <c r="BI745">
        <v>18</v>
      </c>
      <c r="BJ745" t="s">
        <v>702</v>
      </c>
      <c r="BK745" t="s">
        <v>104</v>
      </c>
      <c r="BL745" t="s">
        <v>702</v>
      </c>
      <c r="BM745" t="s">
        <v>14329</v>
      </c>
      <c r="BN745">
        <v>37375074</v>
      </c>
      <c r="BO745" t="s">
        <v>821</v>
      </c>
      <c r="BP745" t="s">
        <v>74</v>
      </c>
      <c r="BQ745" t="s">
        <v>74</v>
      </c>
      <c r="BR745" t="s">
        <v>107</v>
      </c>
      <c r="BS745" t="s">
        <v>14330</v>
      </c>
      <c r="BT745" t="str">
        <f>HYPERLINK("https%3A%2F%2Fwww.webofscience.com%2Fwos%2Fwoscc%2Ffull-record%2FWOS:001015260800001","View Full Record in Web of Science")</f>
        <v>View Full Record in Web of Science</v>
      </c>
    </row>
    <row r="746" spans="1:72" x14ac:dyDescent="0.15">
      <c r="A746" t="s">
        <v>72</v>
      </c>
      <c r="B746" t="s">
        <v>14331</v>
      </c>
      <c r="C746" t="s">
        <v>74</v>
      </c>
      <c r="D746" t="s">
        <v>74</v>
      </c>
      <c r="E746" t="s">
        <v>74</v>
      </c>
      <c r="F746" t="s">
        <v>14332</v>
      </c>
      <c r="G746" t="s">
        <v>74</v>
      </c>
      <c r="H746" t="s">
        <v>74</v>
      </c>
      <c r="I746" t="s">
        <v>14333</v>
      </c>
      <c r="J746" t="s">
        <v>14334</v>
      </c>
      <c r="K746" t="s">
        <v>74</v>
      </c>
      <c r="L746" t="s">
        <v>74</v>
      </c>
      <c r="M746" t="s">
        <v>78</v>
      </c>
      <c r="N746" t="s">
        <v>79</v>
      </c>
      <c r="O746" t="s">
        <v>74</v>
      </c>
      <c r="P746" t="s">
        <v>74</v>
      </c>
      <c r="Q746" t="s">
        <v>74</v>
      </c>
      <c r="R746" t="s">
        <v>74</v>
      </c>
      <c r="S746" t="s">
        <v>74</v>
      </c>
      <c r="T746" t="s">
        <v>14335</v>
      </c>
      <c r="U746" t="s">
        <v>14336</v>
      </c>
      <c r="V746" t="s">
        <v>14337</v>
      </c>
      <c r="W746" t="s">
        <v>14338</v>
      </c>
      <c r="X746" t="s">
        <v>14339</v>
      </c>
      <c r="Y746" t="s">
        <v>14340</v>
      </c>
      <c r="Z746" t="s">
        <v>14341</v>
      </c>
      <c r="AA746" t="s">
        <v>14342</v>
      </c>
      <c r="AB746" t="s">
        <v>14343</v>
      </c>
      <c r="AC746" t="s">
        <v>14344</v>
      </c>
      <c r="AD746" t="s">
        <v>14345</v>
      </c>
      <c r="AE746" t="s">
        <v>14346</v>
      </c>
      <c r="AF746" t="s">
        <v>74</v>
      </c>
      <c r="AG746">
        <v>72</v>
      </c>
      <c r="AH746">
        <v>1</v>
      </c>
      <c r="AI746">
        <v>1</v>
      </c>
      <c r="AJ746">
        <v>3</v>
      </c>
      <c r="AK746">
        <v>6</v>
      </c>
      <c r="AL746" t="s">
        <v>369</v>
      </c>
      <c r="AM746" t="s">
        <v>370</v>
      </c>
      <c r="AN746" t="s">
        <v>371</v>
      </c>
      <c r="AO746" t="s">
        <v>74</v>
      </c>
      <c r="AP746" t="s">
        <v>14347</v>
      </c>
      <c r="AQ746" t="s">
        <v>74</v>
      </c>
      <c r="AR746" t="s">
        <v>14348</v>
      </c>
      <c r="AS746" t="s">
        <v>14349</v>
      </c>
      <c r="AT746" t="s">
        <v>8990</v>
      </c>
      <c r="AU746">
        <v>2023</v>
      </c>
      <c r="AV746">
        <v>4</v>
      </c>
      <c r="AW746">
        <v>2</v>
      </c>
      <c r="AX746" t="s">
        <v>74</v>
      </c>
      <c r="AY746" t="s">
        <v>74</v>
      </c>
      <c r="AZ746" t="s">
        <v>74</v>
      </c>
      <c r="BA746" t="s">
        <v>74</v>
      </c>
      <c r="BB746">
        <v>200</v>
      </c>
      <c r="BC746">
        <v>219</v>
      </c>
      <c r="BD746" t="s">
        <v>74</v>
      </c>
      <c r="BE746" t="s">
        <v>14350</v>
      </c>
      <c r="BF746" t="str">
        <f>HYPERLINK("http://dx.doi.org/10.3390/oceans4020014","http://dx.doi.org/10.3390/oceans4020014")</f>
        <v>http://dx.doi.org/10.3390/oceans4020014</v>
      </c>
      <c r="BG746" t="s">
        <v>74</v>
      </c>
      <c r="BH746" t="s">
        <v>74</v>
      </c>
      <c r="BI746">
        <v>20</v>
      </c>
      <c r="BJ746" t="s">
        <v>569</v>
      </c>
      <c r="BK746" t="s">
        <v>518</v>
      </c>
      <c r="BL746" t="s">
        <v>569</v>
      </c>
      <c r="BM746" t="s">
        <v>14351</v>
      </c>
      <c r="BN746" t="s">
        <v>74</v>
      </c>
      <c r="BO746" t="s">
        <v>181</v>
      </c>
      <c r="BP746" t="s">
        <v>74</v>
      </c>
      <c r="BQ746" t="s">
        <v>74</v>
      </c>
      <c r="BR746" t="s">
        <v>107</v>
      </c>
      <c r="BS746" t="s">
        <v>14352</v>
      </c>
      <c r="BT746" t="str">
        <f>HYPERLINK("https%3A%2F%2Fwww.webofscience.com%2Fwos%2Fwoscc%2Ffull-record%2FWOS:001017376100001","View Full Record in Web of Science")</f>
        <v>View Full Record in Web of Science</v>
      </c>
    </row>
    <row r="747" spans="1:72" x14ac:dyDescent="0.15">
      <c r="A747" t="s">
        <v>72</v>
      </c>
      <c r="B747" t="s">
        <v>14353</v>
      </c>
      <c r="C747" t="s">
        <v>74</v>
      </c>
      <c r="D747" t="s">
        <v>74</v>
      </c>
      <c r="E747" t="s">
        <v>74</v>
      </c>
      <c r="F747" t="s">
        <v>14354</v>
      </c>
      <c r="G747" t="s">
        <v>74</v>
      </c>
      <c r="H747" t="s">
        <v>74</v>
      </c>
      <c r="I747" t="s">
        <v>14355</v>
      </c>
      <c r="J747" t="s">
        <v>14356</v>
      </c>
      <c r="K747" t="s">
        <v>74</v>
      </c>
      <c r="L747" t="s">
        <v>74</v>
      </c>
      <c r="M747" t="s">
        <v>78</v>
      </c>
      <c r="N747" t="s">
        <v>79</v>
      </c>
      <c r="O747" t="s">
        <v>74</v>
      </c>
      <c r="P747" t="s">
        <v>74</v>
      </c>
      <c r="Q747" t="s">
        <v>74</v>
      </c>
      <c r="R747" t="s">
        <v>74</v>
      </c>
      <c r="S747" t="s">
        <v>74</v>
      </c>
      <c r="T747" t="s">
        <v>14357</v>
      </c>
      <c r="U747" t="s">
        <v>14358</v>
      </c>
      <c r="V747" t="s">
        <v>14359</v>
      </c>
      <c r="W747" t="s">
        <v>14360</v>
      </c>
      <c r="X747" t="s">
        <v>14361</v>
      </c>
      <c r="Y747" t="s">
        <v>14362</v>
      </c>
      <c r="Z747" t="s">
        <v>14363</v>
      </c>
      <c r="AA747" t="s">
        <v>74</v>
      </c>
      <c r="AB747" t="s">
        <v>14364</v>
      </c>
      <c r="AC747" t="s">
        <v>14365</v>
      </c>
      <c r="AD747" t="s">
        <v>14366</v>
      </c>
      <c r="AE747" t="s">
        <v>14367</v>
      </c>
      <c r="AF747" t="s">
        <v>74</v>
      </c>
      <c r="AG747">
        <v>54</v>
      </c>
      <c r="AH747">
        <v>0</v>
      </c>
      <c r="AI747">
        <v>0</v>
      </c>
      <c r="AJ747">
        <v>2</v>
      </c>
      <c r="AK747">
        <v>6</v>
      </c>
      <c r="AL747" t="s">
        <v>369</v>
      </c>
      <c r="AM747" t="s">
        <v>370</v>
      </c>
      <c r="AN747" t="s">
        <v>371</v>
      </c>
      <c r="AO747" t="s">
        <v>74</v>
      </c>
      <c r="AP747" t="s">
        <v>14368</v>
      </c>
      <c r="AQ747" t="s">
        <v>74</v>
      </c>
      <c r="AR747" t="s">
        <v>14356</v>
      </c>
      <c r="AS747" t="s">
        <v>14369</v>
      </c>
      <c r="AT747" t="s">
        <v>8990</v>
      </c>
      <c r="AU747">
        <v>2023</v>
      </c>
      <c r="AV747">
        <v>12</v>
      </c>
      <c r="AW747">
        <v>6</v>
      </c>
      <c r="AX747" t="s">
        <v>74</v>
      </c>
      <c r="AY747" t="s">
        <v>74</v>
      </c>
      <c r="AZ747" t="s">
        <v>74</v>
      </c>
      <c r="BA747" t="s">
        <v>74</v>
      </c>
      <c r="BB747" t="s">
        <v>74</v>
      </c>
      <c r="BC747" t="s">
        <v>74</v>
      </c>
      <c r="BD747">
        <v>834</v>
      </c>
      <c r="BE747" t="s">
        <v>14370</v>
      </c>
      <c r="BF747" t="str">
        <f>HYPERLINK("http://dx.doi.org/10.3390/pathogens12060834","http://dx.doi.org/10.3390/pathogens12060834")</f>
        <v>http://dx.doi.org/10.3390/pathogens12060834</v>
      </c>
      <c r="BG747" t="s">
        <v>74</v>
      </c>
      <c r="BH747" t="s">
        <v>74</v>
      </c>
      <c r="BI747">
        <v>12</v>
      </c>
      <c r="BJ747" t="s">
        <v>702</v>
      </c>
      <c r="BK747" t="s">
        <v>104</v>
      </c>
      <c r="BL747" t="s">
        <v>702</v>
      </c>
      <c r="BM747" t="s">
        <v>14371</v>
      </c>
      <c r="BN747">
        <v>37375524</v>
      </c>
      <c r="BO747" t="s">
        <v>821</v>
      </c>
      <c r="BP747" t="s">
        <v>74</v>
      </c>
      <c r="BQ747" t="s">
        <v>74</v>
      </c>
      <c r="BR747" t="s">
        <v>107</v>
      </c>
      <c r="BS747" t="s">
        <v>14372</v>
      </c>
      <c r="BT747" t="str">
        <f>HYPERLINK("https%3A%2F%2Fwww.webofscience.com%2Fwos%2Fwoscc%2Ffull-record%2FWOS:001017351000001","View Full Record in Web of Science")</f>
        <v>View Full Record in Web of Science</v>
      </c>
    </row>
    <row r="748" spans="1:72" x14ac:dyDescent="0.15">
      <c r="A748" t="s">
        <v>72</v>
      </c>
      <c r="B748" t="s">
        <v>14373</v>
      </c>
      <c r="C748" t="s">
        <v>74</v>
      </c>
      <c r="D748" t="s">
        <v>74</v>
      </c>
      <c r="E748" t="s">
        <v>74</v>
      </c>
      <c r="F748" t="s">
        <v>14374</v>
      </c>
      <c r="G748" t="s">
        <v>74</v>
      </c>
      <c r="H748" t="s">
        <v>74</v>
      </c>
      <c r="I748" t="s">
        <v>14375</v>
      </c>
      <c r="J748" t="s">
        <v>232</v>
      </c>
      <c r="K748" t="s">
        <v>74</v>
      </c>
      <c r="L748" t="s">
        <v>74</v>
      </c>
      <c r="M748" t="s">
        <v>78</v>
      </c>
      <c r="N748" t="s">
        <v>79</v>
      </c>
      <c r="O748" t="s">
        <v>74</v>
      </c>
      <c r="P748" t="s">
        <v>74</v>
      </c>
      <c r="Q748" t="s">
        <v>74</v>
      </c>
      <c r="R748" t="s">
        <v>74</v>
      </c>
      <c r="S748" t="s">
        <v>74</v>
      </c>
      <c r="T748" t="s">
        <v>14376</v>
      </c>
      <c r="U748" t="s">
        <v>14377</v>
      </c>
      <c r="V748" t="s">
        <v>14378</v>
      </c>
      <c r="W748" t="s">
        <v>14379</v>
      </c>
      <c r="X748" t="s">
        <v>14380</v>
      </c>
      <c r="Y748" t="s">
        <v>14381</v>
      </c>
      <c r="Z748" t="s">
        <v>14382</v>
      </c>
      <c r="AA748" t="s">
        <v>74</v>
      </c>
      <c r="AB748" t="s">
        <v>74</v>
      </c>
      <c r="AC748" t="s">
        <v>14383</v>
      </c>
      <c r="AD748" t="s">
        <v>14383</v>
      </c>
      <c r="AE748" t="s">
        <v>14384</v>
      </c>
      <c r="AF748" t="s">
        <v>74</v>
      </c>
      <c r="AG748">
        <v>52</v>
      </c>
      <c r="AH748">
        <v>1</v>
      </c>
      <c r="AI748">
        <v>1</v>
      </c>
      <c r="AJ748">
        <v>3</v>
      </c>
      <c r="AK748">
        <v>3</v>
      </c>
      <c r="AL748" t="s">
        <v>172</v>
      </c>
      <c r="AM748" t="s">
        <v>173</v>
      </c>
      <c r="AN748" t="s">
        <v>174</v>
      </c>
      <c r="AO748" t="s">
        <v>242</v>
      </c>
      <c r="AP748" t="s">
        <v>243</v>
      </c>
      <c r="AQ748" t="s">
        <v>74</v>
      </c>
      <c r="AR748" t="s">
        <v>244</v>
      </c>
      <c r="AS748" t="s">
        <v>245</v>
      </c>
      <c r="AT748" t="s">
        <v>8990</v>
      </c>
      <c r="AU748">
        <v>2023</v>
      </c>
      <c r="AV748">
        <v>36</v>
      </c>
      <c r="AW748" t="s">
        <v>74</v>
      </c>
      <c r="AX748" t="s">
        <v>74</v>
      </c>
      <c r="AY748" t="s">
        <v>74</v>
      </c>
      <c r="AZ748" t="s">
        <v>74</v>
      </c>
      <c r="BA748" t="s">
        <v>74</v>
      </c>
      <c r="BB748" t="s">
        <v>74</v>
      </c>
      <c r="BC748" t="s">
        <v>74</v>
      </c>
      <c r="BD748">
        <v>100928</v>
      </c>
      <c r="BE748" t="s">
        <v>14385</v>
      </c>
      <c r="BF748" t="str">
        <f>HYPERLINK("http://dx.doi.org/10.1016/j.polar.2023.100928","http://dx.doi.org/10.1016/j.polar.2023.100928")</f>
        <v>http://dx.doi.org/10.1016/j.polar.2023.100928</v>
      </c>
      <c r="BG748" t="s">
        <v>74</v>
      </c>
      <c r="BH748" t="s">
        <v>10102</v>
      </c>
      <c r="BI748">
        <v>12</v>
      </c>
      <c r="BJ748" t="s">
        <v>247</v>
      </c>
      <c r="BK748" t="s">
        <v>104</v>
      </c>
      <c r="BL748" t="s">
        <v>248</v>
      </c>
      <c r="BM748" t="s">
        <v>14386</v>
      </c>
      <c r="BN748" t="s">
        <v>74</v>
      </c>
      <c r="BO748" t="s">
        <v>74</v>
      </c>
      <c r="BP748" t="s">
        <v>74</v>
      </c>
      <c r="BQ748" t="s">
        <v>74</v>
      </c>
      <c r="BR748" t="s">
        <v>107</v>
      </c>
      <c r="BS748" t="s">
        <v>14387</v>
      </c>
      <c r="BT748" t="str">
        <f>HYPERLINK("https%3A%2F%2Fwww.webofscience.com%2Fwos%2Fwoscc%2Ffull-record%2FWOS:001015447300001","View Full Record in Web of Science")</f>
        <v>View Full Record in Web of Science</v>
      </c>
    </row>
    <row r="749" spans="1:72" x14ac:dyDescent="0.15">
      <c r="A749" t="s">
        <v>72</v>
      </c>
      <c r="B749" t="s">
        <v>14388</v>
      </c>
      <c r="C749" t="s">
        <v>74</v>
      </c>
      <c r="D749" t="s">
        <v>74</v>
      </c>
      <c r="E749" t="s">
        <v>74</v>
      </c>
      <c r="F749" t="s">
        <v>14389</v>
      </c>
      <c r="G749" t="s">
        <v>74</v>
      </c>
      <c r="H749" t="s">
        <v>74</v>
      </c>
      <c r="I749" t="s">
        <v>14390</v>
      </c>
      <c r="J749" t="s">
        <v>1440</v>
      </c>
      <c r="K749" t="s">
        <v>74</v>
      </c>
      <c r="L749" t="s">
        <v>74</v>
      </c>
      <c r="M749" t="s">
        <v>78</v>
      </c>
      <c r="N749" t="s">
        <v>79</v>
      </c>
      <c r="O749" t="s">
        <v>74</v>
      </c>
      <c r="P749" t="s">
        <v>74</v>
      </c>
      <c r="Q749" t="s">
        <v>74</v>
      </c>
      <c r="R749" t="s">
        <v>74</v>
      </c>
      <c r="S749" t="s">
        <v>74</v>
      </c>
      <c r="T749" t="s">
        <v>14391</v>
      </c>
      <c r="U749" t="s">
        <v>14392</v>
      </c>
      <c r="V749" t="s">
        <v>14393</v>
      </c>
      <c r="W749" t="s">
        <v>14394</v>
      </c>
      <c r="X749" t="s">
        <v>14395</v>
      </c>
      <c r="Y749" t="s">
        <v>14396</v>
      </c>
      <c r="Z749" t="s">
        <v>14397</v>
      </c>
      <c r="AA749" t="s">
        <v>14398</v>
      </c>
      <c r="AB749" t="s">
        <v>14399</v>
      </c>
      <c r="AC749" t="s">
        <v>14400</v>
      </c>
      <c r="AD749" t="s">
        <v>14401</v>
      </c>
      <c r="AE749" t="s">
        <v>14402</v>
      </c>
      <c r="AF749" t="s">
        <v>74</v>
      </c>
      <c r="AG749">
        <v>86</v>
      </c>
      <c r="AH749">
        <v>1</v>
      </c>
      <c r="AI749">
        <v>1</v>
      </c>
      <c r="AJ749">
        <v>3</v>
      </c>
      <c r="AK749">
        <v>6</v>
      </c>
      <c r="AL749" t="s">
        <v>369</v>
      </c>
      <c r="AM749" t="s">
        <v>370</v>
      </c>
      <c r="AN749" t="s">
        <v>371</v>
      </c>
      <c r="AO749" t="s">
        <v>74</v>
      </c>
      <c r="AP749" t="s">
        <v>1453</v>
      </c>
      <c r="AQ749" t="s">
        <v>74</v>
      </c>
      <c r="AR749" t="s">
        <v>1454</v>
      </c>
      <c r="AS749" t="s">
        <v>1455</v>
      </c>
      <c r="AT749" t="s">
        <v>8990</v>
      </c>
      <c r="AU749">
        <v>2023</v>
      </c>
      <c r="AV749">
        <v>23</v>
      </c>
      <c r="AW749">
        <v>12</v>
      </c>
      <c r="AX749" t="s">
        <v>74</v>
      </c>
      <c r="AY749" t="s">
        <v>74</v>
      </c>
      <c r="AZ749" t="s">
        <v>74</v>
      </c>
      <c r="BA749" t="s">
        <v>74</v>
      </c>
      <c r="BB749" t="s">
        <v>74</v>
      </c>
      <c r="BC749" t="s">
        <v>74</v>
      </c>
      <c r="BD749">
        <v>5524</v>
      </c>
      <c r="BE749" t="s">
        <v>14403</v>
      </c>
      <c r="BF749" t="str">
        <f>HYPERLINK("http://dx.doi.org/10.3390/s23125524","http://dx.doi.org/10.3390/s23125524")</f>
        <v>http://dx.doi.org/10.3390/s23125524</v>
      </c>
      <c r="BG749" t="s">
        <v>74</v>
      </c>
      <c r="BH749" t="s">
        <v>74</v>
      </c>
      <c r="BI749">
        <v>22</v>
      </c>
      <c r="BJ749" t="s">
        <v>1457</v>
      </c>
      <c r="BK749" t="s">
        <v>104</v>
      </c>
      <c r="BL749" t="s">
        <v>1458</v>
      </c>
      <c r="BM749" t="s">
        <v>14404</v>
      </c>
      <c r="BN749">
        <v>37420691</v>
      </c>
      <c r="BO749" t="s">
        <v>821</v>
      </c>
      <c r="BP749" t="s">
        <v>74</v>
      </c>
      <c r="BQ749" t="s">
        <v>74</v>
      </c>
      <c r="BR749" t="s">
        <v>107</v>
      </c>
      <c r="BS749" t="s">
        <v>14405</v>
      </c>
      <c r="BT749" t="str">
        <f>HYPERLINK("https%3A%2F%2Fwww.webofscience.com%2Fwos%2Fwoscc%2Ffull-record%2FWOS:001017980900001","View Full Record in Web of Science")</f>
        <v>View Full Record in Web of Science</v>
      </c>
    </row>
    <row r="750" spans="1:72" x14ac:dyDescent="0.15">
      <c r="A750" t="s">
        <v>72</v>
      </c>
      <c r="B750" t="s">
        <v>14406</v>
      </c>
      <c r="C750" t="s">
        <v>74</v>
      </c>
      <c r="D750" t="s">
        <v>74</v>
      </c>
      <c r="E750" t="s">
        <v>74</v>
      </c>
      <c r="F750" t="s">
        <v>14407</v>
      </c>
      <c r="G750" t="s">
        <v>74</v>
      </c>
      <c r="H750" t="s">
        <v>74</v>
      </c>
      <c r="I750" t="s">
        <v>14408</v>
      </c>
      <c r="J750" t="s">
        <v>5309</v>
      </c>
      <c r="K750" t="s">
        <v>74</v>
      </c>
      <c r="L750" t="s">
        <v>74</v>
      </c>
      <c r="M750" t="s">
        <v>78</v>
      </c>
      <c r="N750" t="s">
        <v>79</v>
      </c>
      <c r="O750" t="s">
        <v>74</v>
      </c>
      <c r="P750" t="s">
        <v>74</v>
      </c>
      <c r="Q750" t="s">
        <v>74</v>
      </c>
      <c r="R750" t="s">
        <v>74</v>
      </c>
      <c r="S750" t="s">
        <v>74</v>
      </c>
      <c r="T750" t="s">
        <v>14409</v>
      </c>
      <c r="U750" t="s">
        <v>14410</v>
      </c>
      <c r="V750" t="s">
        <v>14411</v>
      </c>
      <c r="W750" t="s">
        <v>14412</v>
      </c>
      <c r="X750" t="s">
        <v>14413</v>
      </c>
      <c r="Y750" t="s">
        <v>14414</v>
      </c>
      <c r="Z750" t="s">
        <v>14415</v>
      </c>
      <c r="AA750" t="s">
        <v>14416</v>
      </c>
      <c r="AB750" t="s">
        <v>14417</v>
      </c>
      <c r="AC750" t="s">
        <v>14418</v>
      </c>
      <c r="AD750" t="s">
        <v>14419</v>
      </c>
      <c r="AE750" t="s">
        <v>14420</v>
      </c>
      <c r="AF750" t="s">
        <v>74</v>
      </c>
      <c r="AG750">
        <v>103</v>
      </c>
      <c r="AH750">
        <v>0</v>
      </c>
      <c r="AI750">
        <v>0</v>
      </c>
      <c r="AJ750">
        <v>3</v>
      </c>
      <c r="AK750">
        <v>5</v>
      </c>
      <c r="AL750" t="s">
        <v>369</v>
      </c>
      <c r="AM750" t="s">
        <v>370</v>
      </c>
      <c r="AN750" t="s">
        <v>371</v>
      </c>
      <c r="AO750" t="s">
        <v>74</v>
      </c>
      <c r="AP750" t="s">
        <v>5316</v>
      </c>
      <c r="AQ750" t="s">
        <v>74</v>
      </c>
      <c r="AR750" t="s">
        <v>5309</v>
      </c>
      <c r="AS750" t="s">
        <v>5317</v>
      </c>
      <c r="AT750" t="s">
        <v>8990</v>
      </c>
      <c r="AU750">
        <v>2023</v>
      </c>
      <c r="AV750">
        <v>13</v>
      </c>
      <c r="AW750">
        <v>6</v>
      </c>
      <c r="AX750" t="s">
        <v>74</v>
      </c>
      <c r="AY750" t="s">
        <v>74</v>
      </c>
      <c r="AZ750" t="s">
        <v>74</v>
      </c>
      <c r="BA750" t="s">
        <v>74</v>
      </c>
      <c r="BB750" t="s">
        <v>74</v>
      </c>
      <c r="BC750" t="s">
        <v>74</v>
      </c>
      <c r="BD750">
        <v>171</v>
      </c>
      <c r="BE750" t="s">
        <v>14421</v>
      </c>
      <c r="BF750" t="str">
        <f>HYPERLINK("http://dx.doi.org/10.3390/geosciences13060171","http://dx.doi.org/10.3390/geosciences13060171")</f>
        <v>http://dx.doi.org/10.3390/geosciences13060171</v>
      </c>
      <c r="BG750" t="s">
        <v>74</v>
      </c>
      <c r="BH750" t="s">
        <v>74</v>
      </c>
      <c r="BI750">
        <v>34</v>
      </c>
      <c r="BJ750" t="s">
        <v>155</v>
      </c>
      <c r="BK750" t="s">
        <v>518</v>
      </c>
      <c r="BL750" t="s">
        <v>156</v>
      </c>
      <c r="BM750" t="s">
        <v>14422</v>
      </c>
      <c r="BN750" t="s">
        <v>74</v>
      </c>
      <c r="BO750" t="s">
        <v>206</v>
      </c>
      <c r="BP750" t="s">
        <v>74</v>
      </c>
      <c r="BQ750" t="s">
        <v>74</v>
      </c>
      <c r="BR750" t="s">
        <v>107</v>
      </c>
      <c r="BS750" t="s">
        <v>14423</v>
      </c>
      <c r="BT750" t="str">
        <f>HYPERLINK("https%3A%2F%2Fwww.webofscience.com%2Fwos%2Fwoscc%2Ffull-record%2FWOS:001017474100001","View Full Record in Web of Science")</f>
        <v>View Full Record in Web of Science</v>
      </c>
    </row>
    <row r="751" spans="1:72" x14ac:dyDescent="0.15">
      <c r="A751" t="s">
        <v>72</v>
      </c>
      <c r="B751" t="s">
        <v>14424</v>
      </c>
      <c r="C751" t="s">
        <v>74</v>
      </c>
      <c r="D751" t="s">
        <v>74</v>
      </c>
      <c r="E751" t="s">
        <v>74</v>
      </c>
      <c r="F751" t="s">
        <v>14425</v>
      </c>
      <c r="G751" t="s">
        <v>74</v>
      </c>
      <c r="H751" t="s">
        <v>74</v>
      </c>
      <c r="I751" t="s">
        <v>14426</v>
      </c>
      <c r="J751" t="s">
        <v>14427</v>
      </c>
      <c r="K751" t="s">
        <v>74</v>
      </c>
      <c r="L751" t="s">
        <v>74</v>
      </c>
      <c r="M751" t="s">
        <v>78</v>
      </c>
      <c r="N751" t="s">
        <v>79</v>
      </c>
      <c r="O751" t="s">
        <v>74</v>
      </c>
      <c r="P751" t="s">
        <v>74</v>
      </c>
      <c r="Q751" t="s">
        <v>74</v>
      </c>
      <c r="R751" t="s">
        <v>74</v>
      </c>
      <c r="S751" t="s">
        <v>74</v>
      </c>
      <c r="T751" t="s">
        <v>14428</v>
      </c>
      <c r="U751" t="s">
        <v>14429</v>
      </c>
      <c r="V751" t="s">
        <v>14430</v>
      </c>
      <c r="W751" t="s">
        <v>14431</v>
      </c>
      <c r="X751" t="s">
        <v>14432</v>
      </c>
      <c r="Y751" t="s">
        <v>14433</v>
      </c>
      <c r="Z751" t="s">
        <v>14434</v>
      </c>
      <c r="AA751" t="s">
        <v>74</v>
      </c>
      <c r="AB751" t="s">
        <v>14435</v>
      </c>
      <c r="AC751" t="s">
        <v>14436</v>
      </c>
      <c r="AD751" t="s">
        <v>14436</v>
      </c>
      <c r="AE751" t="s">
        <v>14437</v>
      </c>
      <c r="AF751" t="s">
        <v>74</v>
      </c>
      <c r="AG751">
        <v>45</v>
      </c>
      <c r="AH751">
        <v>1</v>
      </c>
      <c r="AI751">
        <v>1</v>
      </c>
      <c r="AJ751">
        <v>1</v>
      </c>
      <c r="AK751">
        <v>2</v>
      </c>
      <c r="AL751" t="s">
        <v>90</v>
      </c>
      <c r="AM751" t="s">
        <v>91</v>
      </c>
      <c r="AN751" t="s">
        <v>92</v>
      </c>
      <c r="AO751" t="s">
        <v>14438</v>
      </c>
      <c r="AP751" t="s">
        <v>14439</v>
      </c>
      <c r="AQ751" t="s">
        <v>74</v>
      </c>
      <c r="AR751" t="s">
        <v>14440</v>
      </c>
      <c r="AS751" t="s">
        <v>14441</v>
      </c>
      <c r="AT751" t="s">
        <v>8990</v>
      </c>
      <c r="AU751">
        <v>2023</v>
      </c>
      <c r="AV751">
        <v>80</v>
      </c>
      <c r="AW751">
        <v>6</v>
      </c>
      <c r="AX751" t="s">
        <v>74</v>
      </c>
      <c r="AY751" t="s">
        <v>74</v>
      </c>
      <c r="AZ751" t="s">
        <v>74</v>
      </c>
      <c r="BA751" t="s">
        <v>74</v>
      </c>
      <c r="BB751">
        <v>1621</v>
      </c>
      <c r="BC751">
        <v>1633</v>
      </c>
      <c r="BD751" t="s">
        <v>74</v>
      </c>
      <c r="BE751" t="s">
        <v>14442</v>
      </c>
      <c r="BF751" t="str">
        <f>HYPERLINK("http://dx.doi.org/10.1175/JAS-D-22-0223.1","http://dx.doi.org/10.1175/JAS-D-22-0223.1")</f>
        <v>http://dx.doi.org/10.1175/JAS-D-22-0223.1</v>
      </c>
      <c r="BG751" t="s">
        <v>74</v>
      </c>
      <c r="BH751" t="s">
        <v>74</v>
      </c>
      <c r="BI751">
        <v>13</v>
      </c>
      <c r="BJ751" t="s">
        <v>103</v>
      </c>
      <c r="BK751" t="s">
        <v>104</v>
      </c>
      <c r="BL751" t="s">
        <v>103</v>
      </c>
      <c r="BM751" t="s">
        <v>14443</v>
      </c>
      <c r="BN751" t="s">
        <v>74</v>
      </c>
      <c r="BO751" t="s">
        <v>106</v>
      </c>
      <c r="BP751" t="s">
        <v>74</v>
      </c>
      <c r="BQ751" t="s">
        <v>74</v>
      </c>
      <c r="BR751" t="s">
        <v>107</v>
      </c>
      <c r="BS751" t="s">
        <v>14444</v>
      </c>
      <c r="BT751" t="str">
        <f>HYPERLINK("https%3A%2F%2Fwww.webofscience.com%2Fwos%2Fwoscc%2Ffull-record%2FWOS:001016280300001","View Full Record in Web of Science")</f>
        <v>View Full Record in Web of Science</v>
      </c>
    </row>
    <row r="752" spans="1:72" x14ac:dyDescent="0.15">
      <c r="A752" t="s">
        <v>72</v>
      </c>
      <c r="B752" t="s">
        <v>14445</v>
      </c>
      <c r="C752" t="s">
        <v>74</v>
      </c>
      <c r="D752" t="s">
        <v>74</v>
      </c>
      <c r="E752" t="s">
        <v>74</v>
      </c>
      <c r="F752" t="s">
        <v>14446</v>
      </c>
      <c r="G752" t="s">
        <v>74</v>
      </c>
      <c r="H752" t="s">
        <v>74</v>
      </c>
      <c r="I752" t="s">
        <v>14447</v>
      </c>
      <c r="J752" t="s">
        <v>14448</v>
      </c>
      <c r="K752" t="s">
        <v>74</v>
      </c>
      <c r="L752" t="s">
        <v>74</v>
      </c>
      <c r="M752" t="s">
        <v>78</v>
      </c>
      <c r="N752" t="s">
        <v>79</v>
      </c>
      <c r="O752" t="s">
        <v>74</v>
      </c>
      <c r="P752" t="s">
        <v>74</v>
      </c>
      <c r="Q752" t="s">
        <v>74</v>
      </c>
      <c r="R752" t="s">
        <v>74</v>
      </c>
      <c r="S752" t="s">
        <v>74</v>
      </c>
      <c r="T752" t="s">
        <v>14449</v>
      </c>
      <c r="U752" t="s">
        <v>14450</v>
      </c>
      <c r="V752" t="s">
        <v>14451</v>
      </c>
      <c r="W752" t="s">
        <v>14452</v>
      </c>
      <c r="X752" t="s">
        <v>14453</v>
      </c>
      <c r="Y752" t="s">
        <v>14454</v>
      </c>
      <c r="Z752" t="s">
        <v>14455</v>
      </c>
      <c r="AA752" t="s">
        <v>14456</v>
      </c>
      <c r="AB752" t="s">
        <v>14457</v>
      </c>
      <c r="AC752" t="s">
        <v>14458</v>
      </c>
      <c r="AD752" t="s">
        <v>14459</v>
      </c>
      <c r="AE752" t="s">
        <v>14460</v>
      </c>
      <c r="AF752" t="s">
        <v>74</v>
      </c>
      <c r="AG752">
        <v>66</v>
      </c>
      <c r="AH752">
        <v>1</v>
      </c>
      <c r="AI752">
        <v>1</v>
      </c>
      <c r="AJ752">
        <v>9</v>
      </c>
      <c r="AK752">
        <v>18</v>
      </c>
      <c r="AL752" t="s">
        <v>369</v>
      </c>
      <c r="AM752" t="s">
        <v>370</v>
      </c>
      <c r="AN752" t="s">
        <v>371</v>
      </c>
      <c r="AO752" t="s">
        <v>74</v>
      </c>
      <c r="AP752" t="s">
        <v>14461</v>
      </c>
      <c r="AQ752" t="s">
        <v>74</v>
      </c>
      <c r="AR752" t="s">
        <v>14462</v>
      </c>
      <c r="AS752" t="s">
        <v>14463</v>
      </c>
      <c r="AT752" t="s">
        <v>8990</v>
      </c>
      <c r="AU752">
        <v>2023</v>
      </c>
      <c r="AV752">
        <v>12</v>
      </c>
      <c r="AW752">
        <v>6</v>
      </c>
      <c r="AX752" t="s">
        <v>74</v>
      </c>
      <c r="AY752" t="s">
        <v>74</v>
      </c>
      <c r="AZ752" t="s">
        <v>74</v>
      </c>
      <c r="BA752" t="s">
        <v>74</v>
      </c>
      <c r="BB752" t="s">
        <v>74</v>
      </c>
      <c r="BC752" t="s">
        <v>74</v>
      </c>
      <c r="BD752">
        <v>1142</v>
      </c>
      <c r="BE752" t="s">
        <v>14464</v>
      </c>
      <c r="BF752" t="str">
        <f>HYPERLINK("http://dx.doi.org/10.3390/land12061142","http://dx.doi.org/10.3390/land12061142")</f>
        <v>http://dx.doi.org/10.3390/land12061142</v>
      </c>
      <c r="BG752" t="s">
        <v>74</v>
      </c>
      <c r="BH752" t="s">
        <v>74</v>
      </c>
      <c r="BI752">
        <v>25</v>
      </c>
      <c r="BJ752" t="s">
        <v>13792</v>
      </c>
      <c r="BK752" t="s">
        <v>6861</v>
      </c>
      <c r="BL752" t="s">
        <v>1535</v>
      </c>
      <c r="BM752" t="s">
        <v>14465</v>
      </c>
      <c r="BN752" t="s">
        <v>74</v>
      </c>
      <c r="BO752" t="s">
        <v>7816</v>
      </c>
      <c r="BP752" t="s">
        <v>74</v>
      </c>
      <c r="BQ752" t="s">
        <v>74</v>
      </c>
      <c r="BR752" t="s">
        <v>107</v>
      </c>
      <c r="BS752" t="s">
        <v>14466</v>
      </c>
      <c r="BT752" t="str">
        <f>HYPERLINK("https%3A%2F%2Fwww.webofscience.com%2Fwos%2Fwoscc%2Ffull-record%2FWOS:001017264800001","View Full Record in Web of Science")</f>
        <v>View Full Record in Web of Science</v>
      </c>
    </row>
    <row r="753" spans="1:72" x14ac:dyDescent="0.15">
      <c r="A753" t="s">
        <v>72</v>
      </c>
      <c r="B753" t="s">
        <v>14467</v>
      </c>
      <c r="C753" t="s">
        <v>74</v>
      </c>
      <c r="D753" t="s">
        <v>74</v>
      </c>
      <c r="E753" t="s">
        <v>74</v>
      </c>
      <c r="F753" t="s">
        <v>14468</v>
      </c>
      <c r="G753" t="s">
        <v>74</v>
      </c>
      <c r="H753" t="s">
        <v>74</v>
      </c>
      <c r="I753" t="s">
        <v>14469</v>
      </c>
      <c r="J753" t="s">
        <v>357</v>
      </c>
      <c r="K753" t="s">
        <v>74</v>
      </c>
      <c r="L753" t="s">
        <v>74</v>
      </c>
      <c r="M753" t="s">
        <v>78</v>
      </c>
      <c r="N753" t="s">
        <v>79</v>
      </c>
      <c r="O753" t="s">
        <v>74</v>
      </c>
      <c r="P753" t="s">
        <v>74</v>
      </c>
      <c r="Q753" t="s">
        <v>74</v>
      </c>
      <c r="R753" t="s">
        <v>74</v>
      </c>
      <c r="S753" t="s">
        <v>74</v>
      </c>
      <c r="T753" t="s">
        <v>14470</v>
      </c>
      <c r="U753" t="s">
        <v>14471</v>
      </c>
      <c r="V753" t="s">
        <v>14472</v>
      </c>
      <c r="W753" t="s">
        <v>14473</v>
      </c>
      <c r="X753" t="s">
        <v>14474</v>
      </c>
      <c r="Y753" t="s">
        <v>14475</v>
      </c>
      <c r="Z753" t="s">
        <v>14476</v>
      </c>
      <c r="AA753" t="s">
        <v>14477</v>
      </c>
      <c r="AB753" t="s">
        <v>14478</v>
      </c>
      <c r="AC753" t="s">
        <v>14479</v>
      </c>
      <c r="AD753" t="s">
        <v>14480</v>
      </c>
      <c r="AE753" t="s">
        <v>14481</v>
      </c>
      <c r="AF753" t="s">
        <v>74</v>
      </c>
      <c r="AG753">
        <v>55</v>
      </c>
      <c r="AH753">
        <v>2</v>
      </c>
      <c r="AI753">
        <v>2</v>
      </c>
      <c r="AJ753">
        <v>3</v>
      </c>
      <c r="AK753">
        <v>8</v>
      </c>
      <c r="AL753" t="s">
        <v>369</v>
      </c>
      <c r="AM753" t="s">
        <v>370</v>
      </c>
      <c r="AN753" t="s">
        <v>371</v>
      </c>
      <c r="AO753" t="s">
        <v>74</v>
      </c>
      <c r="AP753" t="s">
        <v>372</v>
      </c>
      <c r="AQ753" t="s">
        <v>74</v>
      </c>
      <c r="AR753" t="s">
        <v>357</v>
      </c>
      <c r="AS753" t="s">
        <v>373</v>
      </c>
      <c r="AT753" t="s">
        <v>8990</v>
      </c>
      <c r="AU753">
        <v>2023</v>
      </c>
      <c r="AV753">
        <v>12</v>
      </c>
      <c r="AW753">
        <v>12</v>
      </c>
      <c r="AX753" t="s">
        <v>74</v>
      </c>
      <c r="AY753" t="s">
        <v>74</v>
      </c>
      <c r="AZ753" t="s">
        <v>74</v>
      </c>
      <c r="BA753" t="s">
        <v>74</v>
      </c>
      <c r="BB753" t="s">
        <v>74</v>
      </c>
      <c r="BC753" t="s">
        <v>74</v>
      </c>
      <c r="BD753">
        <v>2259</v>
      </c>
      <c r="BE753" t="s">
        <v>14482</v>
      </c>
      <c r="BF753" t="str">
        <f>HYPERLINK("http://dx.doi.org/10.3390/plants12122259","http://dx.doi.org/10.3390/plants12122259")</f>
        <v>http://dx.doi.org/10.3390/plants12122259</v>
      </c>
      <c r="BG753" t="s">
        <v>74</v>
      </c>
      <c r="BH753" t="s">
        <v>74</v>
      </c>
      <c r="BI753">
        <v>15</v>
      </c>
      <c r="BJ753" t="s">
        <v>375</v>
      </c>
      <c r="BK753" t="s">
        <v>104</v>
      </c>
      <c r="BL753" t="s">
        <v>375</v>
      </c>
      <c r="BM753" t="s">
        <v>14483</v>
      </c>
      <c r="BN753">
        <v>37375884</v>
      </c>
      <c r="BO753" t="s">
        <v>181</v>
      </c>
      <c r="BP753" t="s">
        <v>74</v>
      </c>
      <c r="BQ753" t="s">
        <v>74</v>
      </c>
      <c r="BR753" t="s">
        <v>107</v>
      </c>
      <c r="BS753" t="s">
        <v>14484</v>
      </c>
      <c r="BT753" t="str">
        <f>HYPERLINK("https%3A%2F%2Fwww.webofscience.com%2Fwos%2Fwoscc%2Ffull-record%2FWOS:001017960700001","View Full Record in Web of Science")</f>
        <v>View Full Record in Web of Science</v>
      </c>
    </row>
    <row r="754" spans="1:72" x14ac:dyDescent="0.15">
      <c r="A754" t="s">
        <v>72</v>
      </c>
      <c r="B754" t="s">
        <v>14485</v>
      </c>
      <c r="C754" t="s">
        <v>74</v>
      </c>
      <c r="D754" t="s">
        <v>74</v>
      </c>
      <c r="E754" t="s">
        <v>74</v>
      </c>
      <c r="F754" t="s">
        <v>14486</v>
      </c>
      <c r="G754" t="s">
        <v>74</v>
      </c>
      <c r="H754" t="s">
        <v>74</v>
      </c>
      <c r="I754" t="s">
        <v>14487</v>
      </c>
      <c r="J754" t="s">
        <v>14488</v>
      </c>
      <c r="K754" t="s">
        <v>74</v>
      </c>
      <c r="L754" t="s">
        <v>74</v>
      </c>
      <c r="M754" t="s">
        <v>78</v>
      </c>
      <c r="N754" t="s">
        <v>79</v>
      </c>
      <c r="O754" t="s">
        <v>74</v>
      </c>
      <c r="P754" t="s">
        <v>74</v>
      </c>
      <c r="Q754" t="s">
        <v>74</v>
      </c>
      <c r="R754" t="s">
        <v>74</v>
      </c>
      <c r="S754" t="s">
        <v>74</v>
      </c>
      <c r="T754" t="s">
        <v>14489</v>
      </c>
      <c r="U754" t="s">
        <v>14490</v>
      </c>
      <c r="V754" t="s">
        <v>14491</v>
      </c>
      <c r="W754" t="s">
        <v>14492</v>
      </c>
      <c r="X754" t="s">
        <v>14493</v>
      </c>
      <c r="Y754" t="s">
        <v>14494</v>
      </c>
      <c r="Z754" t="s">
        <v>14495</v>
      </c>
      <c r="AA754" t="s">
        <v>14496</v>
      </c>
      <c r="AB754" t="s">
        <v>14497</v>
      </c>
      <c r="AC754" t="s">
        <v>14498</v>
      </c>
      <c r="AD754" t="s">
        <v>14499</v>
      </c>
      <c r="AE754" t="s">
        <v>14500</v>
      </c>
      <c r="AF754" t="s">
        <v>74</v>
      </c>
      <c r="AG754">
        <v>37</v>
      </c>
      <c r="AH754">
        <v>1</v>
      </c>
      <c r="AI754">
        <v>1</v>
      </c>
      <c r="AJ754">
        <v>4</v>
      </c>
      <c r="AK754">
        <v>4</v>
      </c>
      <c r="AL754" t="s">
        <v>369</v>
      </c>
      <c r="AM754" t="s">
        <v>370</v>
      </c>
      <c r="AN754" t="s">
        <v>371</v>
      </c>
      <c r="AO754" t="s">
        <v>74</v>
      </c>
      <c r="AP754" t="s">
        <v>14501</v>
      </c>
      <c r="AQ754" t="s">
        <v>74</v>
      </c>
      <c r="AR754" t="s">
        <v>14488</v>
      </c>
      <c r="AS754" t="s">
        <v>14502</v>
      </c>
      <c r="AT754" t="s">
        <v>8990</v>
      </c>
      <c r="AU754">
        <v>2023</v>
      </c>
      <c r="AV754">
        <v>13</v>
      </c>
      <c r="AW754">
        <v>6</v>
      </c>
      <c r="AX754" t="s">
        <v>74</v>
      </c>
      <c r="AY754" t="s">
        <v>74</v>
      </c>
      <c r="AZ754" t="s">
        <v>74</v>
      </c>
      <c r="BA754" t="s">
        <v>74</v>
      </c>
      <c r="BB754" t="s">
        <v>74</v>
      </c>
      <c r="BC754" t="s">
        <v>74</v>
      </c>
      <c r="BD754">
        <v>1483</v>
      </c>
      <c r="BE754" t="s">
        <v>14503</v>
      </c>
      <c r="BF754" t="str">
        <f>HYPERLINK("http://dx.doi.org/10.3390/agronomy13061483","http://dx.doi.org/10.3390/agronomy13061483")</f>
        <v>http://dx.doi.org/10.3390/agronomy13061483</v>
      </c>
      <c r="BG754" t="s">
        <v>74</v>
      </c>
      <c r="BH754" t="s">
        <v>74</v>
      </c>
      <c r="BI754">
        <v>12</v>
      </c>
      <c r="BJ754" t="s">
        <v>14504</v>
      </c>
      <c r="BK754" t="s">
        <v>104</v>
      </c>
      <c r="BL754" t="s">
        <v>14505</v>
      </c>
      <c r="BM754" t="s">
        <v>14506</v>
      </c>
      <c r="BN754" t="s">
        <v>74</v>
      </c>
      <c r="BO754" t="s">
        <v>206</v>
      </c>
      <c r="BP754" t="s">
        <v>74</v>
      </c>
      <c r="BQ754" t="s">
        <v>74</v>
      </c>
      <c r="BR754" t="s">
        <v>107</v>
      </c>
      <c r="BS754" t="s">
        <v>14507</v>
      </c>
      <c r="BT754" t="str">
        <f>HYPERLINK("https%3A%2F%2Fwww.webofscience.com%2Fwos%2Fwoscc%2Ffull-record%2FWOS:001016848900001","View Full Record in Web of Science")</f>
        <v>View Full Record in Web of Science</v>
      </c>
    </row>
    <row r="755" spans="1:72" x14ac:dyDescent="0.15">
      <c r="A755" t="s">
        <v>72</v>
      </c>
      <c r="B755" t="s">
        <v>14508</v>
      </c>
      <c r="C755" t="s">
        <v>74</v>
      </c>
      <c r="D755" t="s">
        <v>74</v>
      </c>
      <c r="E755" t="s">
        <v>74</v>
      </c>
      <c r="F755" t="s">
        <v>14509</v>
      </c>
      <c r="G755" t="s">
        <v>74</v>
      </c>
      <c r="H755" t="s">
        <v>74</v>
      </c>
      <c r="I755" t="s">
        <v>14510</v>
      </c>
      <c r="J755" t="s">
        <v>14511</v>
      </c>
      <c r="K755" t="s">
        <v>74</v>
      </c>
      <c r="L755" t="s">
        <v>74</v>
      </c>
      <c r="M755" t="s">
        <v>78</v>
      </c>
      <c r="N755" t="s">
        <v>79</v>
      </c>
      <c r="O755" t="s">
        <v>74</v>
      </c>
      <c r="P755" t="s">
        <v>74</v>
      </c>
      <c r="Q755" t="s">
        <v>74</v>
      </c>
      <c r="R755" t="s">
        <v>74</v>
      </c>
      <c r="S755" t="s">
        <v>74</v>
      </c>
      <c r="T755" t="s">
        <v>14512</v>
      </c>
      <c r="U755" t="s">
        <v>14513</v>
      </c>
      <c r="V755" t="s">
        <v>14514</v>
      </c>
      <c r="W755" t="s">
        <v>14515</v>
      </c>
      <c r="X755" t="s">
        <v>14516</v>
      </c>
      <c r="Y755" t="s">
        <v>14517</v>
      </c>
      <c r="Z755" t="s">
        <v>14518</v>
      </c>
      <c r="AA755" t="s">
        <v>14519</v>
      </c>
      <c r="AB755" t="s">
        <v>14520</v>
      </c>
      <c r="AC755" t="s">
        <v>14521</v>
      </c>
      <c r="AD755" t="s">
        <v>14522</v>
      </c>
      <c r="AE755" t="s">
        <v>14523</v>
      </c>
      <c r="AF755" t="s">
        <v>74</v>
      </c>
      <c r="AG755">
        <v>139</v>
      </c>
      <c r="AH755">
        <v>1</v>
      </c>
      <c r="AI755">
        <v>1</v>
      </c>
      <c r="AJ755">
        <v>1</v>
      </c>
      <c r="AK755">
        <v>4</v>
      </c>
      <c r="AL755" t="s">
        <v>369</v>
      </c>
      <c r="AM755" t="s">
        <v>370</v>
      </c>
      <c r="AN755" t="s">
        <v>371</v>
      </c>
      <c r="AO755" t="s">
        <v>74</v>
      </c>
      <c r="AP755" t="s">
        <v>14524</v>
      </c>
      <c r="AQ755" t="s">
        <v>74</v>
      </c>
      <c r="AR755" t="s">
        <v>14525</v>
      </c>
      <c r="AS755" t="s">
        <v>14526</v>
      </c>
      <c r="AT755" t="s">
        <v>8990</v>
      </c>
      <c r="AU755">
        <v>2023</v>
      </c>
      <c r="AV755">
        <v>8</v>
      </c>
      <c r="AW755">
        <v>6</v>
      </c>
      <c r="AX755" t="s">
        <v>74</v>
      </c>
      <c r="AY755" t="s">
        <v>74</v>
      </c>
      <c r="AZ755" t="s">
        <v>74</v>
      </c>
      <c r="BA755" t="s">
        <v>74</v>
      </c>
      <c r="BB755" t="s">
        <v>74</v>
      </c>
      <c r="BC755" t="s">
        <v>74</v>
      </c>
      <c r="BD755">
        <v>276</v>
      </c>
      <c r="BE755" t="s">
        <v>14527</v>
      </c>
      <c r="BF755" t="str">
        <f>HYPERLINK("http://dx.doi.org/10.3390/fishes8060276","http://dx.doi.org/10.3390/fishes8060276")</f>
        <v>http://dx.doi.org/10.3390/fishes8060276</v>
      </c>
      <c r="BG755" t="s">
        <v>74</v>
      </c>
      <c r="BH755" t="s">
        <v>74</v>
      </c>
      <c r="BI755">
        <v>19</v>
      </c>
      <c r="BJ755" t="s">
        <v>1757</v>
      </c>
      <c r="BK755" t="s">
        <v>104</v>
      </c>
      <c r="BL755" t="s">
        <v>1757</v>
      </c>
      <c r="BM755" t="s">
        <v>14528</v>
      </c>
      <c r="BN755" t="s">
        <v>74</v>
      </c>
      <c r="BO755" t="s">
        <v>206</v>
      </c>
      <c r="BP755" t="s">
        <v>74</v>
      </c>
      <c r="BQ755" t="s">
        <v>74</v>
      </c>
      <c r="BR755" t="s">
        <v>107</v>
      </c>
      <c r="BS755" t="s">
        <v>14529</v>
      </c>
      <c r="BT755" t="str">
        <f>HYPERLINK("https%3A%2F%2Fwww.webofscience.com%2Fwos%2Fwoscc%2Ffull-record%2FWOS:001015287500001","View Full Record in Web of Science")</f>
        <v>View Full Record in Web of Science</v>
      </c>
    </row>
    <row r="756" spans="1:72" x14ac:dyDescent="0.15">
      <c r="A756" t="s">
        <v>72</v>
      </c>
      <c r="B756" t="s">
        <v>14530</v>
      </c>
      <c r="C756" t="s">
        <v>74</v>
      </c>
      <c r="D756" t="s">
        <v>74</v>
      </c>
      <c r="E756" t="s">
        <v>74</v>
      </c>
      <c r="F756" t="s">
        <v>14531</v>
      </c>
      <c r="G756" t="s">
        <v>74</v>
      </c>
      <c r="H756" t="s">
        <v>74</v>
      </c>
      <c r="I756" t="s">
        <v>14532</v>
      </c>
      <c r="J756" t="s">
        <v>232</v>
      </c>
      <c r="K756" t="s">
        <v>74</v>
      </c>
      <c r="L756" t="s">
        <v>74</v>
      </c>
      <c r="M756" t="s">
        <v>78</v>
      </c>
      <c r="N756" t="s">
        <v>79</v>
      </c>
      <c r="O756" t="s">
        <v>74</v>
      </c>
      <c r="P756" t="s">
        <v>74</v>
      </c>
      <c r="Q756" t="s">
        <v>74</v>
      </c>
      <c r="R756" t="s">
        <v>74</v>
      </c>
      <c r="S756" t="s">
        <v>74</v>
      </c>
      <c r="T756" t="s">
        <v>14533</v>
      </c>
      <c r="U756" t="s">
        <v>14534</v>
      </c>
      <c r="V756" t="s">
        <v>14535</v>
      </c>
      <c r="W756" t="s">
        <v>14536</v>
      </c>
      <c r="X756" t="s">
        <v>14537</v>
      </c>
      <c r="Y756" t="s">
        <v>14538</v>
      </c>
      <c r="Z756" t="s">
        <v>14539</v>
      </c>
      <c r="AA756" t="s">
        <v>14540</v>
      </c>
      <c r="AB756" t="s">
        <v>14541</v>
      </c>
      <c r="AC756" t="s">
        <v>14542</v>
      </c>
      <c r="AD756" t="s">
        <v>14543</v>
      </c>
      <c r="AE756" t="s">
        <v>14544</v>
      </c>
      <c r="AF756" t="s">
        <v>74</v>
      </c>
      <c r="AG756">
        <v>93</v>
      </c>
      <c r="AH756">
        <v>0</v>
      </c>
      <c r="AI756">
        <v>0</v>
      </c>
      <c r="AJ756">
        <v>4</v>
      </c>
      <c r="AK756">
        <v>6</v>
      </c>
      <c r="AL756" t="s">
        <v>172</v>
      </c>
      <c r="AM756" t="s">
        <v>173</v>
      </c>
      <c r="AN756" t="s">
        <v>174</v>
      </c>
      <c r="AO756" t="s">
        <v>242</v>
      </c>
      <c r="AP756" t="s">
        <v>243</v>
      </c>
      <c r="AQ756" t="s">
        <v>74</v>
      </c>
      <c r="AR756" t="s">
        <v>244</v>
      </c>
      <c r="AS756" t="s">
        <v>245</v>
      </c>
      <c r="AT756" t="s">
        <v>8990</v>
      </c>
      <c r="AU756">
        <v>2023</v>
      </c>
      <c r="AV756">
        <v>36</v>
      </c>
      <c r="AW756" t="s">
        <v>74</v>
      </c>
      <c r="AX756" t="s">
        <v>74</v>
      </c>
      <c r="AY756" t="s">
        <v>74</v>
      </c>
      <c r="AZ756" t="s">
        <v>74</v>
      </c>
      <c r="BA756" t="s">
        <v>74</v>
      </c>
      <c r="BB756" t="s">
        <v>74</v>
      </c>
      <c r="BC756" t="s">
        <v>74</v>
      </c>
      <c r="BD756">
        <v>100945</v>
      </c>
      <c r="BE756" t="s">
        <v>14545</v>
      </c>
      <c r="BF756" t="str">
        <f>HYPERLINK("http://dx.doi.org/10.1016/j.polar.2023.100945","http://dx.doi.org/10.1016/j.polar.2023.100945")</f>
        <v>http://dx.doi.org/10.1016/j.polar.2023.100945</v>
      </c>
      <c r="BG756" t="s">
        <v>74</v>
      </c>
      <c r="BH756" t="s">
        <v>10102</v>
      </c>
      <c r="BI756">
        <v>11</v>
      </c>
      <c r="BJ756" t="s">
        <v>247</v>
      </c>
      <c r="BK756" t="s">
        <v>104</v>
      </c>
      <c r="BL756" t="s">
        <v>248</v>
      </c>
      <c r="BM756" t="s">
        <v>14546</v>
      </c>
      <c r="BN756" t="s">
        <v>74</v>
      </c>
      <c r="BO756" t="s">
        <v>74</v>
      </c>
      <c r="BP756" t="s">
        <v>74</v>
      </c>
      <c r="BQ756" t="s">
        <v>74</v>
      </c>
      <c r="BR756" t="s">
        <v>107</v>
      </c>
      <c r="BS756" t="s">
        <v>14547</v>
      </c>
      <c r="BT756" t="str">
        <f>HYPERLINK("https%3A%2F%2Fwww.webofscience.com%2Fwos%2Fwoscc%2Ffull-record%2FWOS:001015131400001","View Full Record in Web of Science")</f>
        <v>View Full Record in Web of Science</v>
      </c>
    </row>
    <row r="757" spans="1:72" x14ac:dyDescent="0.15">
      <c r="A757" t="s">
        <v>72</v>
      </c>
      <c r="B757" t="s">
        <v>14548</v>
      </c>
      <c r="C757" t="s">
        <v>74</v>
      </c>
      <c r="D757" t="s">
        <v>74</v>
      </c>
      <c r="E757" t="s">
        <v>74</v>
      </c>
      <c r="F757" t="s">
        <v>14549</v>
      </c>
      <c r="G757" t="s">
        <v>74</v>
      </c>
      <c r="H757" t="s">
        <v>74</v>
      </c>
      <c r="I757" t="s">
        <v>14550</v>
      </c>
      <c r="J757" t="s">
        <v>14488</v>
      </c>
      <c r="K757" t="s">
        <v>74</v>
      </c>
      <c r="L757" t="s">
        <v>74</v>
      </c>
      <c r="M757" t="s">
        <v>78</v>
      </c>
      <c r="N757" t="s">
        <v>79</v>
      </c>
      <c r="O757" t="s">
        <v>74</v>
      </c>
      <c r="P757" t="s">
        <v>74</v>
      </c>
      <c r="Q757" t="s">
        <v>74</v>
      </c>
      <c r="R757" t="s">
        <v>74</v>
      </c>
      <c r="S757" t="s">
        <v>74</v>
      </c>
      <c r="T757" t="s">
        <v>14551</v>
      </c>
      <c r="U757" t="s">
        <v>14552</v>
      </c>
      <c r="V757" t="s">
        <v>14553</v>
      </c>
      <c r="W757" t="s">
        <v>14554</v>
      </c>
      <c r="X757" t="s">
        <v>14555</v>
      </c>
      <c r="Y757" t="s">
        <v>14556</v>
      </c>
      <c r="Z757" t="s">
        <v>14557</v>
      </c>
      <c r="AA757" t="s">
        <v>14558</v>
      </c>
      <c r="AB757" t="s">
        <v>14559</v>
      </c>
      <c r="AC757" t="s">
        <v>74</v>
      </c>
      <c r="AD757" t="s">
        <v>74</v>
      </c>
      <c r="AE757" t="s">
        <v>74</v>
      </c>
      <c r="AF757" t="s">
        <v>74</v>
      </c>
      <c r="AG757">
        <v>42</v>
      </c>
      <c r="AH757">
        <v>1</v>
      </c>
      <c r="AI757">
        <v>1</v>
      </c>
      <c r="AJ757">
        <v>1</v>
      </c>
      <c r="AK757">
        <v>1</v>
      </c>
      <c r="AL757" t="s">
        <v>369</v>
      </c>
      <c r="AM757" t="s">
        <v>370</v>
      </c>
      <c r="AN757" t="s">
        <v>371</v>
      </c>
      <c r="AO757" t="s">
        <v>74</v>
      </c>
      <c r="AP757" t="s">
        <v>14501</v>
      </c>
      <c r="AQ757" t="s">
        <v>74</v>
      </c>
      <c r="AR757" t="s">
        <v>14488</v>
      </c>
      <c r="AS757" t="s">
        <v>14502</v>
      </c>
      <c r="AT757" t="s">
        <v>8990</v>
      </c>
      <c r="AU757">
        <v>2023</v>
      </c>
      <c r="AV757">
        <v>13</v>
      </c>
      <c r="AW757">
        <v>6</v>
      </c>
      <c r="AX757" t="s">
        <v>74</v>
      </c>
      <c r="AY757" t="s">
        <v>74</v>
      </c>
      <c r="AZ757" t="s">
        <v>74</v>
      </c>
      <c r="BA757" t="s">
        <v>74</v>
      </c>
      <c r="BB757" t="s">
        <v>74</v>
      </c>
      <c r="BC757" t="s">
        <v>74</v>
      </c>
      <c r="BD757">
        <v>1619</v>
      </c>
      <c r="BE757" t="s">
        <v>14560</v>
      </c>
      <c r="BF757" t="str">
        <f>HYPERLINK("http://dx.doi.org/10.3390/agronomy13061619","http://dx.doi.org/10.3390/agronomy13061619")</f>
        <v>http://dx.doi.org/10.3390/agronomy13061619</v>
      </c>
      <c r="BG757" t="s">
        <v>74</v>
      </c>
      <c r="BH757" t="s">
        <v>74</v>
      </c>
      <c r="BI757">
        <v>10</v>
      </c>
      <c r="BJ757" t="s">
        <v>14504</v>
      </c>
      <c r="BK757" t="s">
        <v>104</v>
      </c>
      <c r="BL757" t="s">
        <v>14505</v>
      </c>
      <c r="BM757" t="s">
        <v>14561</v>
      </c>
      <c r="BN757" t="s">
        <v>74</v>
      </c>
      <c r="BO757" t="s">
        <v>206</v>
      </c>
      <c r="BP757" t="s">
        <v>74</v>
      </c>
      <c r="BQ757" t="s">
        <v>74</v>
      </c>
      <c r="BR757" t="s">
        <v>107</v>
      </c>
      <c r="BS757" t="s">
        <v>14562</v>
      </c>
      <c r="BT757" t="str">
        <f>HYPERLINK("https%3A%2F%2Fwww.webofscience.com%2Fwos%2Fwoscc%2Ffull-record%2FWOS:001013882400001","View Full Record in Web of Science")</f>
        <v>View Full Record in Web of Science</v>
      </c>
    </row>
    <row r="758" spans="1:72" x14ac:dyDescent="0.15">
      <c r="A758" t="s">
        <v>72</v>
      </c>
      <c r="B758" t="s">
        <v>14563</v>
      </c>
      <c r="C758" t="s">
        <v>74</v>
      </c>
      <c r="D758" t="s">
        <v>74</v>
      </c>
      <c r="E758" t="s">
        <v>74</v>
      </c>
      <c r="F758" t="s">
        <v>14564</v>
      </c>
      <c r="G758" t="s">
        <v>74</v>
      </c>
      <c r="H758" t="s">
        <v>74</v>
      </c>
      <c r="I758" t="s">
        <v>14565</v>
      </c>
      <c r="J758" t="s">
        <v>14566</v>
      </c>
      <c r="K758" t="s">
        <v>74</v>
      </c>
      <c r="L758" t="s">
        <v>74</v>
      </c>
      <c r="M758" t="s">
        <v>78</v>
      </c>
      <c r="N758" t="s">
        <v>79</v>
      </c>
      <c r="O758" t="s">
        <v>74</v>
      </c>
      <c r="P758" t="s">
        <v>74</v>
      </c>
      <c r="Q758" t="s">
        <v>74</v>
      </c>
      <c r="R758" t="s">
        <v>74</v>
      </c>
      <c r="S758" t="s">
        <v>74</v>
      </c>
      <c r="T758" t="s">
        <v>14567</v>
      </c>
      <c r="U758" t="s">
        <v>14568</v>
      </c>
      <c r="V758" t="s">
        <v>14569</v>
      </c>
      <c r="W758" t="s">
        <v>14570</v>
      </c>
      <c r="X758" t="s">
        <v>14571</v>
      </c>
      <c r="Y758" t="s">
        <v>4462</v>
      </c>
      <c r="Z758" t="s">
        <v>4463</v>
      </c>
      <c r="AA758" t="s">
        <v>74</v>
      </c>
      <c r="AB758" t="s">
        <v>4465</v>
      </c>
      <c r="AC758" t="s">
        <v>14572</v>
      </c>
      <c r="AD758" t="s">
        <v>14573</v>
      </c>
      <c r="AE758" t="s">
        <v>14574</v>
      </c>
      <c r="AF758" t="s">
        <v>74</v>
      </c>
      <c r="AG758">
        <v>17</v>
      </c>
      <c r="AH758">
        <v>0</v>
      </c>
      <c r="AI758">
        <v>0</v>
      </c>
      <c r="AJ758">
        <v>0</v>
      </c>
      <c r="AK758">
        <v>2</v>
      </c>
      <c r="AL758" t="s">
        <v>838</v>
      </c>
      <c r="AM758" t="s">
        <v>839</v>
      </c>
      <c r="AN758" t="s">
        <v>840</v>
      </c>
      <c r="AO758" t="s">
        <v>14575</v>
      </c>
      <c r="AP758" t="s">
        <v>74</v>
      </c>
      <c r="AQ758" t="s">
        <v>74</v>
      </c>
      <c r="AR758" t="s">
        <v>14576</v>
      </c>
      <c r="AS758" t="s">
        <v>14577</v>
      </c>
      <c r="AT758" t="s">
        <v>13613</v>
      </c>
      <c r="AU758">
        <v>2023</v>
      </c>
      <c r="AV758">
        <v>5</v>
      </c>
      <c r="AW758">
        <v>6</v>
      </c>
      <c r="AX758" t="s">
        <v>74</v>
      </c>
      <c r="AY758" t="s">
        <v>74</v>
      </c>
      <c r="AZ758" t="s">
        <v>74</v>
      </c>
      <c r="BA758" t="s">
        <v>74</v>
      </c>
      <c r="BB758" t="s">
        <v>74</v>
      </c>
      <c r="BC758" t="s">
        <v>74</v>
      </c>
      <c r="BD758">
        <v>61003</v>
      </c>
      <c r="BE758" t="s">
        <v>14578</v>
      </c>
      <c r="BF758" t="str">
        <f>HYPERLINK("http://dx.doi.org/10.1088/2515-7620/acde4d","http://dx.doi.org/10.1088/2515-7620/acde4d")</f>
        <v>http://dx.doi.org/10.1088/2515-7620/acde4d</v>
      </c>
      <c r="BG758" t="s">
        <v>74</v>
      </c>
      <c r="BH758" t="s">
        <v>74</v>
      </c>
      <c r="BI758">
        <v>7</v>
      </c>
      <c r="BJ758" t="s">
        <v>2050</v>
      </c>
      <c r="BK758" t="s">
        <v>104</v>
      </c>
      <c r="BL758" t="s">
        <v>1535</v>
      </c>
      <c r="BM758" t="s">
        <v>14579</v>
      </c>
      <c r="BN758" t="s">
        <v>74</v>
      </c>
      <c r="BO758" t="s">
        <v>206</v>
      </c>
      <c r="BP758" t="s">
        <v>74</v>
      </c>
      <c r="BQ758" t="s">
        <v>74</v>
      </c>
      <c r="BR758" t="s">
        <v>107</v>
      </c>
      <c r="BS758" t="s">
        <v>14580</v>
      </c>
      <c r="BT758" t="str">
        <f>HYPERLINK("https%3A%2F%2Fwww.webofscience.com%2Fwos%2Fwoscc%2Ffull-record%2FWOS:001012308900001","View Full Record in Web of Science")</f>
        <v>View Full Record in Web of Science</v>
      </c>
    </row>
    <row r="759" spans="1:72" x14ac:dyDescent="0.15">
      <c r="A759" t="s">
        <v>72</v>
      </c>
      <c r="B759" t="s">
        <v>14581</v>
      </c>
      <c r="C759" t="s">
        <v>74</v>
      </c>
      <c r="D759" t="s">
        <v>74</v>
      </c>
      <c r="E759" t="s">
        <v>74</v>
      </c>
      <c r="F759" t="s">
        <v>14582</v>
      </c>
      <c r="G759" t="s">
        <v>74</v>
      </c>
      <c r="H759" t="s">
        <v>74</v>
      </c>
      <c r="I759" t="s">
        <v>14583</v>
      </c>
      <c r="J759" t="s">
        <v>1222</v>
      </c>
      <c r="K759" t="s">
        <v>74</v>
      </c>
      <c r="L759" t="s">
        <v>74</v>
      </c>
      <c r="M759" t="s">
        <v>78</v>
      </c>
      <c r="N759" t="s">
        <v>79</v>
      </c>
      <c r="O759" t="s">
        <v>74</v>
      </c>
      <c r="P759" t="s">
        <v>74</v>
      </c>
      <c r="Q759" t="s">
        <v>74</v>
      </c>
      <c r="R759" t="s">
        <v>74</v>
      </c>
      <c r="S759" t="s">
        <v>74</v>
      </c>
      <c r="T759" t="s">
        <v>14584</v>
      </c>
      <c r="U759" t="s">
        <v>14585</v>
      </c>
      <c r="V759" t="s">
        <v>14586</v>
      </c>
      <c r="W759" t="s">
        <v>14587</v>
      </c>
      <c r="X759" t="s">
        <v>14588</v>
      </c>
      <c r="Y759" t="s">
        <v>14589</v>
      </c>
      <c r="Z759" t="s">
        <v>14590</v>
      </c>
      <c r="AA759" t="s">
        <v>74</v>
      </c>
      <c r="AB759" t="s">
        <v>14591</v>
      </c>
      <c r="AC759" t="s">
        <v>14592</v>
      </c>
      <c r="AD759" t="s">
        <v>14593</v>
      </c>
      <c r="AE759" t="s">
        <v>14594</v>
      </c>
      <c r="AF759" t="s">
        <v>74</v>
      </c>
      <c r="AG759">
        <v>72</v>
      </c>
      <c r="AH759">
        <v>1</v>
      </c>
      <c r="AI759">
        <v>1</v>
      </c>
      <c r="AJ759">
        <v>7</v>
      </c>
      <c r="AK759">
        <v>17</v>
      </c>
      <c r="AL759" t="s">
        <v>90</v>
      </c>
      <c r="AM759" t="s">
        <v>91</v>
      </c>
      <c r="AN759" t="s">
        <v>92</v>
      </c>
      <c r="AO759" t="s">
        <v>1234</v>
      </c>
      <c r="AP759" t="s">
        <v>1235</v>
      </c>
      <c r="AQ759" t="s">
        <v>74</v>
      </c>
      <c r="AR759" t="s">
        <v>1236</v>
      </c>
      <c r="AS759" t="s">
        <v>1237</v>
      </c>
      <c r="AT759" t="s">
        <v>8990</v>
      </c>
      <c r="AU759">
        <v>2023</v>
      </c>
      <c r="AV759">
        <v>53</v>
      </c>
      <c r="AW759">
        <v>6</v>
      </c>
      <c r="AX759" t="s">
        <v>74</v>
      </c>
      <c r="AY759" t="s">
        <v>74</v>
      </c>
      <c r="AZ759" t="s">
        <v>74</v>
      </c>
      <c r="BA759" t="s">
        <v>74</v>
      </c>
      <c r="BB759">
        <v>1467</v>
      </c>
      <c r="BC759">
        <v>1484</v>
      </c>
      <c r="BD759" t="s">
        <v>74</v>
      </c>
      <c r="BE759" t="s">
        <v>14595</v>
      </c>
      <c r="BF759" t="str">
        <f>HYPERLINK("http://dx.doi.org/10.1175/JPO-D-22-0133.1","http://dx.doi.org/10.1175/JPO-D-22-0133.1")</f>
        <v>http://dx.doi.org/10.1175/JPO-D-22-0133.1</v>
      </c>
      <c r="BG759" t="s">
        <v>74</v>
      </c>
      <c r="BH759" t="s">
        <v>74</v>
      </c>
      <c r="BI759">
        <v>18</v>
      </c>
      <c r="BJ759" t="s">
        <v>306</v>
      </c>
      <c r="BK759" t="s">
        <v>104</v>
      </c>
      <c r="BL759" t="s">
        <v>306</v>
      </c>
      <c r="BM759" t="s">
        <v>14596</v>
      </c>
      <c r="BN759" t="s">
        <v>74</v>
      </c>
      <c r="BO759" t="s">
        <v>74</v>
      </c>
      <c r="BP759" t="s">
        <v>74</v>
      </c>
      <c r="BQ759" t="s">
        <v>74</v>
      </c>
      <c r="BR759" t="s">
        <v>107</v>
      </c>
      <c r="BS759" t="s">
        <v>14597</v>
      </c>
      <c r="BT759" t="str">
        <f>HYPERLINK("https%3A%2F%2Fwww.webofscience.com%2Fwos%2Fwoscc%2Ffull-record%2FWOS:001011366000004","View Full Record in Web of Science")</f>
        <v>View Full Record in Web of Science</v>
      </c>
    </row>
    <row r="760" spans="1:72" x14ac:dyDescent="0.15">
      <c r="A760" t="s">
        <v>72</v>
      </c>
      <c r="B760" t="s">
        <v>14598</v>
      </c>
      <c r="C760" t="s">
        <v>74</v>
      </c>
      <c r="D760" t="s">
        <v>74</v>
      </c>
      <c r="E760" t="s">
        <v>74</v>
      </c>
      <c r="F760" t="s">
        <v>14599</v>
      </c>
      <c r="G760" t="s">
        <v>74</v>
      </c>
      <c r="H760" t="s">
        <v>74</v>
      </c>
      <c r="I760" t="s">
        <v>14600</v>
      </c>
      <c r="J760" t="s">
        <v>14601</v>
      </c>
      <c r="K760" t="s">
        <v>74</v>
      </c>
      <c r="L760" t="s">
        <v>74</v>
      </c>
      <c r="M760" t="s">
        <v>78</v>
      </c>
      <c r="N760" t="s">
        <v>79</v>
      </c>
      <c r="O760" t="s">
        <v>74</v>
      </c>
      <c r="P760" t="s">
        <v>74</v>
      </c>
      <c r="Q760" t="s">
        <v>74</v>
      </c>
      <c r="R760" t="s">
        <v>74</v>
      </c>
      <c r="S760" t="s">
        <v>74</v>
      </c>
      <c r="T760" t="s">
        <v>74</v>
      </c>
      <c r="U760" t="s">
        <v>14602</v>
      </c>
      <c r="V760" t="s">
        <v>14603</v>
      </c>
      <c r="W760" t="s">
        <v>14604</v>
      </c>
      <c r="X760" t="s">
        <v>6935</v>
      </c>
      <c r="Y760" t="s">
        <v>14605</v>
      </c>
      <c r="Z760" t="s">
        <v>14606</v>
      </c>
      <c r="AA760" t="s">
        <v>74</v>
      </c>
      <c r="AB760" t="s">
        <v>14607</v>
      </c>
      <c r="AC760" t="s">
        <v>14608</v>
      </c>
      <c r="AD760" t="s">
        <v>14609</v>
      </c>
      <c r="AE760" t="s">
        <v>14610</v>
      </c>
      <c r="AF760" t="s">
        <v>74</v>
      </c>
      <c r="AG760">
        <v>72</v>
      </c>
      <c r="AH760">
        <v>0</v>
      </c>
      <c r="AI760">
        <v>0</v>
      </c>
      <c r="AJ760">
        <v>2</v>
      </c>
      <c r="AK760">
        <v>3</v>
      </c>
      <c r="AL760" t="s">
        <v>14611</v>
      </c>
      <c r="AM760" t="s">
        <v>14612</v>
      </c>
      <c r="AN760" t="s">
        <v>14613</v>
      </c>
      <c r="AO760" t="s">
        <v>14614</v>
      </c>
      <c r="AP760" t="s">
        <v>14615</v>
      </c>
      <c r="AQ760" t="s">
        <v>74</v>
      </c>
      <c r="AR760" t="s">
        <v>14616</v>
      </c>
      <c r="AS760" t="s">
        <v>14617</v>
      </c>
      <c r="AT760" t="s">
        <v>8990</v>
      </c>
      <c r="AU760">
        <v>2023</v>
      </c>
      <c r="AV760">
        <v>153</v>
      </c>
      <c r="AW760">
        <v>6</v>
      </c>
      <c r="AX760" t="s">
        <v>74</v>
      </c>
      <c r="AY760" t="s">
        <v>74</v>
      </c>
      <c r="AZ760" t="s">
        <v>74</v>
      </c>
      <c r="BA760" t="s">
        <v>74</v>
      </c>
      <c r="BB760">
        <v>3301</v>
      </c>
      <c r="BC760">
        <v>3311</v>
      </c>
      <c r="BD760" t="s">
        <v>74</v>
      </c>
      <c r="BE760" t="s">
        <v>14618</v>
      </c>
      <c r="BF760" t="str">
        <f>HYPERLINK("http://dx.doi.org/10.1121/10.0019633","http://dx.doi.org/10.1121/10.0019633")</f>
        <v>http://dx.doi.org/10.1121/10.0019633</v>
      </c>
      <c r="BG760" t="s">
        <v>74</v>
      </c>
      <c r="BH760" t="s">
        <v>74</v>
      </c>
      <c r="BI760">
        <v>11</v>
      </c>
      <c r="BJ760" t="s">
        <v>14619</v>
      </c>
      <c r="BK760" t="s">
        <v>104</v>
      </c>
      <c r="BL760" t="s">
        <v>14619</v>
      </c>
      <c r="BM760" t="s">
        <v>14620</v>
      </c>
      <c r="BN760">
        <v>37318450</v>
      </c>
      <c r="BO760" t="s">
        <v>549</v>
      </c>
      <c r="BP760" t="s">
        <v>74</v>
      </c>
      <c r="BQ760" t="s">
        <v>74</v>
      </c>
      <c r="BR760" t="s">
        <v>107</v>
      </c>
      <c r="BS760" t="s">
        <v>14621</v>
      </c>
      <c r="BT760" t="str">
        <f>HYPERLINK("https%3A%2F%2Fwww.webofscience.com%2Fwos%2Fwoscc%2Ffull-record%2FWOS:001011032100001","View Full Record in Web of Science")</f>
        <v>View Full Record in Web of Science</v>
      </c>
    </row>
    <row r="761" spans="1:72" x14ac:dyDescent="0.15">
      <c r="A761" t="s">
        <v>72</v>
      </c>
      <c r="B761" t="s">
        <v>14622</v>
      </c>
      <c r="C761" t="s">
        <v>74</v>
      </c>
      <c r="D761" t="s">
        <v>74</v>
      </c>
      <c r="E761" t="s">
        <v>74</v>
      </c>
      <c r="F761" t="s">
        <v>14623</v>
      </c>
      <c r="G761" t="s">
        <v>74</v>
      </c>
      <c r="H761" t="s">
        <v>74</v>
      </c>
      <c r="I761" t="s">
        <v>14624</v>
      </c>
      <c r="J761" t="s">
        <v>232</v>
      </c>
      <c r="K761" t="s">
        <v>74</v>
      </c>
      <c r="L761" t="s">
        <v>74</v>
      </c>
      <c r="M761" t="s">
        <v>78</v>
      </c>
      <c r="N761" t="s">
        <v>79</v>
      </c>
      <c r="O761" t="s">
        <v>74</v>
      </c>
      <c r="P761" t="s">
        <v>74</v>
      </c>
      <c r="Q761" t="s">
        <v>74</v>
      </c>
      <c r="R761" t="s">
        <v>74</v>
      </c>
      <c r="S761" t="s">
        <v>74</v>
      </c>
      <c r="T761" t="s">
        <v>14625</v>
      </c>
      <c r="U761" t="s">
        <v>74</v>
      </c>
      <c r="V761" t="s">
        <v>14626</v>
      </c>
      <c r="W761" t="s">
        <v>14627</v>
      </c>
      <c r="X761" t="s">
        <v>14628</v>
      </c>
      <c r="Y761" t="s">
        <v>14629</v>
      </c>
      <c r="Z761" t="s">
        <v>14630</v>
      </c>
      <c r="AA761" t="s">
        <v>74</v>
      </c>
      <c r="AB761" t="s">
        <v>14631</v>
      </c>
      <c r="AC761" t="s">
        <v>74</v>
      </c>
      <c r="AD761" t="s">
        <v>74</v>
      </c>
      <c r="AE761" t="s">
        <v>74</v>
      </c>
      <c r="AF761" t="s">
        <v>74</v>
      </c>
      <c r="AG761">
        <v>22</v>
      </c>
      <c r="AH761">
        <v>0</v>
      </c>
      <c r="AI761">
        <v>0</v>
      </c>
      <c r="AJ761">
        <v>0</v>
      </c>
      <c r="AK761">
        <v>0</v>
      </c>
      <c r="AL761" t="s">
        <v>172</v>
      </c>
      <c r="AM761" t="s">
        <v>173</v>
      </c>
      <c r="AN761" t="s">
        <v>174</v>
      </c>
      <c r="AO761" t="s">
        <v>242</v>
      </c>
      <c r="AP761" t="s">
        <v>243</v>
      </c>
      <c r="AQ761" t="s">
        <v>74</v>
      </c>
      <c r="AR761" t="s">
        <v>244</v>
      </c>
      <c r="AS761" t="s">
        <v>245</v>
      </c>
      <c r="AT761" t="s">
        <v>8990</v>
      </c>
      <c r="AU761">
        <v>2023</v>
      </c>
      <c r="AV761">
        <v>36</v>
      </c>
      <c r="AW761" t="s">
        <v>74</v>
      </c>
      <c r="AX761" t="s">
        <v>74</v>
      </c>
      <c r="AY761" t="s">
        <v>74</v>
      </c>
      <c r="AZ761" t="s">
        <v>74</v>
      </c>
      <c r="BA761" t="s">
        <v>74</v>
      </c>
      <c r="BB761" t="s">
        <v>74</v>
      </c>
      <c r="BC761" t="s">
        <v>74</v>
      </c>
      <c r="BD761">
        <v>100947</v>
      </c>
      <c r="BE761" t="s">
        <v>14632</v>
      </c>
      <c r="BF761" t="str">
        <f>HYPERLINK("http://dx.doi.org/10.1016/j.polar.2023.100947","http://dx.doi.org/10.1016/j.polar.2023.100947")</f>
        <v>http://dx.doi.org/10.1016/j.polar.2023.100947</v>
      </c>
      <c r="BG761" t="s">
        <v>74</v>
      </c>
      <c r="BH761" t="s">
        <v>10102</v>
      </c>
      <c r="BI761">
        <v>8</v>
      </c>
      <c r="BJ761" t="s">
        <v>247</v>
      </c>
      <c r="BK761" t="s">
        <v>104</v>
      </c>
      <c r="BL761" t="s">
        <v>248</v>
      </c>
      <c r="BM761" t="s">
        <v>14633</v>
      </c>
      <c r="BN761" t="s">
        <v>74</v>
      </c>
      <c r="BO761" t="s">
        <v>549</v>
      </c>
      <c r="BP761" t="s">
        <v>74</v>
      </c>
      <c r="BQ761" t="s">
        <v>74</v>
      </c>
      <c r="BR761" t="s">
        <v>107</v>
      </c>
      <c r="BS761" t="s">
        <v>14634</v>
      </c>
      <c r="BT761" t="str">
        <f>HYPERLINK("https%3A%2F%2Fwww.webofscience.com%2Fwos%2Fwoscc%2Ffull-record%2FWOS:001010523600001","View Full Record in Web of Science")</f>
        <v>View Full Record in Web of Science</v>
      </c>
    </row>
    <row r="762" spans="1:72" x14ac:dyDescent="0.15">
      <c r="A762" t="s">
        <v>72</v>
      </c>
      <c r="B762" t="s">
        <v>14635</v>
      </c>
      <c r="C762" t="s">
        <v>74</v>
      </c>
      <c r="D762" t="s">
        <v>74</v>
      </c>
      <c r="E762" t="s">
        <v>74</v>
      </c>
      <c r="F762" t="s">
        <v>14636</v>
      </c>
      <c r="G762" t="s">
        <v>74</v>
      </c>
      <c r="H762" t="s">
        <v>14637</v>
      </c>
      <c r="I762" t="s">
        <v>14638</v>
      </c>
      <c r="J762" t="s">
        <v>14639</v>
      </c>
      <c r="K762" t="s">
        <v>74</v>
      </c>
      <c r="L762" t="s">
        <v>74</v>
      </c>
      <c r="M762" t="s">
        <v>78</v>
      </c>
      <c r="N762" t="s">
        <v>79</v>
      </c>
      <c r="O762" t="s">
        <v>74</v>
      </c>
      <c r="P762" t="s">
        <v>74</v>
      </c>
      <c r="Q762" t="s">
        <v>74</v>
      </c>
      <c r="R762" t="s">
        <v>74</v>
      </c>
      <c r="S762" t="s">
        <v>74</v>
      </c>
      <c r="T762" t="s">
        <v>74</v>
      </c>
      <c r="U762" t="s">
        <v>14640</v>
      </c>
      <c r="V762" t="s">
        <v>14641</v>
      </c>
      <c r="W762" t="s">
        <v>14642</v>
      </c>
      <c r="X762" t="s">
        <v>14643</v>
      </c>
      <c r="Y762" t="s">
        <v>14644</v>
      </c>
      <c r="Z762" t="s">
        <v>14645</v>
      </c>
      <c r="AA762" t="s">
        <v>14646</v>
      </c>
      <c r="AB762" t="s">
        <v>14647</v>
      </c>
      <c r="AC762" t="s">
        <v>14648</v>
      </c>
      <c r="AD762" t="s">
        <v>14649</v>
      </c>
      <c r="AE762" t="s">
        <v>14650</v>
      </c>
      <c r="AF762" t="s">
        <v>74</v>
      </c>
      <c r="AG762">
        <v>74</v>
      </c>
      <c r="AH762">
        <v>1</v>
      </c>
      <c r="AI762">
        <v>1</v>
      </c>
      <c r="AJ762">
        <v>0</v>
      </c>
      <c r="AK762">
        <v>2</v>
      </c>
      <c r="AL762" t="s">
        <v>838</v>
      </c>
      <c r="AM762" t="s">
        <v>839</v>
      </c>
      <c r="AN762" t="s">
        <v>840</v>
      </c>
      <c r="AO762" t="s">
        <v>14651</v>
      </c>
      <c r="AP762" t="s">
        <v>14652</v>
      </c>
      <c r="AQ762" t="s">
        <v>74</v>
      </c>
      <c r="AR762" t="s">
        <v>14653</v>
      </c>
      <c r="AS762" t="s">
        <v>14654</v>
      </c>
      <c r="AT762" t="s">
        <v>13613</v>
      </c>
      <c r="AU762">
        <v>2023</v>
      </c>
      <c r="AV762">
        <v>949</v>
      </c>
      <c r="AW762">
        <v>2</v>
      </c>
      <c r="AX762" t="s">
        <v>74</v>
      </c>
      <c r="AY762" t="s">
        <v>74</v>
      </c>
      <c r="AZ762" t="s">
        <v>74</v>
      </c>
      <c r="BA762" t="s">
        <v>74</v>
      </c>
      <c r="BB762" t="s">
        <v>74</v>
      </c>
      <c r="BC762" t="s">
        <v>74</v>
      </c>
      <c r="BD762">
        <v>43</v>
      </c>
      <c r="BE762" t="s">
        <v>14655</v>
      </c>
      <c r="BF762" t="str">
        <f>HYPERLINK("http://dx.doi.org/10.3847/1538-4357/acc85c","http://dx.doi.org/10.3847/1538-4357/acc85c")</f>
        <v>http://dx.doi.org/10.3847/1538-4357/acc85c</v>
      </c>
      <c r="BG762" t="s">
        <v>74</v>
      </c>
      <c r="BH762" t="s">
        <v>74</v>
      </c>
      <c r="BI762">
        <v>26</v>
      </c>
      <c r="BJ762" t="s">
        <v>845</v>
      </c>
      <c r="BK762" t="s">
        <v>104</v>
      </c>
      <c r="BL762" t="s">
        <v>845</v>
      </c>
      <c r="BM762" t="s">
        <v>14656</v>
      </c>
      <c r="BN762" t="s">
        <v>74</v>
      </c>
      <c r="BO762" t="s">
        <v>14657</v>
      </c>
      <c r="BP762" t="s">
        <v>74</v>
      </c>
      <c r="BQ762" t="s">
        <v>74</v>
      </c>
      <c r="BR762" t="s">
        <v>107</v>
      </c>
      <c r="BS762" t="s">
        <v>14658</v>
      </c>
      <c r="BT762" t="str">
        <f>HYPERLINK("https%3A%2F%2Fwww.webofscience.com%2Fwos%2Fwoscc%2Ffull-record%2FWOS:000995086500001","View Full Record in Web of Science")</f>
        <v>View Full Record in Web of Science</v>
      </c>
    </row>
    <row r="763" spans="1:72" x14ac:dyDescent="0.15">
      <c r="A763" t="s">
        <v>72</v>
      </c>
      <c r="B763" t="s">
        <v>14659</v>
      </c>
      <c r="C763" t="s">
        <v>74</v>
      </c>
      <c r="D763" t="s">
        <v>74</v>
      </c>
      <c r="E763" t="s">
        <v>74</v>
      </c>
      <c r="F763" t="s">
        <v>14660</v>
      </c>
      <c r="G763" t="s">
        <v>74</v>
      </c>
      <c r="H763" t="s">
        <v>74</v>
      </c>
      <c r="I763" t="s">
        <v>14661</v>
      </c>
      <c r="J763" t="s">
        <v>1304</v>
      </c>
      <c r="K763" t="s">
        <v>74</v>
      </c>
      <c r="L763" t="s">
        <v>74</v>
      </c>
      <c r="M763" t="s">
        <v>78</v>
      </c>
      <c r="N763" t="s">
        <v>79</v>
      </c>
      <c r="O763" t="s">
        <v>74</v>
      </c>
      <c r="P763" t="s">
        <v>74</v>
      </c>
      <c r="Q763" t="s">
        <v>74</v>
      </c>
      <c r="R763" t="s">
        <v>74</v>
      </c>
      <c r="S763" t="s">
        <v>74</v>
      </c>
      <c r="T763" t="s">
        <v>74</v>
      </c>
      <c r="U763" t="s">
        <v>14662</v>
      </c>
      <c r="V763" t="s">
        <v>14663</v>
      </c>
      <c r="W763" t="s">
        <v>14664</v>
      </c>
      <c r="X763" t="s">
        <v>14665</v>
      </c>
      <c r="Y763" t="s">
        <v>14666</v>
      </c>
      <c r="Z763" t="s">
        <v>14667</v>
      </c>
      <c r="AA763" t="s">
        <v>14668</v>
      </c>
      <c r="AB763" t="s">
        <v>14669</v>
      </c>
      <c r="AC763" t="s">
        <v>14670</v>
      </c>
      <c r="AD763" t="s">
        <v>14671</v>
      </c>
      <c r="AE763" t="s">
        <v>14672</v>
      </c>
      <c r="AF763" t="s">
        <v>74</v>
      </c>
      <c r="AG763">
        <v>133</v>
      </c>
      <c r="AH763">
        <v>2</v>
      </c>
      <c r="AI763">
        <v>2</v>
      </c>
      <c r="AJ763">
        <v>6</v>
      </c>
      <c r="AK763">
        <v>10</v>
      </c>
      <c r="AL763" t="s">
        <v>588</v>
      </c>
      <c r="AM763" t="s">
        <v>589</v>
      </c>
      <c r="AN763" t="s">
        <v>590</v>
      </c>
      <c r="AO763" t="s">
        <v>1317</v>
      </c>
      <c r="AP763" t="s">
        <v>1318</v>
      </c>
      <c r="AQ763" t="s">
        <v>74</v>
      </c>
      <c r="AR763" t="s">
        <v>1319</v>
      </c>
      <c r="AS763" t="s">
        <v>1320</v>
      </c>
      <c r="AT763" t="s">
        <v>8990</v>
      </c>
      <c r="AU763">
        <v>2023</v>
      </c>
      <c r="AV763">
        <v>38</v>
      </c>
      <c r="AW763">
        <v>6</v>
      </c>
      <c r="AX763" t="s">
        <v>74</v>
      </c>
      <c r="AY763" t="s">
        <v>74</v>
      </c>
      <c r="AZ763" t="s">
        <v>74</v>
      </c>
      <c r="BA763" t="s">
        <v>74</v>
      </c>
      <c r="BB763" t="s">
        <v>74</v>
      </c>
      <c r="BC763" t="s">
        <v>74</v>
      </c>
      <c r="BD763" t="s">
        <v>14673</v>
      </c>
      <c r="BE763" t="s">
        <v>14674</v>
      </c>
      <c r="BF763" t="str">
        <f>HYPERLINK("http://dx.doi.org/10.1029/2022PA004533","http://dx.doi.org/10.1029/2022PA004533")</f>
        <v>http://dx.doi.org/10.1029/2022PA004533</v>
      </c>
      <c r="BG763" t="s">
        <v>74</v>
      </c>
      <c r="BH763" t="s">
        <v>74</v>
      </c>
      <c r="BI763">
        <v>18</v>
      </c>
      <c r="BJ763" t="s">
        <v>1323</v>
      </c>
      <c r="BK763" t="s">
        <v>104</v>
      </c>
      <c r="BL763" t="s">
        <v>1324</v>
      </c>
      <c r="BM763" t="s">
        <v>14675</v>
      </c>
      <c r="BN763" t="s">
        <v>74</v>
      </c>
      <c r="BO763" t="s">
        <v>1217</v>
      </c>
      <c r="BP763" t="s">
        <v>74</v>
      </c>
      <c r="BQ763" t="s">
        <v>74</v>
      </c>
      <c r="BR763" t="s">
        <v>107</v>
      </c>
      <c r="BS763" t="s">
        <v>14676</v>
      </c>
      <c r="BT763" t="str">
        <f>HYPERLINK("https%3A%2F%2Fwww.webofscience.com%2Fwos%2Fwoscc%2Ffull-record%2FWOS:001005357100001","View Full Record in Web of Science")</f>
        <v>View Full Record in Web of Science</v>
      </c>
    </row>
    <row r="764" spans="1:72" x14ac:dyDescent="0.15">
      <c r="A764" t="s">
        <v>72</v>
      </c>
      <c r="B764" t="s">
        <v>14677</v>
      </c>
      <c r="C764" t="s">
        <v>74</v>
      </c>
      <c r="D764" t="s">
        <v>74</v>
      </c>
      <c r="E764" t="s">
        <v>74</v>
      </c>
      <c r="F764" t="s">
        <v>14678</v>
      </c>
      <c r="G764" t="s">
        <v>74</v>
      </c>
      <c r="H764" t="s">
        <v>74</v>
      </c>
      <c r="I764" t="s">
        <v>14679</v>
      </c>
      <c r="J764" t="s">
        <v>2193</v>
      </c>
      <c r="K764" t="s">
        <v>74</v>
      </c>
      <c r="L764" t="s">
        <v>74</v>
      </c>
      <c r="M764" t="s">
        <v>78</v>
      </c>
      <c r="N764" t="s">
        <v>79</v>
      </c>
      <c r="O764" t="s">
        <v>74</v>
      </c>
      <c r="P764" t="s">
        <v>74</v>
      </c>
      <c r="Q764" t="s">
        <v>74</v>
      </c>
      <c r="R764" t="s">
        <v>74</v>
      </c>
      <c r="S764" t="s">
        <v>74</v>
      </c>
      <c r="T764" t="s">
        <v>74</v>
      </c>
      <c r="U764" t="s">
        <v>14680</v>
      </c>
      <c r="V764" t="s">
        <v>14681</v>
      </c>
      <c r="W764" t="s">
        <v>14682</v>
      </c>
      <c r="X764" t="s">
        <v>14683</v>
      </c>
      <c r="Y764" t="s">
        <v>14684</v>
      </c>
      <c r="Z764" t="s">
        <v>14685</v>
      </c>
      <c r="AA764" t="s">
        <v>14686</v>
      </c>
      <c r="AB764" t="s">
        <v>14687</v>
      </c>
      <c r="AC764" t="s">
        <v>14688</v>
      </c>
      <c r="AD764" t="s">
        <v>14689</v>
      </c>
      <c r="AE764" t="s">
        <v>14690</v>
      </c>
      <c r="AF764" t="s">
        <v>74</v>
      </c>
      <c r="AG764">
        <v>65</v>
      </c>
      <c r="AH764">
        <v>1</v>
      </c>
      <c r="AI764">
        <v>1</v>
      </c>
      <c r="AJ764">
        <v>3</v>
      </c>
      <c r="AK764">
        <v>8</v>
      </c>
      <c r="AL764" t="s">
        <v>146</v>
      </c>
      <c r="AM764" t="s">
        <v>147</v>
      </c>
      <c r="AN764" t="s">
        <v>148</v>
      </c>
      <c r="AO764" t="s">
        <v>2204</v>
      </c>
      <c r="AP764" t="s">
        <v>74</v>
      </c>
      <c r="AQ764" t="s">
        <v>74</v>
      </c>
      <c r="AR764" t="s">
        <v>2205</v>
      </c>
      <c r="AS764" t="s">
        <v>2206</v>
      </c>
      <c r="AT764" t="s">
        <v>13613</v>
      </c>
      <c r="AU764">
        <v>2023</v>
      </c>
      <c r="AV764">
        <v>13</v>
      </c>
      <c r="AW764">
        <v>1</v>
      </c>
      <c r="AX764" t="s">
        <v>74</v>
      </c>
      <c r="AY764" t="s">
        <v>74</v>
      </c>
      <c r="AZ764" t="s">
        <v>74</v>
      </c>
      <c r="BA764" t="s">
        <v>74</v>
      </c>
      <c r="BB764" t="s">
        <v>74</v>
      </c>
      <c r="BC764" t="s">
        <v>74</v>
      </c>
      <c r="BD764">
        <v>8880</v>
      </c>
      <c r="BE764" t="s">
        <v>14691</v>
      </c>
      <c r="BF764" t="str">
        <f>HYPERLINK("http://dx.doi.org/10.1038/s41598-023-35983-y","http://dx.doi.org/10.1038/s41598-023-35983-y")</f>
        <v>http://dx.doi.org/10.1038/s41598-023-35983-y</v>
      </c>
      <c r="BG764" t="s">
        <v>74</v>
      </c>
      <c r="BH764" t="s">
        <v>74</v>
      </c>
      <c r="BI764">
        <v>13</v>
      </c>
      <c r="BJ764" t="s">
        <v>1881</v>
      </c>
      <c r="BK764" t="s">
        <v>104</v>
      </c>
      <c r="BL764" t="s">
        <v>1882</v>
      </c>
      <c r="BM764" t="s">
        <v>14692</v>
      </c>
      <c r="BN764">
        <v>37264058</v>
      </c>
      <c r="BO764" t="s">
        <v>821</v>
      </c>
      <c r="BP764" t="s">
        <v>74</v>
      </c>
      <c r="BQ764" t="s">
        <v>74</v>
      </c>
      <c r="BR764" t="s">
        <v>107</v>
      </c>
      <c r="BS764" t="s">
        <v>14693</v>
      </c>
      <c r="BT764" t="str">
        <f>HYPERLINK("https%3A%2F%2Fwww.webofscience.com%2Fwos%2Fwoscc%2Ffull-record%2FWOS:001000430300018","View Full Record in Web of Science")</f>
        <v>View Full Record in Web of Science</v>
      </c>
    </row>
    <row r="765" spans="1:72" x14ac:dyDescent="0.15">
      <c r="A765" t="s">
        <v>72</v>
      </c>
      <c r="B765" t="s">
        <v>14694</v>
      </c>
      <c r="C765" t="s">
        <v>74</v>
      </c>
      <c r="D765" t="s">
        <v>74</v>
      </c>
      <c r="E765" t="s">
        <v>74</v>
      </c>
      <c r="F765" t="s">
        <v>14695</v>
      </c>
      <c r="G765" t="s">
        <v>74</v>
      </c>
      <c r="H765" t="s">
        <v>74</v>
      </c>
      <c r="I765" t="s">
        <v>14696</v>
      </c>
      <c r="J765" t="s">
        <v>7957</v>
      </c>
      <c r="K765" t="s">
        <v>74</v>
      </c>
      <c r="L765" t="s">
        <v>74</v>
      </c>
      <c r="M765" t="s">
        <v>78</v>
      </c>
      <c r="N765" t="s">
        <v>79</v>
      </c>
      <c r="O765" t="s">
        <v>74</v>
      </c>
      <c r="P765" t="s">
        <v>74</v>
      </c>
      <c r="Q765" t="s">
        <v>74</v>
      </c>
      <c r="R765" t="s">
        <v>74</v>
      </c>
      <c r="S765" t="s">
        <v>74</v>
      </c>
      <c r="T765" t="s">
        <v>14697</v>
      </c>
      <c r="U765" t="s">
        <v>14698</v>
      </c>
      <c r="V765" t="s">
        <v>14699</v>
      </c>
      <c r="W765" t="s">
        <v>14700</v>
      </c>
      <c r="X765" t="s">
        <v>14701</v>
      </c>
      <c r="Y765" t="s">
        <v>14702</v>
      </c>
      <c r="Z765" t="s">
        <v>14703</v>
      </c>
      <c r="AA765" t="s">
        <v>14704</v>
      </c>
      <c r="AB765" t="s">
        <v>14705</v>
      </c>
      <c r="AC765" t="s">
        <v>74</v>
      </c>
      <c r="AD765" t="s">
        <v>74</v>
      </c>
      <c r="AE765" t="s">
        <v>74</v>
      </c>
      <c r="AF765" t="s">
        <v>74</v>
      </c>
      <c r="AG765">
        <v>51</v>
      </c>
      <c r="AH765">
        <v>0</v>
      </c>
      <c r="AI765">
        <v>0</v>
      </c>
      <c r="AJ765">
        <v>0</v>
      </c>
      <c r="AK765">
        <v>2</v>
      </c>
      <c r="AL765" t="s">
        <v>1803</v>
      </c>
      <c r="AM765" t="s">
        <v>1804</v>
      </c>
      <c r="AN765" t="s">
        <v>1805</v>
      </c>
      <c r="AO765" t="s">
        <v>7967</v>
      </c>
      <c r="AP765" t="s">
        <v>7968</v>
      </c>
      <c r="AQ765" t="s">
        <v>74</v>
      </c>
      <c r="AR765" t="s">
        <v>7969</v>
      </c>
      <c r="AS765" t="s">
        <v>7970</v>
      </c>
      <c r="AT765" t="s">
        <v>1810</v>
      </c>
      <c r="AU765">
        <v>2023</v>
      </c>
      <c r="AV765">
        <v>69</v>
      </c>
      <c r="AW765">
        <v>277</v>
      </c>
      <c r="AX765" t="s">
        <v>74</v>
      </c>
      <c r="AY765" t="s">
        <v>74</v>
      </c>
      <c r="AZ765" t="s">
        <v>74</v>
      </c>
      <c r="BA765" t="s">
        <v>74</v>
      </c>
      <c r="BB765">
        <v>1434</v>
      </c>
      <c r="BC765">
        <v>1448</v>
      </c>
      <c r="BD765" t="s">
        <v>14706</v>
      </c>
      <c r="BE765" t="s">
        <v>14707</v>
      </c>
      <c r="BF765" t="str">
        <f>HYPERLINK("http://dx.doi.org/10.1017/jog.2023.33","http://dx.doi.org/10.1017/jog.2023.33")</f>
        <v>http://dx.doi.org/10.1017/jog.2023.33</v>
      </c>
      <c r="BG765" t="s">
        <v>74</v>
      </c>
      <c r="BH765" t="s">
        <v>10102</v>
      </c>
      <c r="BI765">
        <v>15</v>
      </c>
      <c r="BJ765" t="s">
        <v>1783</v>
      </c>
      <c r="BK765" t="s">
        <v>104</v>
      </c>
      <c r="BL765" t="s">
        <v>1784</v>
      </c>
      <c r="BM765" t="s">
        <v>14708</v>
      </c>
      <c r="BN765" t="s">
        <v>74</v>
      </c>
      <c r="BO765" t="s">
        <v>821</v>
      </c>
      <c r="BP765" t="s">
        <v>74</v>
      </c>
      <c r="BQ765" t="s">
        <v>74</v>
      </c>
      <c r="BR765" t="s">
        <v>107</v>
      </c>
      <c r="BS765" t="s">
        <v>14709</v>
      </c>
      <c r="BT765" t="str">
        <f>HYPERLINK("https%3A%2F%2Fwww.webofscience.com%2Fwos%2Fwoscc%2Ffull-record%2FWOS:001006035400001","View Full Record in Web of Science")</f>
        <v>View Full Record in Web of Science</v>
      </c>
    </row>
    <row r="766" spans="1:72" x14ac:dyDescent="0.15">
      <c r="A766" t="s">
        <v>72</v>
      </c>
      <c r="B766" t="s">
        <v>14710</v>
      </c>
      <c r="C766" t="s">
        <v>74</v>
      </c>
      <c r="D766" t="s">
        <v>74</v>
      </c>
      <c r="E766" t="s">
        <v>74</v>
      </c>
      <c r="F766" t="s">
        <v>14711</v>
      </c>
      <c r="G766" t="s">
        <v>74</v>
      </c>
      <c r="H766" t="s">
        <v>74</v>
      </c>
      <c r="I766" t="s">
        <v>14712</v>
      </c>
      <c r="J766" t="s">
        <v>9442</v>
      </c>
      <c r="K766" t="s">
        <v>74</v>
      </c>
      <c r="L766" t="s">
        <v>74</v>
      </c>
      <c r="M766" t="s">
        <v>78</v>
      </c>
      <c r="N766" t="s">
        <v>79</v>
      </c>
      <c r="O766" t="s">
        <v>74</v>
      </c>
      <c r="P766" t="s">
        <v>74</v>
      </c>
      <c r="Q766" t="s">
        <v>74</v>
      </c>
      <c r="R766" t="s">
        <v>74</v>
      </c>
      <c r="S766" t="s">
        <v>74</v>
      </c>
      <c r="T766" t="s">
        <v>14713</v>
      </c>
      <c r="U766" t="s">
        <v>14714</v>
      </c>
      <c r="V766" t="s">
        <v>14715</v>
      </c>
      <c r="W766" t="s">
        <v>14716</v>
      </c>
      <c r="X766" t="s">
        <v>917</v>
      </c>
      <c r="Y766" t="s">
        <v>14717</v>
      </c>
      <c r="Z766" t="s">
        <v>14718</v>
      </c>
      <c r="AA766" t="s">
        <v>74</v>
      </c>
      <c r="AB766" t="s">
        <v>14719</v>
      </c>
      <c r="AC766" t="s">
        <v>14720</v>
      </c>
      <c r="AD766" t="s">
        <v>14721</v>
      </c>
      <c r="AE766" t="s">
        <v>14722</v>
      </c>
      <c r="AF766" t="s">
        <v>74</v>
      </c>
      <c r="AG766">
        <v>53</v>
      </c>
      <c r="AH766">
        <v>1</v>
      </c>
      <c r="AI766">
        <v>1</v>
      </c>
      <c r="AJ766">
        <v>1</v>
      </c>
      <c r="AK766">
        <v>2</v>
      </c>
      <c r="AL766" t="s">
        <v>588</v>
      </c>
      <c r="AM766" t="s">
        <v>589</v>
      </c>
      <c r="AN766" t="s">
        <v>590</v>
      </c>
      <c r="AO766" t="s">
        <v>74</v>
      </c>
      <c r="AP766" t="s">
        <v>9455</v>
      </c>
      <c r="AQ766" t="s">
        <v>74</v>
      </c>
      <c r="AR766" t="s">
        <v>9456</v>
      </c>
      <c r="AS766" t="s">
        <v>9457</v>
      </c>
      <c r="AT766" t="s">
        <v>8990</v>
      </c>
      <c r="AU766">
        <v>2023</v>
      </c>
      <c r="AV766">
        <v>21</v>
      </c>
      <c r="AW766">
        <v>6</v>
      </c>
      <c r="AX766" t="s">
        <v>74</v>
      </c>
      <c r="AY766" t="s">
        <v>74</v>
      </c>
      <c r="AZ766" t="s">
        <v>74</v>
      </c>
      <c r="BA766" t="s">
        <v>74</v>
      </c>
      <c r="BB766" t="s">
        <v>74</v>
      </c>
      <c r="BC766" t="s">
        <v>74</v>
      </c>
      <c r="BD766" t="s">
        <v>14723</v>
      </c>
      <c r="BE766" t="s">
        <v>14724</v>
      </c>
      <c r="BF766" t="str">
        <f>HYPERLINK("http://dx.doi.org/10.1029/2023SW003436","http://dx.doi.org/10.1029/2023SW003436")</f>
        <v>http://dx.doi.org/10.1029/2023SW003436</v>
      </c>
      <c r="BG766" t="s">
        <v>74</v>
      </c>
      <c r="BH766" t="s">
        <v>74</v>
      </c>
      <c r="BI766">
        <v>18</v>
      </c>
      <c r="BJ766" t="s">
        <v>9460</v>
      </c>
      <c r="BK766" t="s">
        <v>104</v>
      </c>
      <c r="BL766" t="s">
        <v>9460</v>
      </c>
      <c r="BM766" t="s">
        <v>14725</v>
      </c>
      <c r="BN766" t="s">
        <v>74</v>
      </c>
      <c r="BO766" t="s">
        <v>936</v>
      </c>
      <c r="BP766" t="s">
        <v>74</v>
      </c>
      <c r="BQ766" t="s">
        <v>74</v>
      </c>
      <c r="BR766" t="s">
        <v>107</v>
      </c>
      <c r="BS766" t="s">
        <v>14726</v>
      </c>
      <c r="BT766" t="str">
        <f>HYPERLINK("https%3A%2F%2Fwww.webofscience.com%2Fwos%2Fwoscc%2Ffull-record%2FWOS:001003942500001","View Full Record in Web of Science")</f>
        <v>View Full Record in Web of Science</v>
      </c>
    </row>
    <row r="767" spans="1:72" x14ac:dyDescent="0.15">
      <c r="A767" t="s">
        <v>72</v>
      </c>
      <c r="B767" t="s">
        <v>14727</v>
      </c>
      <c r="C767" t="s">
        <v>74</v>
      </c>
      <c r="D767" t="s">
        <v>74</v>
      </c>
      <c r="E767" t="s">
        <v>74</v>
      </c>
      <c r="F767" t="s">
        <v>14728</v>
      </c>
      <c r="G767" t="s">
        <v>74</v>
      </c>
      <c r="H767" t="s">
        <v>74</v>
      </c>
      <c r="I767" t="s">
        <v>14729</v>
      </c>
      <c r="J767" t="s">
        <v>5782</v>
      </c>
      <c r="K767" t="s">
        <v>74</v>
      </c>
      <c r="L767" t="s">
        <v>74</v>
      </c>
      <c r="M767" t="s">
        <v>78</v>
      </c>
      <c r="N767" t="s">
        <v>79</v>
      </c>
      <c r="O767" t="s">
        <v>74</v>
      </c>
      <c r="P767" t="s">
        <v>74</v>
      </c>
      <c r="Q767" t="s">
        <v>74</v>
      </c>
      <c r="R767" t="s">
        <v>74</v>
      </c>
      <c r="S767" t="s">
        <v>74</v>
      </c>
      <c r="T767" t="s">
        <v>14730</v>
      </c>
      <c r="U767" t="s">
        <v>14731</v>
      </c>
      <c r="V767" t="s">
        <v>14732</v>
      </c>
      <c r="W767" t="s">
        <v>14733</v>
      </c>
      <c r="X767" t="s">
        <v>14734</v>
      </c>
      <c r="Y767" t="s">
        <v>14735</v>
      </c>
      <c r="Z767" t="s">
        <v>14736</v>
      </c>
      <c r="AA767" t="s">
        <v>14737</v>
      </c>
      <c r="AB767" t="s">
        <v>14738</v>
      </c>
      <c r="AC767" t="s">
        <v>14739</v>
      </c>
      <c r="AD767" t="s">
        <v>14740</v>
      </c>
      <c r="AE767" t="s">
        <v>14741</v>
      </c>
      <c r="AF767" t="s">
        <v>74</v>
      </c>
      <c r="AG767">
        <v>56</v>
      </c>
      <c r="AH767">
        <v>3</v>
      </c>
      <c r="AI767">
        <v>3</v>
      </c>
      <c r="AJ767">
        <v>10</v>
      </c>
      <c r="AK767">
        <v>15</v>
      </c>
      <c r="AL767" t="s">
        <v>588</v>
      </c>
      <c r="AM767" t="s">
        <v>589</v>
      </c>
      <c r="AN767" t="s">
        <v>590</v>
      </c>
      <c r="AO767" t="s">
        <v>74</v>
      </c>
      <c r="AP767" t="s">
        <v>5795</v>
      </c>
      <c r="AQ767" t="s">
        <v>74</v>
      </c>
      <c r="AR767" t="s">
        <v>5796</v>
      </c>
      <c r="AS767" t="s">
        <v>5797</v>
      </c>
      <c r="AT767" t="s">
        <v>8990</v>
      </c>
      <c r="AU767">
        <v>2023</v>
      </c>
      <c r="AV767">
        <v>15</v>
      </c>
      <c r="AW767">
        <v>6</v>
      </c>
      <c r="AX767" t="s">
        <v>74</v>
      </c>
      <c r="AY767" t="s">
        <v>74</v>
      </c>
      <c r="AZ767" t="s">
        <v>74</v>
      </c>
      <c r="BA767" t="s">
        <v>74</v>
      </c>
      <c r="BB767" t="s">
        <v>74</v>
      </c>
      <c r="BC767" t="s">
        <v>74</v>
      </c>
      <c r="BD767" t="s">
        <v>14742</v>
      </c>
      <c r="BE767" t="s">
        <v>14743</v>
      </c>
      <c r="BF767" t="str">
        <f>HYPERLINK("http://dx.doi.org/10.1029/2022MS003593","http://dx.doi.org/10.1029/2022MS003593")</f>
        <v>http://dx.doi.org/10.1029/2022MS003593</v>
      </c>
      <c r="BG767" t="s">
        <v>74</v>
      </c>
      <c r="BH767" t="s">
        <v>74</v>
      </c>
      <c r="BI767">
        <v>22</v>
      </c>
      <c r="BJ767" t="s">
        <v>103</v>
      </c>
      <c r="BK767" t="s">
        <v>104</v>
      </c>
      <c r="BL767" t="s">
        <v>103</v>
      </c>
      <c r="BM767" t="s">
        <v>14744</v>
      </c>
      <c r="BN767" t="s">
        <v>74</v>
      </c>
      <c r="BO767" t="s">
        <v>7816</v>
      </c>
      <c r="BP767" t="s">
        <v>74</v>
      </c>
      <c r="BQ767" t="s">
        <v>74</v>
      </c>
      <c r="BR767" t="s">
        <v>107</v>
      </c>
      <c r="BS767" t="s">
        <v>14745</v>
      </c>
      <c r="BT767" t="str">
        <f>HYPERLINK("https%3A%2F%2Fwww.webofscience.com%2Fwos%2Fwoscc%2Ffull-record%2FWOS:001000548800001","View Full Record in Web of Science")</f>
        <v>View Full Record in Web of Science</v>
      </c>
    </row>
    <row r="768" spans="1:72" x14ac:dyDescent="0.15">
      <c r="A768" t="s">
        <v>72</v>
      </c>
      <c r="B768" t="s">
        <v>14746</v>
      </c>
      <c r="C768" t="s">
        <v>74</v>
      </c>
      <c r="D768" t="s">
        <v>74</v>
      </c>
      <c r="E768" t="s">
        <v>74</v>
      </c>
      <c r="F768" t="s">
        <v>14747</v>
      </c>
      <c r="G768" t="s">
        <v>74</v>
      </c>
      <c r="H768" t="s">
        <v>74</v>
      </c>
      <c r="I768" t="s">
        <v>14748</v>
      </c>
      <c r="J768" t="s">
        <v>1008</v>
      </c>
      <c r="K768" t="s">
        <v>74</v>
      </c>
      <c r="L768" t="s">
        <v>74</v>
      </c>
      <c r="M768" t="s">
        <v>78</v>
      </c>
      <c r="N768" t="s">
        <v>79</v>
      </c>
      <c r="O768" t="s">
        <v>74</v>
      </c>
      <c r="P768" t="s">
        <v>74</v>
      </c>
      <c r="Q768" t="s">
        <v>74</v>
      </c>
      <c r="R768" t="s">
        <v>74</v>
      </c>
      <c r="S768" t="s">
        <v>74</v>
      </c>
      <c r="T768" t="s">
        <v>74</v>
      </c>
      <c r="U768" t="s">
        <v>14749</v>
      </c>
      <c r="V768" t="s">
        <v>14750</v>
      </c>
      <c r="W768" t="s">
        <v>14751</v>
      </c>
      <c r="X768" t="s">
        <v>14752</v>
      </c>
      <c r="Y768" t="s">
        <v>14753</v>
      </c>
      <c r="Z768" t="s">
        <v>14754</v>
      </c>
      <c r="AA768" t="s">
        <v>14755</v>
      </c>
      <c r="AB768" t="s">
        <v>14756</v>
      </c>
      <c r="AC768" t="s">
        <v>14757</v>
      </c>
      <c r="AD768" t="s">
        <v>14758</v>
      </c>
      <c r="AE768" t="s">
        <v>14759</v>
      </c>
      <c r="AF768" t="s">
        <v>74</v>
      </c>
      <c r="AG768">
        <v>95</v>
      </c>
      <c r="AH768">
        <v>0</v>
      </c>
      <c r="AI768">
        <v>0</v>
      </c>
      <c r="AJ768">
        <v>2</v>
      </c>
      <c r="AK768">
        <v>2</v>
      </c>
      <c r="AL768" t="s">
        <v>588</v>
      </c>
      <c r="AM768" t="s">
        <v>589</v>
      </c>
      <c r="AN768" t="s">
        <v>590</v>
      </c>
      <c r="AO768" t="s">
        <v>1020</v>
      </c>
      <c r="AP768" t="s">
        <v>1021</v>
      </c>
      <c r="AQ768" t="s">
        <v>74</v>
      </c>
      <c r="AR768" t="s">
        <v>1022</v>
      </c>
      <c r="AS768" t="s">
        <v>1023</v>
      </c>
      <c r="AT768" t="s">
        <v>8990</v>
      </c>
      <c r="AU768">
        <v>2023</v>
      </c>
      <c r="AV768">
        <v>128</v>
      </c>
      <c r="AW768">
        <v>6</v>
      </c>
      <c r="AX768" t="s">
        <v>74</v>
      </c>
      <c r="AY768" t="s">
        <v>74</v>
      </c>
      <c r="AZ768" t="s">
        <v>74</v>
      </c>
      <c r="BA768" t="s">
        <v>74</v>
      </c>
      <c r="BB768" t="s">
        <v>74</v>
      </c>
      <c r="BC768" t="s">
        <v>74</v>
      </c>
      <c r="BD768" t="s">
        <v>14760</v>
      </c>
      <c r="BE768" t="s">
        <v>14761</v>
      </c>
      <c r="BF768" t="str">
        <f>HYPERLINK("http://dx.doi.org/10.1029/2023JC019797","http://dx.doi.org/10.1029/2023JC019797")</f>
        <v>http://dx.doi.org/10.1029/2023JC019797</v>
      </c>
      <c r="BG768" t="s">
        <v>74</v>
      </c>
      <c r="BH768" t="s">
        <v>74</v>
      </c>
      <c r="BI768">
        <v>14</v>
      </c>
      <c r="BJ768" t="s">
        <v>306</v>
      </c>
      <c r="BK768" t="s">
        <v>104</v>
      </c>
      <c r="BL768" t="s">
        <v>306</v>
      </c>
      <c r="BM768" t="s">
        <v>14762</v>
      </c>
      <c r="BN768" t="s">
        <v>74</v>
      </c>
      <c r="BO768" t="s">
        <v>74</v>
      </c>
      <c r="BP768" t="s">
        <v>74</v>
      </c>
      <c r="BQ768" t="s">
        <v>74</v>
      </c>
      <c r="BR768" t="s">
        <v>107</v>
      </c>
      <c r="BS768" t="s">
        <v>14763</v>
      </c>
      <c r="BT768" t="str">
        <f>HYPERLINK("https%3A%2F%2Fwww.webofscience.com%2Fwos%2Fwoscc%2Ffull-record%2FWOS:000999007800001","View Full Record in Web of Science")</f>
        <v>View Full Record in Web of Science</v>
      </c>
    </row>
    <row r="769" spans="1:72" x14ac:dyDescent="0.15">
      <c r="A769" t="s">
        <v>72</v>
      </c>
      <c r="B769" t="s">
        <v>14764</v>
      </c>
      <c r="C769" t="s">
        <v>74</v>
      </c>
      <c r="D769" t="s">
        <v>74</v>
      </c>
      <c r="E769" t="s">
        <v>74</v>
      </c>
      <c r="F769" t="s">
        <v>14765</v>
      </c>
      <c r="G769" t="s">
        <v>74</v>
      </c>
      <c r="H769" t="s">
        <v>74</v>
      </c>
      <c r="I769" t="s">
        <v>14766</v>
      </c>
      <c r="J769" t="s">
        <v>2610</v>
      </c>
      <c r="K769" t="s">
        <v>74</v>
      </c>
      <c r="L769" t="s">
        <v>74</v>
      </c>
      <c r="M769" t="s">
        <v>78</v>
      </c>
      <c r="N769" t="s">
        <v>79</v>
      </c>
      <c r="O769" t="s">
        <v>74</v>
      </c>
      <c r="P769" t="s">
        <v>74</v>
      </c>
      <c r="Q769" t="s">
        <v>74</v>
      </c>
      <c r="R769" t="s">
        <v>74</v>
      </c>
      <c r="S769" t="s">
        <v>74</v>
      </c>
      <c r="T769" t="s">
        <v>74</v>
      </c>
      <c r="U769" t="s">
        <v>14767</v>
      </c>
      <c r="V769" t="s">
        <v>14768</v>
      </c>
      <c r="W769" t="s">
        <v>14769</v>
      </c>
      <c r="X769" t="s">
        <v>14770</v>
      </c>
      <c r="Y769" t="s">
        <v>14771</v>
      </c>
      <c r="Z769" t="s">
        <v>14772</v>
      </c>
      <c r="AA769" t="s">
        <v>14773</v>
      </c>
      <c r="AB769" t="s">
        <v>14774</v>
      </c>
      <c r="AC769" t="s">
        <v>14775</v>
      </c>
      <c r="AD769" t="s">
        <v>14776</v>
      </c>
      <c r="AE769" t="s">
        <v>14777</v>
      </c>
      <c r="AF769" t="s">
        <v>74</v>
      </c>
      <c r="AG769">
        <v>93</v>
      </c>
      <c r="AH769">
        <v>3</v>
      </c>
      <c r="AI769">
        <v>3</v>
      </c>
      <c r="AJ769">
        <v>12</v>
      </c>
      <c r="AK769">
        <v>27</v>
      </c>
      <c r="AL769" t="s">
        <v>2617</v>
      </c>
      <c r="AM769" t="s">
        <v>1528</v>
      </c>
      <c r="AN769" t="s">
        <v>2618</v>
      </c>
      <c r="AO769" t="s">
        <v>74</v>
      </c>
      <c r="AP769" t="s">
        <v>2619</v>
      </c>
      <c r="AQ769" t="s">
        <v>74</v>
      </c>
      <c r="AR769" t="s">
        <v>2620</v>
      </c>
      <c r="AS769" t="s">
        <v>2621</v>
      </c>
      <c r="AT769" t="s">
        <v>13613</v>
      </c>
      <c r="AU769">
        <v>2023</v>
      </c>
      <c r="AV769">
        <v>4</v>
      </c>
      <c r="AW769">
        <v>1</v>
      </c>
      <c r="AX769" t="s">
        <v>74</v>
      </c>
      <c r="AY769" t="s">
        <v>74</v>
      </c>
      <c r="AZ769" t="s">
        <v>74</v>
      </c>
      <c r="BA769" t="s">
        <v>74</v>
      </c>
      <c r="BB769" t="s">
        <v>74</v>
      </c>
      <c r="BC769" t="s">
        <v>74</v>
      </c>
      <c r="BD769">
        <v>189</v>
      </c>
      <c r="BE769" t="s">
        <v>14778</v>
      </c>
      <c r="BF769" t="str">
        <f>HYPERLINK("http://dx.doi.org/10.1038/s43247-023-00838-x","http://dx.doi.org/10.1038/s43247-023-00838-x")</f>
        <v>http://dx.doi.org/10.1038/s43247-023-00838-x</v>
      </c>
      <c r="BG769" t="s">
        <v>74</v>
      </c>
      <c r="BH769" t="s">
        <v>74</v>
      </c>
      <c r="BI769">
        <v>12</v>
      </c>
      <c r="BJ769" t="s">
        <v>1214</v>
      </c>
      <c r="BK769" t="s">
        <v>104</v>
      </c>
      <c r="BL769" t="s">
        <v>1215</v>
      </c>
      <c r="BM769" t="s">
        <v>14779</v>
      </c>
      <c r="BN769" t="s">
        <v>74</v>
      </c>
      <c r="BO769" t="s">
        <v>821</v>
      </c>
      <c r="BP769" t="s">
        <v>74</v>
      </c>
      <c r="BQ769" t="s">
        <v>74</v>
      </c>
      <c r="BR769" t="s">
        <v>107</v>
      </c>
      <c r="BS769" t="s">
        <v>14780</v>
      </c>
      <c r="BT769" t="str">
        <f>HYPERLINK("https%3A%2F%2Fwww.webofscience.com%2Fwos%2Fwoscc%2Ffull-record%2FWOS:000999617700002","View Full Record in Web of Science")</f>
        <v>View Full Record in Web of Science</v>
      </c>
    </row>
    <row r="770" spans="1:72" x14ac:dyDescent="0.15">
      <c r="A770" t="s">
        <v>72</v>
      </c>
      <c r="B770" t="s">
        <v>14781</v>
      </c>
      <c r="C770" t="s">
        <v>74</v>
      </c>
      <c r="D770" t="s">
        <v>74</v>
      </c>
      <c r="E770" t="s">
        <v>74</v>
      </c>
      <c r="F770" t="s">
        <v>14782</v>
      </c>
      <c r="G770" t="s">
        <v>74</v>
      </c>
      <c r="H770" t="s">
        <v>74</v>
      </c>
      <c r="I770" t="s">
        <v>14783</v>
      </c>
      <c r="J770" t="s">
        <v>14784</v>
      </c>
      <c r="K770" t="s">
        <v>74</v>
      </c>
      <c r="L770" t="s">
        <v>74</v>
      </c>
      <c r="M770" t="s">
        <v>78</v>
      </c>
      <c r="N770" t="s">
        <v>79</v>
      </c>
      <c r="O770" t="s">
        <v>74</v>
      </c>
      <c r="P770" t="s">
        <v>74</v>
      </c>
      <c r="Q770" t="s">
        <v>74</v>
      </c>
      <c r="R770" t="s">
        <v>74</v>
      </c>
      <c r="S770" t="s">
        <v>74</v>
      </c>
      <c r="T770" t="s">
        <v>14785</v>
      </c>
      <c r="U770" t="s">
        <v>14786</v>
      </c>
      <c r="V770" t="s">
        <v>14787</v>
      </c>
      <c r="W770" t="s">
        <v>14788</v>
      </c>
      <c r="X770" t="s">
        <v>14789</v>
      </c>
      <c r="Y770" t="s">
        <v>14790</v>
      </c>
      <c r="Z770" t="s">
        <v>14791</v>
      </c>
      <c r="AA770" t="s">
        <v>14792</v>
      </c>
      <c r="AB770" t="s">
        <v>14793</v>
      </c>
      <c r="AC770" t="s">
        <v>14794</v>
      </c>
      <c r="AD770" t="s">
        <v>14795</v>
      </c>
      <c r="AE770" t="s">
        <v>14796</v>
      </c>
      <c r="AF770" t="s">
        <v>74</v>
      </c>
      <c r="AG770">
        <v>42</v>
      </c>
      <c r="AH770">
        <v>1</v>
      </c>
      <c r="AI770">
        <v>1</v>
      </c>
      <c r="AJ770">
        <v>5</v>
      </c>
      <c r="AK770">
        <v>8</v>
      </c>
      <c r="AL770" t="s">
        <v>588</v>
      </c>
      <c r="AM770" t="s">
        <v>589</v>
      </c>
      <c r="AN770" t="s">
        <v>590</v>
      </c>
      <c r="AO770" t="s">
        <v>14797</v>
      </c>
      <c r="AP770" t="s">
        <v>14798</v>
      </c>
      <c r="AQ770" t="s">
        <v>74</v>
      </c>
      <c r="AR770" t="s">
        <v>14799</v>
      </c>
      <c r="AS770" t="s">
        <v>14800</v>
      </c>
      <c r="AT770" t="s">
        <v>8990</v>
      </c>
      <c r="AU770">
        <v>2023</v>
      </c>
      <c r="AV770">
        <v>128</v>
      </c>
      <c r="AW770">
        <v>6</v>
      </c>
      <c r="AX770" t="s">
        <v>74</v>
      </c>
      <c r="AY770" t="s">
        <v>74</v>
      </c>
      <c r="AZ770" t="s">
        <v>74</v>
      </c>
      <c r="BA770" t="s">
        <v>74</v>
      </c>
      <c r="BB770" t="s">
        <v>74</v>
      </c>
      <c r="BC770" t="s">
        <v>74</v>
      </c>
      <c r="BD770" t="s">
        <v>14801</v>
      </c>
      <c r="BE770" t="s">
        <v>14802</v>
      </c>
      <c r="BF770" t="str">
        <f>HYPERLINK("http://dx.doi.org/10.1029/2022JE007620","http://dx.doi.org/10.1029/2022JE007620")</f>
        <v>http://dx.doi.org/10.1029/2022JE007620</v>
      </c>
      <c r="BG770" t="s">
        <v>74</v>
      </c>
      <c r="BH770" t="s">
        <v>74</v>
      </c>
      <c r="BI770">
        <v>19</v>
      </c>
      <c r="BJ770" t="s">
        <v>597</v>
      </c>
      <c r="BK770" t="s">
        <v>104</v>
      </c>
      <c r="BL770" t="s">
        <v>597</v>
      </c>
      <c r="BM770" t="s">
        <v>14803</v>
      </c>
      <c r="BN770" t="s">
        <v>74</v>
      </c>
      <c r="BO770" t="s">
        <v>74</v>
      </c>
      <c r="BP770" t="s">
        <v>74</v>
      </c>
      <c r="BQ770" t="s">
        <v>74</v>
      </c>
      <c r="BR770" t="s">
        <v>107</v>
      </c>
      <c r="BS770" t="s">
        <v>14804</v>
      </c>
      <c r="BT770" t="str">
        <f>HYPERLINK("https%3A%2F%2Fwww.webofscience.com%2Fwos%2Fwoscc%2Ffull-record%2FWOS:001000344600001","View Full Record in Web of Science")</f>
        <v>View Full Record in Web of Science</v>
      </c>
    </row>
    <row r="771" spans="1:72" x14ac:dyDescent="0.15">
      <c r="A771" t="s">
        <v>72</v>
      </c>
      <c r="B771" t="s">
        <v>14805</v>
      </c>
      <c r="C771" t="s">
        <v>74</v>
      </c>
      <c r="D771" t="s">
        <v>74</v>
      </c>
      <c r="E771" t="s">
        <v>74</v>
      </c>
      <c r="F771" t="s">
        <v>14806</v>
      </c>
      <c r="G771" t="s">
        <v>74</v>
      </c>
      <c r="H771" t="s">
        <v>74</v>
      </c>
      <c r="I771" t="s">
        <v>14807</v>
      </c>
      <c r="J771" t="s">
        <v>1304</v>
      </c>
      <c r="K771" t="s">
        <v>74</v>
      </c>
      <c r="L771" t="s">
        <v>74</v>
      </c>
      <c r="M771" t="s">
        <v>78</v>
      </c>
      <c r="N771" t="s">
        <v>79</v>
      </c>
      <c r="O771" t="s">
        <v>74</v>
      </c>
      <c r="P771" t="s">
        <v>74</v>
      </c>
      <c r="Q771" t="s">
        <v>74</v>
      </c>
      <c r="R771" t="s">
        <v>74</v>
      </c>
      <c r="S771" t="s">
        <v>74</v>
      </c>
      <c r="T771" t="s">
        <v>14808</v>
      </c>
      <c r="U771" t="s">
        <v>14809</v>
      </c>
      <c r="V771" t="s">
        <v>14810</v>
      </c>
      <c r="W771" t="s">
        <v>14811</v>
      </c>
      <c r="X771" t="s">
        <v>14812</v>
      </c>
      <c r="Y771" t="s">
        <v>14813</v>
      </c>
      <c r="Z771" t="s">
        <v>14814</v>
      </c>
      <c r="AA771" t="s">
        <v>14815</v>
      </c>
      <c r="AB771" t="s">
        <v>14816</v>
      </c>
      <c r="AC771" t="s">
        <v>14817</v>
      </c>
      <c r="AD771" t="s">
        <v>14818</v>
      </c>
      <c r="AE771" t="s">
        <v>14819</v>
      </c>
      <c r="AF771" t="s">
        <v>74</v>
      </c>
      <c r="AG771">
        <v>115</v>
      </c>
      <c r="AH771">
        <v>0</v>
      </c>
      <c r="AI771">
        <v>0</v>
      </c>
      <c r="AJ771">
        <v>2</v>
      </c>
      <c r="AK771">
        <v>5</v>
      </c>
      <c r="AL771" t="s">
        <v>588</v>
      </c>
      <c r="AM771" t="s">
        <v>589</v>
      </c>
      <c r="AN771" t="s">
        <v>590</v>
      </c>
      <c r="AO771" t="s">
        <v>1317</v>
      </c>
      <c r="AP771" t="s">
        <v>1318</v>
      </c>
      <c r="AQ771" t="s">
        <v>74</v>
      </c>
      <c r="AR771" t="s">
        <v>1319</v>
      </c>
      <c r="AS771" t="s">
        <v>1320</v>
      </c>
      <c r="AT771" t="s">
        <v>8990</v>
      </c>
      <c r="AU771">
        <v>2023</v>
      </c>
      <c r="AV771">
        <v>38</v>
      </c>
      <c r="AW771">
        <v>6</v>
      </c>
      <c r="AX771" t="s">
        <v>74</v>
      </c>
      <c r="AY771" t="s">
        <v>74</v>
      </c>
      <c r="AZ771" t="s">
        <v>74</v>
      </c>
      <c r="BA771" t="s">
        <v>74</v>
      </c>
      <c r="BB771" t="s">
        <v>74</v>
      </c>
      <c r="BC771" t="s">
        <v>74</v>
      </c>
      <c r="BD771" t="s">
        <v>14820</v>
      </c>
      <c r="BE771" t="s">
        <v>14821</v>
      </c>
      <c r="BF771" t="str">
        <f>HYPERLINK("http://dx.doi.org/10.1029/2022PA004586","http://dx.doi.org/10.1029/2022PA004586")</f>
        <v>http://dx.doi.org/10.1029/2022PA004586</v>
      </c>
      <c r="BG771" t="s">
        <v>74</v>
      </c>
      <c r="BH771" t="s">
        <v>74</v>
      </c>
      <c r="BI771">
        <v>17</v>
      </c>
      <c r="BJ771" t="s">
        <v>1323</v>
      </c>
      <c r="BK771" t="s">
        <v>104</v>
      </c>
      <c r="BL771" t="s">
        <v>1324</v>
      </c>
      <c r="BM771" t="s">
        <v>14822</v>
      </c>
      <c r="BN771" t="s">
        <v>74</v>
      </c>
      <c r="BO771" t="s">
        <v>1217</v>
      </c>
      <c r="BP771" t="s">
        <v>74</v>
      </c>
      <c r="BQ771" t="s">
        <v>74</v>
      </c>
      <c r="BR771" t="s">
        <v>107</v>
      </c>
      <c r="BS771" t="s">
        <v>14823</v>
      </c>
      <c r="BT771" t="str">
        <f>HYPERLINK("https%3A%2F%2Fwww.webofscience.com%2Fwos%2Fwoscc%2Ffull-record%2FWOS:000998710500001","View Full Record in Web of Science")</f>
        <v>View Full Record in Web of Science</v>
      </c>
    </row>
    <row r="772" spans="1:72" x14ac:dyDescent="0.15">
      <c r="A772" t="s">
        <v>72</v>
      </c>
      <c r="B772" t="s">
        <v>14824</v>
      </c>
      <c r="C772" t="s">
        <v>74</v>
      </c>
      <c r="D772" t="s">
        <v>74</v>
      </c>
      <c r="E772" t="s">
        <v>74</v>
      </c>
      <c r="F772" t="s">
        <v>14825</v>
      </c>
      <c r="G772" t="s">
        <v>74</v>
      </c>
      <c r="H772" t="s">
        <v>74</v>
      </c>
      <c r="I772" t="s">
        <v>14826</v>
      </c>
      <c r="J772" t="s">
        <v>1304</v>
      </c>
      <c r="K772" t="s">
        <v>74</v>
      </c>
      <c r="L772" t="s">
        <v>74</v>
      </c>
      <c r="M772" t="s">
        <v>78</v>
      </c>
      <c r="N772" t="s">
        <v>79</v>
      </c>
      <c r="O772" t="s">
        <v>74</v>
      </c>
      <c r="P772" t="s">
        <v>74</v>
      </c>
      <c r="Q772" t="s">
        <v>74</v>
      </c>
      <c r="R772" t="s">
        <v>74</v>
      </c>
      <c r="S772" t="s">
        <v>74</v>
      </c>
      <c r="T772" t="s">
        <v>74</v>
      </c>
      <c r="U772" t="s">
        <v>14827</v>
      </c>
      <c r="V772" t="s">
        <v>14828</v>
      </c>
      <c r="W772" t="s">
        <v>14829</v>
      </c>
      <c r="X772" t="s">
        <v>14830</v>
      </c>
      <c r="Y772" t="s">
        <v>14831</v>
      </c>
      <c r="Z772" t="s">
        <v>4888</v>
      </c>
      <c r="AA772" t="s">
        <v>14832</v>
      </c>
      <c r="AB772" t="s">
        <v>14833</v>
      </c>
      <c r="AC772" t="s">
        <v>14834</v>
      </c>
      <c r="AD772" t="s">
        <v>14835</v>
      </c>
      <c r="AE772" t="s">
        <v>14836</v>
      </c>
      <c r="AF772" t="s">
        <v>74</v>
      </c>
      <c r="AG772">
        <v>67</v>
      </c>
      <c r="AH772">
        <v>3</v>
      </c>
      <c r="AI772">
        <v>3</v>
      </c>
      <c r="AJ772">
        <v>4</v>
      </c>
      <c r="AK772">
        <v>8</v>
      </c>
      <c r="AL772" t="s">
        <v>588</v>
      </c>
      <c r="AM772" t="s">
        <v>589</v>
      </c>
      <c r="AN772" t="s">
        <v>590</v>
      </c>
      <c r="AO772" t="s">
        <v>1317</v>
      </c>
      <c r="AP772" t="s">
        <v>1318</v>
      </c>
      <c r="AQ772" t="s">
        <v>74</v>
      </c>
      <c r="AR772" t="s">
        <v>1319</v>
      </c>
      <c r="AS772" t="s">
        <v>1320</v>
      </c>
      <c r="AT772" t="s">
        <v>8990</v>
      </c>
      <c r="AU772">
        <v>2023</v>
      </c>
      <c r="AV772">
        <v>38</v>
      </c>
      <c r="AW772">
        <v>6</v>
      </c>
      <c r="AX772" t="s">
        <v>74</v>
      </c>
      <c r="AY772" t="s">
        <v>74</v>
      </c>
      <c r="AZ772" t="s">
        <v>74</v>
      </c>
      <c r="BA772" t="s">
        <v>74</v>
      </c>
      <c r="BB772" t="s">
        <v>74</v>
      </c>
      <c r="BC772" t="s">
        <v>74</v>
      </c>
      <c r="BD772" t="s">
        <v>14837</v>
      </c>
      <c r="BE772" t="s">
        <v>14838</v>
      </c>
      <c r="BF772" t="str">
        <f>HYPERLINK("http://dx.doi.org/10.1029/2022PA004493","http://dx.doi.org/10.1029/2022PA004493")</f>
        <v>http://dx.doi.org/10.1029/2022PA004493</v>
      </c>
      <c r="BG772" t="s">
        <v>74</v>
      </c>
      <c r="BH772" t="s">
        <v>74</v>
      </c>
      <c r="BI772">
        <v>15</v>
      </c>
      <c r="BJ772" t="s">
        <v>1323</v>
      </c>
      <c r="BK772" t="s">
        <v>104</v>
      </c>
      <c r="BL772" t="s">
        <v>1324</v>
      </c>
      <c r="BM772" t="s">
        <v>14839</v>
      </c>
      <c r="BN772" t="s">
        <v>74</v>
      </c>
      <c r="BO772" t="s">
        <v>936</v>
      </c>
      <c r="BP772" t="s">
        <v>74</v>
      </c>
      <c r="BQ772" t="s">
        <v>74</v>
      </c>
      <c r="BR772" t="s">
        <v>107</v>
      </c>
      <c r="BS772" t="s">
        <v>14840</v>
      </c>
      <c r="BT772" t="str">
        <f>HYPERLINK("https%3A%2F%2Fwww.webofscience.com%2Fwos%2Fwoscc%2Ffull-record%2FWOS:000997419400001","View Full Record in Web of Science")</f>
        <v>View Full Record in Web of Science</v>
      </c>
    </row>
    <row r="773" spans="1:72" x14ac:dyDescent="0.15">
      <c r="A773" t="s">
        <v>72</v>
      </c>
      <c r="B773" t="s">
        <v>14841</v>
      </c>
      <c r="C773" t="s">
        <v>74</v>
      </c>
      <c r="D773" t="s">
        <v>74</v>
      </c>
      <c r="E773" t="s">
        <v>74</v>
      </c>
      <c r="F773" t="s">
        <v>14842</v>
      </c>
      <c r="G773" t="s">
        <v>74</v>
      </c>
      <c r="H773" t="s">
        <v>74</v>
      </c>
      <c r="I773" t="s">
        <v>14843</v>
      </c>
      <c r="J773" t="s">
        <v>14844</v>
      </c>
      <c r="K773" t="s">
        <v>74</v>
      </c>
      <c r="L773" t="s">
        <v>74</v>
      </c>
      <c r="M773" t="s">
        <v>78</v>
      </c>
      <c r="N773" t="s">
        <v>79</v>
      </c>
      <c r="O773" t="s">
        <v>74</v>
      </c>
      <c r="P773" t="s">
        <v>74</v>
      </c>
      <c r="Q773" t="s">
        <v>74</v>
      </c>
      <c r="R773" t="s">
        <v>74</v>
      </c>
      <c r="S773" t="s">
        <v>74</v>
      </c>
      <c r="T773" t="s">
        <v>14845</v>
      </c>
      <c r="U773" t="s">
        <v>14846</v>
      </c>
      <c r="V773" t="s">
        <v>14847</v>
      </c>
      <c r="W773" t="s">
        <v>14848</v>
      </c>
      <c r="X773" t="s">
        <v>14849</v>
      </c>
      <c r="Y773" t="s">
        <v>14850</v>
      </c>
      <c r="Z773" t="s">
        <v>14851</v>
      </c>
      <c r="AA773" t="s">
        <v>14852</v>
      </c>
      <c r="AB773" t="s">
        <v>14853</v>
      </c>
      <c r="AC773" t="s">
        <v>14854</v>
      </c>
      <c r="AD773" t="s">
        <v>14855</v>
      </c>
      <c r="AE773" t="s">
        <v>14856</v>
      </c>
      <c r="AF773" t="s">
        <v>74</v>
      </c>
      <c r="AG773">
        <v>77</v>
      </c>
      <c r="AH773">
        <v>2</v>
      </c>
      <c r="AI773">
        <v>2</v>
      </c>
      <c r="AJ773">
        <v>11</v>
      </c>
      <c r="AK773">
        <v>15</v>
      </c>
      <c r="AL773" t="s">
        <v>838</v>
      </c>
      <c r="AM773" t="s">
        <v>839</v>
      </c>
      <c r="AN773" t="s">
        <v>840</v>
      </c>
      <c r="AO773" t="s">
        <v>14857</v>
      </c>
      <c r="AP773" t="s">
        <v>74</v>
      </c>
      <c r="AQ773" t="s">
        <v>74</v>
      </c>
      <c r="AR773" t="s">
        <v>14858</v>
      </c>
      <c r="AS773" t="s">
        <v>14859</v>
      </c>
      <c r="AT773" t="s">
        <v>13613</v>
      </c>
      <c r="AU773">
        <v>2023</v>
      </c>
      <c r="AV773">
        <v>18</v>
      </c>
      <c r="AW773">
        <v>6</v>
      </c>
      <c r="AX773" t="s">
        <v>74</v>
      </c>
      <c r="AY773" t="s">
        <v>74</v>
      </c>
      <c r="AZ773" t="s">
        <v>74</v>
      </c>
      <c r="BA773" t="s">
        <v>74</v>
      </c>
      <c r="BB773" t="s">
        <v>74</v>
      </c>
      <c r="BC773" t="s">
        <v>74</v>
      </c>
      <c r="BD773">
        <v>64034</v>
      </c>
      <c r="BE773" t="s">
        <v>14860</v>
      </c>
      <c r="BF773" t="str">
        <f>HYPERLINK("http://dx.doi.org/10.1088/1748-9326/acd8d4","http://dx.doi.org/10.1088/1748-9326/acd8d4")</f>
        <v>http://dx.doi.org/10.1088/1748-9326/acd8d4</v>
      </c>
      <c r="BG773" t="s">
        <v>74</v>
      </c>
      <c r="BH773" t="s">
        <v>74</v>
      </c>
      <c r="BI773">
        <v>9</v>
      </c>
      <c r="BJ773" t="s">
        <v>3303</v>
      </c>
      <c r="BK773" t="s">
        <v>104</v>
      </c>
      <c r="BL773" t="s">
        <v>2372</v>
      </c>
      <c r="BM773" t="s">
        <v>14861</v>
      </c>
      <c r="BN773" t="s">
        <v>74</v>
      </c>
      <c r="BO773" t="s">
        <v>2390</v>
      </c>
      <c r="BP773" t="s">
        <v>74</v>
      </c>
      <c r="BQ773" t="s">
        <v>74</v>
      </c>
      <c r="BR773" t="s">
        <v>107</v>
      </c>
      <c r="BS773" t="s">
        <v>14862</v>
      </c>
      <c r="BT773" t="str">
        <f>HYPERLINK("https%3A%2F%2Fwww.webofscience.com%2Fwos%2Fwoscc%2Ffull-record%2FWOS:000999898500001","View Full Record in Web of Science")</f>
        <v>View Full Record in Web of Science</v>
      </c>
    </row>
    <row r="774" spans="1:72" x14ac:dyDescent="0.15">
      <c r="A774" t="s">
        <v>72</v>
      </c>
      <c r="B774" t="s">
        <v>14863</v>
      </c>
      <c r="C774" t="s">
        <v>74</v>
      </c>
      <c r="D774" t="s">
        <v>74</v>
      </c>
      <c r="E774" t="s">
        <v>74</v>
      </c>
      <c r="F774" t="s">
        <v>14864</v>
      </c>
      <c r="G774" t="s">
        <v>74</v>
      </c>
      <c r="H774" t="s">
        <v>74</v>
      </c>
      <c r="I774" t="s">
        <v>14865</v>
      </c>
      <c r="J774" t="s">
        <v>1008</v>
      </c>
      <c r="K774" t="s">
        <v>74</v>
      </c>
      <c r="L774" t="s">
        <v>74</v>
      </c>
      <c r="M774" t="s">
        <v>78</v>
      </c>
      <c r="N774" t="s">
        <v>79</v>
      </c>
      <c r="O774" t="s">
        <v>74</v>
      </c>
      <c r="P774" t="s">
        <v>74</v>
      </c>
      <c r="Q774" t="s">
        <v>74</v>
      </c>
      <c r="R774" t="s">
        <v>74</v>
      </c>
      <c r="S774" t="s">
        <v>74</v>
      </c>
      <c r="T774" t="s">
        <v>14866</v>
      </c>
      <c r="U774" t="s">
        <v>14867</v>
      </c>
      <c r="V774" t="s">
        <v>14868</v>
      </c>
      <c r="W774" t="s">
        <v>14869</v>
      </c>
      <c r="X774" t="s">
        <v>14870</v>
      </c>
      <c r="Y774" t="s">
        <v>14871</v>
      </c>
      <c r="Z774" t="s">
        <v>14872</v>
      </c>
      <c r="AA774" t="s">
        <v>74</v>
      </c>
      <c r="AB774" t="s">
        <v>14873</v>
      </c>
      <c r="AC774" t="s">
        <v>14874</v>
      </c>
      <c r="AD774" t="s">
        <v>14875</v>
      </c>
      <c r="AE774" t="s">
        <v>14876</v>
      </c>
      <c r="AF774" t="s">
        <v>74</v>
      </c>
      <c r="AG774">
        <v>66</v>
      </c>
      <c r="AH774">
        <v>1</v>
      </c>
      <c r="AI774">
        <v>1</v>
      </c>
      <c r="AJ774">
        <v>2</v>
      </c>
      <c r="AK774">
        <v>8</v>
      </c>
      <c r="AL774" t="s">
        <v>588</v>
      </c>
      <c r="AM774" t="s">
        <v>589</v>
      </c>
      <c r="AN774" t="s">
        <v>590</v>
      </c>
      <c r="AO774" t="s">
        <v>1020</v>
      </c>
      <c r="AP774" t="s">
        <v>1021</v>
      </c>
      <c r="AQ774" t="s">
        <v>74</v>
      </c>
      <c r="AR774" t="s">
        <v>1022</v>
      </c>
      <c r="AS774" t="s">
        <v>1023</v>
      </c>
      <c r="AT774" t="s">
        <v>8990</v>
      </c>
      <c r="AU774">
        <v>2023</v>
      </c>
      <c r="AV774">
        <v>128</v>
      </c>
      <c r="AW774">
        <v>6</v>
      </c>
      <c r="AX774" t="s">
        <v>74</v>
      </c>
      <c r="AY774" t="s">
        <v>74</v>
      </c>
      <c r="AZ774" t="s">
        <v>74</v>
      </c>
      <c r="BA774" t="s">
        <v>74</v>
      </c>
      <c r="BB774" t="s">
        <v>74</v>
      </c>
      <c r="BC774" t="s">
        <v>74</v>
      </c>
      <c r="BD774" t="s">
        <v>14877</v>
      </c>
      <c r="BE774" t="s">
        <v>14878</v>
      </c>
      <c r="BF774" t="str">
        <f>HYPERLINK("http://dx.doi.org/10.1029/2022JC019310","http://dx.doi.org/10.1029/2022JC019310")</f>
        <v>http://dx.doi.org/10.1029/2022JC019310</v>
      </c>
      <c r="BG774" t="s">
        <v>74</v>
      </c>
      <c r="BH774" t="s">
        <v>74</v>
      </c>
      <c r="BI774">
        <v>17</v>
      </c>
      <c r="BJ774" t="s">
        <v>306</v>
      </c>
      <c r="BK774" t="s">
        <v>104</v>
      </c>
      <c r="BL774" t="s">
        <v>306</v>
      </c>
      <c r="BM774" t="s">
        <v>14879</v>
      </c>
      <c r="BN774" t="s">
        <v>74</v>
      </c>
      <c r="BO774" t="s">
        <v>2670</v>
      </c>
      <c r="BP774" t="s">
        <v>74</v>
      </c>
      <c r="BQ774" t="s">
        <v>74</v>
      </c>
      <c r="BR774" t="s">
        <v>107</v>
      </c>
      <c r="BS774" t="s">
        <v>14880</v>
      </c>
      <c r="BT774" t="str">
        <f>HYPERLINK("https%3A%2F%2Fwww.webofscience.com%2Fwos%2Fwoscc%2Ffull-record%2FWOS:001000501400001","View Full Record in Web of Science")</f>
        <v>View Full Record in Web of Science</v>
      </c>
    </row>
    <row r="775" spans="1:72" x14ac:dyDescent="0.15">
      <c r="A775" t="s">
        <v>72</v>
      </c>
      <c r="B775" t="s">
        <v>14881</v>
      </c>
      <c r="C775" t="s">
        <v>74</v>
      </c>
      <c r="D775" t="s">
        <v>74</v>
      </c>
      <c r="E775" t="s">
        <v>74</v>
      </c>
      <c r="F775" t="s">
        <v>14882</v>
      </c>
      <c r="G775" t="s">
        <v>74</v>
      </c>
      <c r="H775" t="s">
        <v>74</v>
      </c>
      <c r="I775" t="s">
        <v>14883</v>
      </c>
      <c r="J775" t="s">
        <v>14884</v>
      </c>
      <c r="K775" t="s">
        <v>74</v>
      </c>
      <c r="L775" t="s">
        <v>74</v>
      </c>
      <c r="M775" t="s">
        <v>78</v>
      </c>
      <c r="N775" t="s">
        <v>79</v>
      </c>
      <c r="O775" t="s">
        <v>74</v>
      </c>
      <c r="P775" t="s">
        <v>74</v>
      </c>
      <c r="Q775" t="s">
        <v>74</v>
      </c>
      <c r="R775" t="s">
        <v>74</v>
      </c>
      <c r="S775" t="s">
        <v>74</v>
      </c>
      <c r="T775" t="s">
        <v>14885</v>
      </c>
      <c r="U775" t="s">
        <v>14886</v>
      </c>
      <c r="V775" t="s">
        <v>14887</v>
      </c>
      <c r="W775" t="s">
        <v>14888</v>
      </c>
      <c r="X775" t="s">
        <v>14889</v>
      </c>
      <c r="Y775" t="s">
        <v>14890</v>
      </c>
      <c r="Z775" t="s">
        <v>14891</v>
      </c>
      <c r="AA775" t="s">
        <v>14892</v>
      </c>
      <c r="AB775" t="s">
        <v>14893</v>
      </c>
      <c r="AC775" t="s">
        <v>14894</v>
      </c>
      <c r="AD775" t="s">
        <v>14894</v>
      </c>
      <c r="AE775" t="s">
        <v>14895</v>
      </c>
      <c r="AF775" t="s">
        <v>74</v>
      </c>
      <c r="AG775">
        <v>78</v>
      </c>
      <c r="AH775">
        <v>0</v>
      </c>
      <c r="AI775">
        <v>0</v>
      </c>
      <c r="AJ775">
        <v>2</v>
      </c>
      <c r="AK775">
        <v>6</v>
      </c>
      <c r="AL775" t="s">
        <v>14896</v>
      </c>
      <c r="AM775" t="s">
        <v>5982</v>
      </c>
      <c r="AN775" t="s">
        <v>14897</v>
      </c>
      <c r="AO775" t="s">
        <v>14898</v>
      </c>
      <c r="AP775" t="s">
        <v>74</v>
      </c>
      <c r="AQ775" t="s">
        <v>74</v>
      </c>
      <c r="AR775" t="s">
        <v>14899</v>
      </c>
      <c r="AS775" t="s">
        <v>14900</v>
      </c>
      <c r="AT775" t="s">
        <v>8990</v>
      </c>
      <c r="AU775">
        <v>2023</v>
      </c>
      <c r="AV775">
        <v>40</v>
      </c>
      <c r="AW775">
        <v>3</v>
      </c>
      <c r="AX775" t="s">
        <v>74</v>
      </c>
      <c r="AY775" t="s">
        <v>74</v>
      </c>
      <c r="AZ775" t="s">
        <v>74</v>
      </c>
      <c r="BA775" t="s">
        <v>74</v>
      </c>
      <c r="BB775">
        <v>246</v>
      </c>
      <c r="BC775">
        <v>261</v>
      </c>
      <c r="BD775" t="s">
        <v>74</v>
      </c>
      <c r="BE775" t="s">
        <v>14901</v>
      </c>
      <c r="BF775" t="str">
        <f>HYPERLINK("http://dx.doi.org/10.2108/zs220085","http://dx.doi.org/10.2108/zs220085")</f>
        <v>http://dx.doi.org/10.2108/zs220085</v>
      </c>
      <c r="BG775" t="s">
        <v>74</v>
      </c>
      <c r="BH775" t="s">
        <v>74</v>
      </c>
      <c r="BI775">
        <v>16</v>
      </c>
      <c r="BJ775" t="s">
        <v>620</v>
      </c>
      <c r="BK775" t="s">
        <v>104</v>
      </c>
      <c r="BL775" t="s">
        <v>620</v>
      </c>
      <c r="BM775" t="s">
        <v>14902</v>
      </c>
      <c r="BN775">
        <v>37256572</v>
      </c>
      <c r="BO775" t="s">
        <v>549</v>
      </c>
      <c r="BP775" t="s">
        <v>74</v>
      </c>
      <c r="BQ775" t="s">
        <v>74</v>
      </c>
      <c r="BR775" t="s">
        <v>107</v>
      </c>
      <c r="BS775" t="s">
        <v>14903</v>
      </c>
      <c r="BT775" t="str">
        <f>HYPERLINK("https%3A%2F%2Fwww.webofscience.com%2Fwos%2Fwoscc%2Ffull-record%2FWOS:000999043600009","View Full Record in Web of Science")</f>
        <v>View Full Record in Web of Science</v>
      </c>
    </row>
    <row r="776" spans="1:72" x14ac:dyDescent="0.15">
      <c r="A776" t="s">
        <v>72</v>
      </c>
      <c r="B776" t="s">
        <v>14904</v>
      </c>
      <c r="C776" t="s">
        <v>74</v>
      </c>
      <c r="D776" t="s">
        <v>74</v>
      </c>
      <c r="E776" t="s">
        <v>74</v>
      </c>
      <c r="F776" t="s">
        <v>14905</v>
      </c>
      <c r="G776" t="s">
        <v>74</v>
      </c>
      <c r="H776" t="s">
        <v>74</v>
      </c>
      <c r="I776" t="s">
        <v>14906</v>
      </c>
      <c r="J776" t="s">
        <v>211</v>
      </c>
      <c r="K776" t="s">
        <v>74</v>
      </c>
      <c r="L776" t="s">
        <v>74</v>
      </c>
      <c r="M776" t="s">
        <v>78</v>
      </c>
      <c r="N776" t="s">
        <v>79</v>
      </c>
      <c r="O776" t="s">
        <v>74</v>
      </c>
      <c r="P776" t="s">
        <v>74</v>
      </c>
      <c r="Q776" t="s">
        <v>74</v>
      </c>
      <c r="R776" t="s">
        <v>74</v>
      </c>
      <c r="S776" t="s">
        <v>74</v>
      </c>
      <c r="T776" t="s">
        <v>14907</v>
      </c>
      <c r="U776" t="s">
        <v>14908</v>
      </c>
      <c r="V776" t="s">
        <v>14909</v>
      </c>
      <c r="W776" t="s">
        <v>14910</v>
      </c>
      <c r="X776" t="s">
        <v>14911</v>
      </c>
      <c r="Y776" t="s">
        <v>14912</v>
      </c>
      <c r="Z776" t="s">
        <v>14913</v>
      </c>
      <c r="AA776" t="s">
        <v>74</v>
      </c>
      <c r="AB776" t="s">
        <v>14914</v>
      </c>
      <c r="AC776" t="s">
        <v>14915</v>
      </c>
      <c r="AD776" t="s">
        <v>14916</v>
      </c>
      <c r="AE776" t="s">
        <v>14917</v>
      </c>
      <c r="AF776" t="s">
        <v>74</v>
      </c>
      <c r="AG776">
        <v>56</v>
      </c>
      <c r="AH776">
        <v>2</v>
      </c>
      <c r="AI776">
        <v>2</v>
      </c>
      <c r="AJ776">
        <v>11</v>
      </c>
      <c r="AK776">
        <v>16</v>
      </c>
      <c r="AL776" t="s">
        <v>90</v>
      </c>
      <c r="AM776" t="s">
        <v>91</v>
      </c>
      <c r="AN776" t="s">
        <v>92</v>
      </c>
      <c r="AO776" t="s">
        <v>222</v>
      </c>
      <c r="AP776" t="s">
        <v>223</v>
      </c>
      <c r="AQ776" t="s">
        <v>74</v>
      </c>
      <c r="AR776" t="s">
        <v>224</v>
      </c>
      <c r="AS776" t="s">
        <v>225</v>
      </c>
      <c r="AT776" t="s">
        <v>8990</v>
      </c>
      <c r="AU776">
        <v>2023</v>
      </c>
      <c r="AV776">
        <v>36</v>
      </c>
      <c r="AW776">
        <v>11</v>
      </c>
      <c r="AX776" t="s">
        <v>74</v>
      </c>
      <c r="AY776" t="s">
        <v>74</v>
      </c>
      <c r="AZ776" t="s">
        <v>74</v>
      </c>
      <c r="BA776" t="s">
        <v>74</v>
      </c>
      <c r="BB776">
        <v>3765</v>
      </c>
      <c r="BC776">
        <v>3780</v>
      </c>
      <c r="BD776" t="s">
        <v>74</v>
      </c>
      <c r="BE776" t="s">
        <v>14918</v>
      </c>
      <c r="BF776" t="str">
        <f>HYPERLINK("http://dx.doi.org/10.1175/JCLI-D-22-0487.1","http://dx.doi.org/10.1175/JCLI-D-22-0487.1")</f>
        <v>http://dx.doi.org/10.1175/JCLI-D-22-0487.1</v>
      </c>
      <c r="BG776" t="s">
        <v>74</v>
      </c>
      <c r="BH776" t="s">
        <v>74</v>
      </c>
      <c r="BI776">
        <v>16</v>
      </c>
      <c r="BJ776" t="s">
        <v>103</v>
      </c>
      <c r="BK776" t="s">
        <v>104</v>
      </c>
      <c r="BL776" t="s">
        <v>103</v>
      </c>
      <c r="BM776" t="s">
        <v>14919</v>
      </c>
      <c r="BN776" t="s">
        <v>74</v>
      </c>
      <c r="BO776" t="s">
        <v>74</v>
      </c>
      <c r="BP776" t="s">
        <v>74</v>
      </c>
      <c r="BQ776" t="s">
        <v>74</v>
      </c>
      <c r="BR776" t="s">
        <v>107</v>
      </c>
      <c r="BS776" t="s">
        <v>14920</v>
      </c>
      <c r="BT776" t="str">
        <f>HYPERLINK("https%3A%2F%2Fwww.webofscience.com%2Fwos%2Fwoscc%2Ffull-record%2FWOS:000987300600001","View Full Record in Web of Science")</f>
        <v>View Full Record in Web of Science</v>
      </c>
    </row>
    <row r="777" spans="1:72" x14ac:dyDescent="0.15">
      <c r="A777" t="s">
        <v>72</v>
      </c>
      <c r="B777" t="s">
        <v>14921</v>
      </c>
      <c r="C777" t="s">
        <v>74</v>
      </c>
      <c r="D777" t="s">
        <v>74</v>
      </c>
      <c r="E777" t="s">
        <v>74</v>
      </c>
      <c r="F777" t="s">
        <v>14922</v>
      </c>
      <c r="G777" t="s">
        <v>74</v>
      </c>
      <c r="H777" t="s">
        <v>74</v>
      </c>
      <c r="I777" t="s">
        <v>14923</v>
      </c>
      <c r="J777" t="s">
        <v>211</v>
      </c>
      <c r="K777" t="s">
        <v>74</v>
      </c>
      <c r="L777" t="s">
        <v>74</v>
      </c>
      <c r="M777" t="s">
        <v>78</v>
      </c>
      <c r="N777" t="s">
        <v>79</v>
      </c>
      <c r="O777" t="s">
        <v>74</v>
      </c>
      <c r="P777" t="s">
        <v>74</v>
      </c>
      <c r="Q777" t="s">
        <v>74</v>
      </c>
      <c r="R777" t="s">
        <v>74</v>
      </c>
      <c r="S777" t="s">
        <v>74</v>
      </c>
      <c r="T777" t="s">
        <v>14924</v>
      </c>
      <c r="U777" t="s">
        <v>14925</v>
      </c>
      <c r="V777" t="s">
        <v>14926</v>
      </c>
      <c r="W777" t="s">
        <v>14927</v>
      </c>
      <c r="X777" t="s">
        <v>14928</v>
      </c>
      <c r="Y777" t="s">
        <v>14929</v>
      </c>
      <c r="Z777" t="s">
        <v>14930</v>
      </c>
      <c r="AA777" t="s">
        <v>14931</v>
      </c>
      <c r="AB777" t="s">
        <v>14932</v>
      </c>
      <c r="AC777" t="s">
        <v>14933</v>
      </c>
      <c r="AD777" t="s">
        <v>14934</v>
      </c>
      <c r="AE777" t="s">
        <v>14935</v>
      </c>
      <c r="AF777" t="s">
        <v>74</v>
      </c>
      <c r="AG777">
        <v>95</v>
      </c>
      <c r="AH777">
        <v>1</v>
      </c>
      <c r="AI777">
        <v>1</v>
      </c>
      <c r="AJ777">
        <v>5</v>
      </c>
      <c r="AK777">
        <v>11</v>
      </c>
      <c r="AL777" t="s">
        <v>90</v>
      </c>
      <c r="AM777" t="s">
        <v>91</v>
      </c>
      <c r="AN777" t="s">
        <v>92</v>
      </c>
      <c r="AO777" t="s">
        <v>222</v>
      </c>
      <c r="AP777" t="s">
        <v>223</v>
      </c>
      <c r="AQ777" t="s">
        <v>74</v>
      </c>
      <c r="AR777" t="s">
        <v>224</v>
      </c>
      <c r="AS777" t="s">
        <v>225</v>
      </c>
      <c r="AT777" t="s">
        <v>8990</v>
      </c>
      <c r="AU777">
        <v>2023</v>
      </c>
      <c r="AV777">
        <v>36</v>
      </c>
      <c r="AW777">
        <v>11</v>
      </c>
      <c r="AX777" t="s">
        <v>74</v>
      </c>
      <c r="AY777" t="s">
        <v>74</v>
      </c>
      <c r="AZ777" t="s">
        <v>74</v>
      </c>
      <c r="BA777" t="s">
        <v>74</v>
      </c>
      <c r="BB777">
        <v>3849</v>
      </c>
      <c r="BC777">
        <v>3866</v>
      </c>
      <c r="BD777" t="s">
        <v>74</v>
      </c>
      <c r="BE777" t="s">
        <v>14936</v>
      </c>
      <c r="BF777" t="str">
        <f>HYPERLINK("http://dx.doi.org/10.1175/JCLI-D-22-0221.1","http://dx.doi.org/10.1175/JCLI-D-22-0221.1")</f>
        <v>http://dx.doi.org/10.1175/JCLI-D-22-0221.1</v>
      </c>
      <c r="BG777" t="s">
        <v>74</v>
      </c>
      <c r="BH777" t="s">
        <v>74</v>
      </c>
      <c r="BI777">
        <v>18</v>
      </c>
      <c r="BJ777" t="s">
        <v>103</v>
      </c>
      <c r="BK777" t="s">
        <v>104</v>
      </c>
      <c r="BL777" t="s">
        <v>103</v>
      </c>
      <c r="BM777" t="s">
        <v>14937</v>
      </c>
      <c r="BN777" t="s">
        <v>74</v>
      </c>
      <c r="BO777" t="s">
        <v>133</v>
      </c>
      <c r="BP777" t="s">
        <v>74</v>
      </c>
      <c r="BQ777" t="s">
        <v>74</v>
      </c>
      <c r="BR777" t="s">
        <v>107</v>
      </c>
      <c r="BS777" t="s">
        <v>14938</v>
      </c>
      <c r="BT777" t="str">
        <f>HYPERLINK("https%3A%2F%2Fwww.webofscience.com%2Fwos%2Fwoscc%2Ffull-record%2FWOS:000989995300001","View Full Record in Web of Science")</f>
        <v>View Full Record in Web of Science</v>
      </c>
    </row>
    <row r="778" spans="1:72" x14ac:dyDescent="0.15">
      <c r="A778" t="s">
        <v>72</v>
      </c>
      <c r="B778" t="s">
        <v>14939</v>
      </c>
      <c r="C778" t="s">
        <v>74</v>
      </c>
      <c r="D778" t="s">
        <v>74</v>
      </c>
      <c r="E778" t="s">
        <v>74</v>
      </c>
      <c r="F778" t="s">
        <v>14940</v>
      </c>
      <c r="G778" t="s">
        <v>74</v>
      </c>
      <c r="H778" t="s">
        <v>74</v>
      </c>
      <c r="I778" t="s">
        <v>14941</v>
      </c>
      <c r="J778" t="s">
        <v>14942</v>
      </c>
      <c r="K778" t="s">
        <v>74</v>
      </c>
      <c r="L778" t="s">
        <v>74</v>
      </c>
      <c r="M778" t="s">
        <v>78</v>
      </c>
      <c r="N778" t="s">
        <v>424</v>
      </c>
      <c r="O778" t="s">
        <v>74</v>
      </c>
      <c r="P778" t="s">
        <v>74</v>
      </c>
      <c r="Q778" t="s">
        <v>74</v>
      </c>
      <c r="R778" t="s">
        <v>74</v>
      </c>
      <c r="S778" t="s">
        <v>74</v>
      </c>
      <c r="T778" t="s">
        <v>14943</v>
      </c>
      <c r="U778" t="s">
        <v>14944</v>
      </c>
      <c r="V778" t="s">
        <v>14945</v>
      </c>
      <c r="W778" t="s">
        <v>14946</v>
      </c>
      <c r="X778" t="s">
        <v>14947</v>
      </c>
      <c r="Y778" t="s">
        <v>14948</v>
      </c>
      <c r="Z778" t="s">
        <v>14949</v>
      </c>
      <c r="AA778" t="s">
        <v>14950</v>
      </c>
      <c r="AB778" t="s">
        <v>14951</v>
      </c>
      <c r="AC778" t="s">
        <v>14952</v>
      </c>
      <c r="AD778" t="s">
        <v>14953</v>
      </c>
      <c r="AE778" t="s">
        <v>14954</v>
      </c>
      <c r="AF778" t="s">
        <v>74</v>
      </c>
      <c r="AG778">
        <v>185</v>
      </c>
      <c r="AH778">
        <v>3</v>
      </c>
      <c r="AI778">
        <v>3</v>
      </c>
      <c r="AJ778">
        <v>11</v>
      </c>
      <c r="AK778">
        <v>20</v>
      </c>
      <c r="AL778" t="s">
        <v>588</v>
      </c>
      <c r="AM778" t="s">
        <v>589</v>
      </c>
      <c r="AN778" t="s">
        <v>590</v>
      </c>
      <c r="AO778" t="s">
        <v>74</v>
      </c>
      <c r="AP778" t="s">
        <v>14955</v>
      </c>
      <c r="AQ778" t="s">
        <v>74</v>
      </c>
      <c r="AR778" t="s">
        <v>14942</v>
      </c>
      <c r="AS778" t="s">
        <v>14956</v>
      </c>
      <c r="AT778" t="s">
        <v>8990</v>
      </c>
      <c r="AU778">
        <v>2023</v>
      </c>
      <c r="AV778">
        <v>11</v>
      </c>
      <c r="AW778">
        <v>6</v>
      </c>
      <c r="AX778" t="s">
        <v>74</v>
      </c>
      <c r="AY778" t="s">
        <v>74</v>
      </c>
      <c r="AZ778" t="s">
        <v>74</v>
      </c>
      <c r="BA778" t="s">
        <v>74</v>
      </c>
      <c r="BB778" t="s">
        <v>74</v>
      </c>
      <c r="BC778" t="s">
        <v>74</v>
      </c>
      <c r="BD778" t="s">
        <v>14957</v>
      </c>
      <c r="BE778" t="s">
        <v>14958</v>
      </c>
      <c r="BF778" t="str">
        <f>HYPERLINK("http://dx.doi.org/10.1029/2023EF003679","http://dx.doi.org/10.1029/2023EF003679")</f>
        <v>http://dx.doi.org/10.1029/2023EF003679</v>
      </c>
      <c r="BG778" t="s">
        <v>74</v>
      </c>
      <c r="BH778" t="s">
        <v>74</v>
      </c>
      <c r="BI778">
        <v>24</v>
      </c>
      <c r="BJ778" t="s">
        <v>1214</v>
      </c>
      <c r="BK778" t="s">
        <v>104</v>
      </c>
      <c r="BL778" t="s">
        <v>1215</v>
      </c>
      <c r="BM778" t="s">
        <v>14959</v>
      </c>
      <c r="BN778" t="s">
        <v>74</v>
      </c>
      <c r="BO778" t="s">
        <v>181</v>
      </c>
      <c r="BP778" t="s">
        <v>74</v>
      </c>
      <c r="BQ778" t="s">
        <v>74</v>
      </c>
      <c r="BR778" t="s">
        <v>107</v>
      </c>
      <c r="BS778" t="s">
        <v>14960</v>
      </c>
      <c r="BT778" t="str">
        <f>HYPERLINK("https%3A%2F%2Fwww.webofscience.com%2Fwos%2Fwoscc%2Ffull-record%2FWOS:000998919200001","View Full Record in Web of Science")</f>
        <v>View Full Record in Web of Science</v>
      </c>
    </row>
    <row r="779" spans="1:72" x14ac:dyDescent="0.15">
      <c r="A779" t="s">
        <v>72</v>
      </c>
      <c r="B779" t="s">
        <v>14961</v>
      </c>
      <c r="C779" t="s">
        <v>74</v>
      </c>
      <c r="D779" t="s">
        <v>74</v>
      </c>
      <c r="E779" t="s">
        <v>74</v>
      </c>
      <c r="F779" t="s">
        <v>14962</v>
      </c>
      <c r="G779" t="s">
        <v>74</v>
      </c>
      <c r="H779" t="s">
        <v>74</v>
      </c>
      <c r="I779" t="s">
        <v>14963</v>
      </c>
      <c r="J779" t="s">
        <v>1304</v>
      </c>
      <c r="K779" t="s">
        <v>74</v>
      </c>
      <c r="L779" t="s">
        <v>74</v>
      </c>
      <c r="M779" t="s">
        <v>78</v>
      </c>
      <c r="N779" t="s">
        <v>79</v>
      </c>
      <c r="O779" t="s">
        <v>74</v>
      </c>
      <c r="P779" t="s">
        <v>74</v>
      </c>
      <c r="Q779" t="s">
        <v>74</v>
      </c>
      <c r="R779" t="s">
        <v>74</v>
      </c>
      <c r="S779" t="s">
        <v>74</v>
      </c>
      <c r="T779" t="s">
        <v>14964</v>
      </c>
      <c r="U779" t="s">
        <v>14965</v>
      </c>
      <c r="V779" t="s">
        <v>14966</v>
      </c>
      <c r="W779" t="s">
        <v>14967</v>
      </c>
      <c r="X779" t="s">
        <v>14968</v>
      </c>
      <c r="Y779" t="s">
        <v>14969</v>
      </c>
      <c r="Z779" t="s">
        <v>14970</v>
      </c>
      <c r="AA779" t="s">
        <v>74</v>
      </c>
      <c r="AB779" t="s">
        <v>14971</v>
      </c>
      <c r="AC779" t="s">
        <v>14972</v>
      </c>
      <c r="AD779" t="s">
        <v>14973</v>
      </c>
      <c r="AE779" t="s">
        <v>14974</v>
      </c>
      <c r="AF779" t="s">
        <v>74</v>
      </c>
      <c r="AG779">
        <v>56</v>
      </c>
      <c r="AH779">
        <v>0</v>
      </c>
      <c r="AI779">
        <v>0</v>
      </c>
      <c r="AJ779">
        <v>2</v>
      </c>
      <c r="AK779">
        <v>4</v>
      </c>
      <c r="AL779" t="s">
        <v>588</v>
      </c>
      <c r="AM779" t="s">
        <v>589</v>
      </c>
      <c r="AN779" t="s">
        <v>590</v>
      </c>
      <c r="AO779" t="s">
        <v>1317</v>
      </c>
      <c r="AP779" t="s">
        <v>1318</v>
      </c>
      <c r="AQ779" t="s">
        <v>74</v>
      </c>
      <c r="AR779" t="s">
        <v>1319</v>
      </c>
      <c r="AS779" t="s">
        <v>1320</v>
      </c>
      <c r="AT779" t="s">
        <v>8990</v>
      </c>
      <c r="AU779">
        <v>2023</v>
      </c>
      <c r="AV779">
        <v>38</v>
      </c>
      <c r="AW779">
        <v>6</v>
      </c>
      <c r="AX779" t="s">
        <v>74</v>
      </c>
      <c r="AY779" t="s">
        <v>74</v>
      </c>
      <c r="AZ779" t="s">
        <v>74</v>
      </c>
      <c r="BA779" t="s">
        <v>74</v>
      </c>
      <c r="BB779" t="s">
        <v>74</v>
      </c>
      <c r="BC779" t="s">
        <v>74</v>
      </c>
      <c r="BD779" t="s">
        <v>14975</v>
      </c>
      <c r="BE779" t="s">
        <v>14976</v>
      </c>
      <c r="BF779" t="str">
        <f>HYPERLINK("http://dx.doi.org/10.1029/2022PA004600","http://dx.doi.org/10.1029/2022PA004600")</f>
        <v>http://dx.doi.org/10.1029/2022PA004600</v>
      </c>
      <c r="BG779" t="s">
        <v>74</v>
      </c>
      <c r="BH779" t="s">
        <v>74</v>
      </c>
      <c r="BI779">
        <v>11</v>
      </c>
      <c r="BJ779" t="s">
        <v>1323</v>
      </c>
      <c r="BK779" t="s">
        <v>104</v>
      </c>
      <c r="BL779" t="s">
        <v>1324</v>
      </c>
      <c r="BM779" t="s">
        <v>14977</v>
      </c>
      <c r="BN779" t="s">
        <v>74</v>
      </c>
      <c r="BO779" t="s">
        <v>14978</v>
      </c>
      <c r="BP779" t="s">
        <v>74</v>
      </c>
      <c r="BQ779" t="s">
        <v>74</v>
      </c>
      <c r="BR779" t="s">
        <v>107</v>
      </c>
      <c r="BS779" t="s">
        <v>14979</v>
      </c>
      <c r="BT779" t="str">
        <f>HYPERLINK("https%3A%2F%2Fwww.webofscience.com%2Fwos%2Fwoscc%2Ffull-record%2FWOS:000997410700001","View Full Record in Web of Science")</f>
        <v>View Full Record in Web of Science</v>
      </c>
    </row>
    <row r="780" spans="1:72" x14ac:dyDescent="0.15">
      <c r="A780" t="s">
        <v>72</v>
      </c>
      <c r="B780" t="s">
        <v>14980</v>
      </c>
      <c r="C780" t="s">
        <v>74</v>
      </c>
      <c r="D780" t="s">
        <v>74</v>
      </c>
      <c r="E780" t="s">
        <v>74</v>
      </c>
      <c r="F780" t="s">
        <v>14981</v>
      </c>
      <c r="G780" t="s">
        <v>74</v>
      </c>
      <c r="H780" t="s">
        <v>74</v>
      </c>
      <c r="I780" t="s">
        <v>14982</v>
      </c>
      <c r="J780" t="s">
        <v>14983</v>
      </c>
      <c r="K780" t="s">
        <v>74</v>
      </c>
      <c r="L780" t="s">
        <v>74</v>
      </c>
      <c r="M780" t="s">
        <v>78</v>
      </c>
      <c r="N780" t="s">
        <v>79</v>
      </c>
      <c r="O780" t="s">
        <v>74</v>
      </c>
      <c r="P780" t="s">
        <v>74</v>
      </c>
      <c r="Q780" t="s">
        <v>74</v>
      </c>
      <c r="R780" t="s">
        <v>74</v>
      </c>
      <c r="S780" t="s">
        <v>74</v>
      </c>
      <c r="T780" t="s">
        <v>14984</v>
      </c>
      <c r="U780" t="s">
        <v>14985</v>
      </c>
      <c r="V780" t="s">
        <v>14986</v>
      </c>
      <c r="W780" t="s">
        <v>14987</v>
      </c>
      <c r="X780" t="s">
        <v>14988</v>
      </c>
      <c r="Y780" t="s">
        <v>14989</v>
      </c>
      <c r="Z780" t="s">
        <v>14990</v>
      </c>
      <c r="AA780" t="s">
        <v>14991</v>
      </c>
      <c r="AB780" t="s">
        <v>14992</v>
      </c>
      <c r="AC780" t="s">
        <v>2638</v>
      </c>
      <c r="AD780" t="s">
        <v>2638</v>
      </c>
      <c r="AE780" t="s">
        <v>14993</v>
      </c>
      <c r="AF780" t="s">
        <v>74</v>
      </c>
      <c r="AG780">
        <v>120</v>
      </c>
      <c r="AH780">
        <v>0</v>
      </c>
      <c r="AI780">
        <v>0</v>
      </c>
      <c r="AJ780">
        <v>4</v>
      </c>
      <c r="AK780">
        <v>5</v>
      </c>
      <c r="AL780" t="s">
        <v>14994</v>
      </c>
      <c r="AM780" t="s">
        <v>14995</v>
      </c>
      <c r="AN780" t="s">
        <v>14996</v>
      </c>
      <c r="AO780" t="s">
        <v>14997</v>
      </c>
      <c r="AP780" t="s">
        <v>14998</v>
      </c>
      <c r="AQ780" t="s">
        <v>74</v>
      </c>
      <c r="AR780" t="s">
        <v>14999</v>
      </c>
      <c r="AS780" t="s">
        <v>15000</v>
      </c>
      <c r="AT780" t="s">
        <v>8990</v>
      </c>
      <c r="AU780">
        <v>2023</v>
      </c>
      <c r="AV780">
        <v>10</v>
      </c>
      <c r="AW780">
        <v>2</v>
      </c>
      <c r="AX780" t="s">
        <v>74</v>
      </c>
      <c r="AY780" t="s">
        <v>74</v>
      </c>
      <c r="AZ780" t="s">
        <v>74</v>
      </c>
      <c r="BA780" t="s">
        <v>74</v>
      </c>
      <c r="BB780" t="s">
        <v>74</v>
      </c>
      <c r="BC780" t="s">
        <v>74</v>
      </c>
      <c r="BD780">
        <v>22</v>
      </c>
      <c r="BE780" t="s">
        <v>15001</v>
      </c>
      <c r="BF780" t="str">
        <f>HYPERLINK("http://dx.doi.org/10.1007/s40710-023-00635-w","http://dx.doi.org/10.1007/s40710-023-00635-w")</f>
        <v>http://dx.doi.org/10.1007/s40710-023-00635-w</v>
      </c>
      <c r="BG780" t="s">
        <v>74</v>
      </c>
      <c r="BH780" t="s">
        <v>74</v>
      </c>
      <c r="BI780">
        <v>21</v>
      </c>
      <c r="BJ780" t="s">
        <v>15002</v>
      </c>
      <c r="BK780" t="s">
        <v>518</v>
      </c>
      <c r="BL780" t="s">
        <v>325</v>
      </c>
      <c r="BM780" t="s">
        <v>15003</v>
      </c>
      <c r="BN780" t="s">
        <v>74</v>
      </c>
      <c r="BO780" t="s">
        <v>74</v>
      </c>
      <c r="BP780" t="s">
        <v>74</v>
      </c>
      <c r="BQ780" t="s">
        <v>74</v>
      </c>
      <c r="BR780" t="s">
        <v>107</v>
      </c>
      <c r="BS780" t="s">
        <v>15004</v>
      </c>
      <c r="BT780" t="str">
        <f>HYPERLINK("https%3A%2F%2Fwww.webofscience.com%2Fwos%2Fwoscc%2Ffull-record%2FWOS:000990323000001","View Full Record in Web of Science")</f>
        <v>View Full Record in Web of Science</v>
      </c>
    </row>
    <row r="781" spans="1:72" x14ac:dyDescent="0.15">
      <c r="A781" t="s">
        <v>72</v>
      </c>
      <c r="B781" t="s">
        <v>15005</v>
      </c>
      <c r="C781" t="s">
        <v>74</v>
      </c>
      <c r="D781" t="s">
        <v>74</v>
      </c>
      <c r="E781" t="s">
        <v>74</v>
      </c>
      <c r="F781" t="s">
        <v>15006</v>
      </c>
      <c r="G781" t="s">
        <v>74</v>
      </c>
      <c r="H781" t="s">
        <v>74</v>
      </c>
      <c r="I781" t="s">
        <v>15007</v>
      </c>
      <c r="J781" t="s">
        <v>211</v>
      </c>
      <c r="K781" t="s">
        <v>74</v>
      </c>
      <c r="L781" t="s">
        <v>74</v>
      </c>
      <c r="M781" t="s">
        <v>78</v>
      </c>
      <c r="N781" t="s">
        <v>79</v>
      </c>
      <c r="O781" t="s">
        <v>74</v>
      </c>
      <c r="P781" t="s">
        <v>74</v>
      </c>
      <c r="Q781" t="s">
        <v>74</v>
      </c>
      <c r="R781" t="s">
        <v>74</v>
      </c>
      <c r="S781" t="s">
        <v>74</v>
      </c>
      <c r="T781" t="s">
        <v>15008</v>
      </c>
      <c r="U781" t="s">
        <v>15009</v>
      </c>
      <c r="V781" t="s">
        <v>15010</v>
      </c>
      <c r="W781" t="s">
        <v>15011</v>
      </c>
      <c r="X781" t="s">
        <v>15012</v>
      </c>
      <c r="Y781" t="s">
        <v>15013</v>
      </c>
      <c r="Z781" t="s">
        <v>15014</v>
      </c>
      <c r="AA781" t="s">
        <v>15015</v>
      </c>
      <c r="AB781" t="s">
        <v>15016</v>
      </c>
      <c r="AC781" t="s">
        <v>15017</v>
      </c>
      <c r="AD781" t="s">
        <v>15018</v>
      </c>
      <c r="AE781" t="s">
        <v>15019</v>
      </c>
      <c r="AF781" t="s">
        <v>74</v>
      </c>
      <c r="AG781">
        <v>88</v>
      </c>
      <c r="AH781">
        <v>5</v>
      </c>
      <c r="AI781">
        <v>6</v>
      </c>
      <c r="AJ781">
        <v>18</v>
      </c>
      <c r="AK781">
        <v>32</v>
      </c>
      <c r="AL781" t="s">
        <v>90</v>
      </c>
      <c r="AM781" t="s">
        <v>91</v>
      </c>
      <c r="AN781" t="s">
        <v>92</v>
      </c>
      <c r="AO781" t="s">
        <v>222</v>
      </c>
      <c r="AP781" t="s">
        <v>223</v>
      </c>
      <c r="AQ781" t="s">
        <v>74</v>
      </c>
      <c r="AR781" t="s">
        <v>224</v>
      </c>
      <c r="AS781" t="s">
        <v>225</v>
      </c>
      <c r="AT781" t="s">
        <v>8990</v>
      </c>
      <c r="AU781">
        <v>2023</v>
      </c>
      <c r="AV781">
        <v>36</v>
      </c>
      <c r="AW781">
        <v>11</v>
      </c>
      <c r="AX781" t="s">
        <v>74</v>
      </c>
      <c r="AY781" t="s">
        <v>74</v>
      </c>
      <c r="AZ781" t="s">
        <v>74</v>
      </c>
      <c r="BA781" t="s">
        <v>74</v>
      </c>
      <c r="BB781">
        <v>3553</v>
      </c>
      <c r="BC781">
        <v>3569</v>
      </c>
      <c r="BD781" t="s">
        <v>74</v>
      </c>
      <c r="BE781" t="s">
        <v>15020</v>
      </c>
      <c r="BF781" t="str">
        <f>HYPERLINK("http://dx.doi.org/10.1175/JCLI-D-22-0679.1","http://dx.doi.org/10.1175/JCLI-D-22-0679.1")</f>
        <v>http://dx.doi.org/10.1175/JCLI-D-22-0679.1</v>
      </c>
      <c r="BG781" t="s">
        <v>74</v>
      </c>
      <c r="BH781" t="s">
        <v>74</v>
      </c>
      <c r="BI781">
        <v>17</v>
      </c>
      <c r="BJ781" t="s">
        <v>103</v>
      </c>
      <c r="BK781" t="s">
        <v>104</v>
      </c>
      <c r="BL781" t="s">
        <v>103</v>
      </c>
      <c r="BM781" t="s">
        <v>15021</v>
      </c>
      <c r="BN781" t="s">
        <v>74</v>
      </c>
      <c r="BO781" t="s">
        <v>74</v>
      </c>
      <c r="BP781" t="s">
        <v>74</v>
      </c>
      <c r="BQ781" t="s">
        <v>74</v>
      </c>
      <c r="BR781" t="s">
        <v>107</v>
      </c>
      <c r="BS781" t="s">
        <v>15022</v>
      </c>
      <c r="BT781" t="str">
        <f>HYPERLINK("https%3A%2F%2Fwww.webofscience.com%2Fwos%2Fwoscc%2Ffull-record%2FWOS:000986780100001","View Full Record in Web of Science")</f>
        <v>View Full Record in Web of Science</v>
      </c>
    </row>
    <row r="782" spans="1:72" x14ac:dyDescent="0.15">
      <c r="A782" t="s">
        <v>72</v>
      </c>
      <c r="B782" t="s">
        <v>15023</v>
      </c>
      <c r="C782" t="s">
        <v>74</v>
      </c>
      <c r="D782" t="s">
        <v>74</v>
      </c>
      <c r="E782" t="s">
        <v>74</v>
      </c>
      <c r="F782" t="s">
        <v>15024</v>
      </c>
      <c r="G782" t="s">
        <v>74</v>
      </c>
      <c r="H782" t="s">
        <v>74</v>
      </c>
      <c r="I782" t="s">
        <v>15025</v>
      </c>
      <c r="J782" t="s">
        <v>211</v>
      </c>
      <c r="K782" t="s">
        <v>74</v>
      </c>
      <c r="L782" t="s">
        <v>74</v>
      </c>
      <c r="M782" t="s">
        <v>78</v>
      </c>
      <c r="N782" t="s">
        <v>79</v>
      </c>
      <c r="O782" t="s">
        <v>74</v>
      </c>
      <c r="P782" t="s">
        <v>74</v>
      </c>
      <c r="Q782" t="s">
        <v>74</v>
      </c>
      <c r="R782" t="s">
        <v>74</v>
      </c>
      <c r="S782" t="s">
        <v>74</v>
      </c>
      <c r="T782" t="s">
        <v>15026</v>
      </c>
      <c r="U782" t="s">
        <v>15027</v>
      </c>
      <c r="V782" t="s">
        <v>15028</v>
      </c>
      <c r="W782" t="s">
        <v>15029</v>
      </c>
      <c r="X782" t="s">
        <v>15030</v>
      </c>
      <c r="Y782" t="s">
        <v>15031</v>
      </c>
      <c r="Z782" t="s">
        <v>15032</v>
      </c>
      <c r="AA782" t="s">
        <v>74</v>
      </c>
      <c r="AB782" t="s">
        <v>15033</v>
      </c>
      <c r="AC782" t="s">
        <v>15034</v>
      </c>
      <c r="AD782" t="s">
        <v>15035</v>
      </c>
      <c r="AE782" t="s">
        <v>15036</v>
      </c>
      <c r="AF782" t="s">
        <v>74</v>
      </c>
      <c r="AG782">
        <v>73</v>
      </c>
      <c r="AH782">
        <v>6</v>
      </c>
      <c r="AI782">
        <v>6</v>
      </c>
      <c r="AJ782">
        <v>7</v>
      </c>
      <c r="AK782">
        <v>23</v>
      </c>
      <c r="AL782" t="s">
        <v>90</v>
      </c>
      <c r="AM782" t="s">
        <v>91</v>
      </c>
      <c r="AN782" t="s">
        <v>92</v>
      </c>
      <c r="AO782" t="s">
        <v>222</v>
      </c>
      <c r="AP782" t="s">
        <v>223</v>
      </c>
      <c r="AQ782" t="s">
        <v>74</v>
      </c>
      <c r="AR782" t="s">
        <v>224</v>
      </c>
      <c r="AS782" t="s">
        <v>225</v>
      </c>
      <c r="AT782" t="s">
        <v>8990</v>
      </c>
      <c r="AU782">
        <v>2023</v>
      </c>
      <c r="AV782">
        <v>36</v>
      </c>
      <c r="AW782">
        <v>11</v>
      </c>
      <c r="AX782" t="s">
        <v>74</v>
      </c>
      <c r="AY782" t="s">
        <v>74</v>
      </c>
      <c r="AZ782" t="s">
        <v>74</v>
      </c>
      <c r="BA782" t="s">
        <v>74</v>
      </c>
      <c r="BB782">
        <v>3571</v>
      </c>
      <c r="BC782">
        <v>3590</v>
      </c>
      <c r="BD782" t="s">
        <v>74</v>
      </c>
      <c r="BE782" t="s">
        <v>15037</v>
      </c>
      <c r="BF782" t="str">
        <f>HYPERLINK("http://dx.doi.org/10.1175/JCLI-D-22-0433.1","http://dx.doi.org/10.1175/JCLI-D-22-0433.1")</f>
        <v>http://dx.doi.org/10.1175/JCLI-D-22-0433.1</v>
      </c>
      <c r="BG782" t="s">
        <v>74</v>
      </c>
      <c r="BH782" t="s">
        <v>74</v>
      </c>
      <c r="BI782">
        <v>20</v>
      </c>
      <c r="BJ782" t="s">
        <v>103</v>
      </c>
      <c r="BK782" t="s">
        <v>104</v>
      </c>
      <c r="BL782" t="s">
        <v>103</v>
      </c>
      <c r="BM782" t="s">
        <v>15038</v>
      </c>
      <c r="BN782" t="s">
        <v>74</v>
      </c>
      <c r="BO782" t="s">
        <v>74</v>
      </c>
      <c r="BP782" t="s">
        <v>74</v>
      </c>
      <c r="BQ782" t="s">
        <v>74</v>
      </c>
      <c r="BR782" t="s">
        <v>107</v>
      </c>
      <c r="BS782" t="s">
        <v>15039</v>
      </c>
      <c r="BT782" t="str">
        <f>HYPERLINK("https%3A%2F%2Fwww.webofscience.com%2Fwos%2Fwoscc%2Ffull-record%2FWOS:000986774000001","View Full Record in Web of Science")</f>
        <v>View Full Record in Web of Science</v>
      </c>
    </row>
    <row r="783" spans="1:72" x14ac:dyDescent="0.15">
      <c r="A783" t="s">
        <v>72</v>
      </c>
      <c r="B783" t="s">
        <v>15040</v>
      </c>
      <c r="C783" t="s">
        <v>74</v>
      </c>
      <c r="D783" t="s">
        <v>74</v>
      </c>
      <c r="E783" t="s">
        <v>74</v>
      </c>
      <c r="F783" t="s">
        <v>15041</v>
      </c>
      <c r="G783" t="s">
        <v>74</v>
      </c>
      <c r="H783" t="s">
        <v>74</v>
      </c>
      <c r="I783" t="s">
        <v>15042</v>
      </c>
      <c r="J783" t="s">
        <v>211</v>
      </c>
      <c r="K783" t="s">
        <v>74</v>
      </c>
      <c r="L783" t="s">
        <v>74</v>
      </c>
      <c r="M783" t="s">
        <v>78</v>
      </c>
      <c r="N783" t="s">
        <v>79</v>
      </c>
      <c r="O783" t="s">
        <v>74</v>
      </c>
      <c r="P783" t="s">
        <v>74</v>
      </c>
      <c r="Q783" t="s">
        <v>74</v>
      </c>
      <c r="R783" t="s">
        <v>74</v>
      </c>
      <c r="S783" t="s">
        <v>74</v>
      </c>
      <c r="T783" t="s">
        <v>15043</v>
      </c>
      <c r="U783" t="s">
        <v>15044</v>
      </c>
      <c r="V783" t="s">
        <v>15045</v>
      </c>
      <c r="W783" t="s">
        <v>15046</v>
      </c>
      <c r="X783" t="s">
        <v>15047</v>
      </c>
      <c r="Y783" t="s">
        <v>15048</v>
      </c>
      <c r="Z783" t="s">
        <v>15049</v>
      </c>
      <c r="AA783" t="s">
        <v>15050</v>
      </c>
      <c r="AB783" t="s">
        <v>15051</v>
      </c>
      <c r="AC783" t="s">
        <v>15052</v>
      </c>
      <c r="AD783" t="s">
        <v>15053</v>
      </c>
      <c r="AE783" t="s">
        <v>15054</v>
      </c>
      <c r="AF783" t="s">
        <v>74</v>
      </c>
      <c r="AG783">
        <v>111</v>
      </c>
      <c r="AH783">
        <v>5</v>
      </c>
      <c r="AI783">
        <v>5</v>
      </c>
      <c r="AJ783">
        <v>5</v>
      </c>
      <c r="AK783">
        <v>7</v>
      </c>
      <c r="AL783" t="s">
        <v>90</v>
      </c>
      <c r="AM783" t="s">
        <v>91</v>
      </c>
      <c r="AN783" t="s">
        <v>92</v>
      </c>
      <c r="AO783" t="s">
        <v>222</v>
      </c>
      <c r="AP783" t="s">
        <v>223</v>
      </c>
      <c r="AQ783" t="s">
        <v>74</v>
      </c>
      <c r="AR783" t="s">
        <v>224</v>
      </c>
      <c r="AS783" t="s">
        <v>225</v>
      </c>
      <c r="AT783" t="s">
        <v>8990</v>
      </c>
      <c r="AU783">
        <v>2023</v>
      </c>
      <c r="AV783">
        <v>36</v>
      </c>
      <c r="AW783">
        <v>11</v>
      </c>
      <c r="AX783" t="s">
        <v>74</v>
      </c>
      <c r="AY783" t="s">
        <v>74</v>
      </c>
      <c r="AZ783" t="s">
        <v>74</v>
      </c>
      <c r="BA783" t="s">
        <v>74</v>
      </c>
      <c r="BB783">
        <v>3717</v>
      </c>
      <c r="BC783">
        <v>3735</v>
      </c>
      <c r="BD783" t="s">
        <v>74</v>
      </c>
      <c r="BE783" t="s">
        <v>15055</v>
      </c>
      <c r="BF783" t="str">
        <f>HYPERLINK("http://dx.doi.org/10.1175/JCLI-D-22-0631.1","http://dx.doi.org/10.1175/JCLI-D-22-0631.1")</f>
        <v>http://dx.doi.org/10.1175/JCLI-D-22-0631.1</v>
      </c>
      <c r="BG783" t="s">
        <v>74</v>
      </c>
      <c r="BH783" t="s">
        <v>74</v>
      </c>
      <c r="BI783">
        <v>19</v>
      </c>
      <c r="BJ783" t="s">
        <v>103</v>
      </c>
      <c r="BK783" t="s">
        <v>104</v>
      </c>
      <c r="BL783" t="s">
        <v>103</v>
      </c>
      <c r="BM783" t="s">
        <v>15056</v>
      </c>
      <c r="BN783" t="s">
        <v>74</v>
      </c>
      <c r="BO783" t="s">
        <v>74</v>
      </c>
      <c r="BP783" t="s">
        <v>74</v>
      </c>
      <c r="BQ783" t="s">
        <v>74</v>
      </c>
      <c r="BR783" t="s">
        <v>107</v>
      </c>
      <c r="BS783" t="s">
        <v>15057</v>
      </c>
      <c r="BT783" t="str">
        <f>HYPERLINK("https%3A%2F%2Fwww.webofscience.com%2Fwos%2Fwoscc%2Ffull-record%2FWOS:000986741500001","View Full Record in Web of Science")</f>
        <v>View Full Record in Web of Science</v>
      </c>
    </row>
    <row r="784" spans="1:72" x14ac:dyDescent="0.15">
      <c r="A784" t="s">
        <v>72</v>
      </c>
      <c r="B784" t="s">
        <v>15058</v>
      </c>
      <c r="C784" t="s">
        <v>74</v>
      </c>
      <c r="D784" t="s">
        <v>74</v>
      </c>
      <c r="E784" t="s">
        <v>74</v>
      </c>
      <c r="F784" t="s">
        <v>15059</v>
      </c>
      <c r="G784" t="s">
        <v>74</v>
      </c>
      <c r="H784" t="s">
        <v>74</v>
      </c>
      <c r="I784" t="s">
        <v>15060</v>
      </c>
      <c r="J784" t="s">
        <v>15061</v>
      </c>
      <c r="K784" t="s">
        <v>74</v>
      </c>
      <c r="L784" t="s">
        <v>74</v>
      </c>
      <c r="M784" t="s">
        <v>78</v>
      </c>
      <c r="N784" t="s">
        <v>79</v>
      </c>
      <c r="O784" t="s">
        <v>74</v>
      </c>
      <c r="P784" t="s">
        <v>74</v>
      </c>
      <c r="Q784" t="s">
        <v>74</v>
      </c>
      <c r="R784" t="s">
        <v>74</v>
      </c>
      <c r="S784" t="s">
        <v>74</v>
      </c>
      <c r="T784" t="s">
        <v>15062</v>
      </c>
      <c r="U784" t="s">
        <v>15063</v>
      </c>
      <c r="V784" t="s">
        <v>15064</v>
      </c>
      <c r="W784" t="s">
        <v>15065</v>
      </c>
      <c r="X784" t="s">
        <v>15066</v>
      </c>
      <c r="Y784" t="s">
        <v>15067</v>
      </c>
      <c r="Z784" t="s">
        <v>15068</v>
      </c>
      <c r="AA784" t="s">
        <v>74</v>
      </c>
      <c r="AB784" t="s">
        <v>15069</v>
      </c>
      <c r="AC784" t="s">
        <v>74</v>
      </c>
      <c r="AD784" t="s">
        <v>74</v>
      </c>
      <c r="AE784" t="s">
        <v>74</v>
      </c>
      <c r="AF784" t="s">
        <v>74</v>
      </c>
      <c r="AG784">
        <v>27</v>
      </c>
      <c r="AH784">
        <v>1</v>
      </c>
      <c r="AI784">
        <v>1</v>
      </c>
      <c r="AJ784">
        <v>0</v>
      </c>
      <c r="AK784">
        <v>1</v>
      </c>
      <c r="AL784" t="s">
        <v>838</v>
      </c>
      <c r="AM784" t="s">
        <v>839</v>
      </c>
      <c r="AN784" t="s">
        <v>840</v>
      </c>
      <c r="AO784" t="s">
        <v>15070</v>
      </c>
      <c r="AP784" t="s">
        <v>15071</v>
      </c>
      <c r="AQ784" t="s">
        <v>74</v>
      </c>
      <c r="AR784" t="s">
        <v>15072</v>
      </c>
      <c r="AS784" t="s">
        <v>15073</v>
      </c>
      <c r="AT784" t="s">
        <v>13613</v>
      </c>
      <c r="AU784">
        <v>2023</v>
      </c>
      <c r="AV784">
        <v>34</v>
      </c>
      <c r="AW784">
        <v>6</v>
      </c>
      <c r="AX784" t="s">
        <v>74</v>
      </c>
      <c r="AY784" t="s">
        <v>74</v>
      </c>
      <c r="AZ784" t="s">
        <v>74</v>
      </c>
      <c r="BA784" t="s">
        <v>74</v>
      </c>
      <c r="BB784" t="s">
        <v>74</v>
      </c>
      <c r="BC784" t="s">
        <v>74</v>
      </c>
      <c r="BD784">
        <v>65303</v>
      </c>
      <c r="BE784" t="s">
        <v>15074</v>
      </c>
      <c r="BF784" t="str">
        <f>HYPERLINK("http://dx.doi.org/10.1088/1361-6501/acc4e0","http://dx.doi.org/10.1088/1361-6501/acc4e0")</f>
        <v>http://dx.doi.org/10.1088/1361-6501/acc4e0</v>
      </c>
      <c r="BG784" t="s">
        <v>74</v>
      </c>
      <c r="BH784" t="s">
        <v>74</v>
      </c>
      <c r="BI784">
        <v>18</v>
      </c>
      <c r="BJ784" t="s">
        <v>15075</v>
      </c>
      <c r="BK784" t="s">
        <v>104</v>
      </c>
      <c r="BL784" t="s">
        <v>15076</v>
      </c>
      <c r="BM784" t="s">
        <v>15077</v>
      </c>
      <c r="BN784" t="s">
        <v>74</v>
      </c>
      <c r="BO784" t="s">
        <v>74</v>
      </c>
      <c r="BP784" t="s">
        <v>74</v>
      </c>
      <c r="BQ784" t="s">
        <v>74</v>
      </c>
      <c r="BR784" t="s">
        <v>107</v>
      </c>
      <c r="BS784" t="s">
        <v>15078</v>
      </c>
      <c r="BT784" t="str">
        <f>HYPERLINK("https%3A%2F%2Fwww.webofscience.com%2Fwos%2Fwoscc%2Ffull-record%2FWOS:000958080000001","View Full Record in Web of Science")</f>
        <v>View Full Record in Web of Science</v>
      </c>
    </row>
    <row r="785" spans="1:72" x14ac:dyDescent="0.15">
      <c r="A785" t="s">
        <v>72</v>
      </c>
      <c r="B785" t="s">
        <v>15079</v>
      </c>
      <c r="C785" t="s">
        <v>74</v>
      </c>
      <c r="D785" t="s">
        <v>74</v>
      </c>
      <c r="E785" t="s">
        <v>74</v>
      </c>
      <c r="F785" t="s">
        <v>15080</v>
      </c>
      <c r="G785" t="s">
        <v>74</v>
      </c>
      <c r="H785" t="s">
        <v>74</v>
      </c>
      <c r="I785" t="s">
        <v>15081</v>
      </c>
      <c r="J785" t="s">
        <v>15082</v>
      </c>
      <c r="K785" t="s">
        <v>74</v>
      </c>
      <c r="L785" t="s">
        <v>74</v>
      </c>
      <c r="M785" t="s">
        <v>78</v>
      </c>
      <c r="N785" t="s">
        <v>79</v>
      </c>
      <c r="O785" t="s">
        <v>74</v>
      </c>
      <c r="P785" t="s">
        <v>74</v>
      </c>
      <c r="Q785" t="s">
        <v>74</v>
      </c>
      <c r="R785" t="s">
        <v>74</v>
      </c>
      <c r="S785" t="s">
        <v>74</v>
      </c>
      <c r="T785" t="s">
        <v>15083</v>
      </c>
      <c r="U785" t="s">
        <v>15084</v>
      </c>
      <c r="V785" t="s">
        <v>15085</v>
      </c>
      <c r="W785" t="s">
        <v>15086</v>
      </c>
      <c r="X785" t="s">
        <v>15087</v>
      </c>
      <c r="Y785" t="s">
        <v>15088</v>
      </c>
      <c r="Z785" t="s">
        <v>15089</v>
      </c>
      <c r="AA785" t="s">
        <v>15090</v>
      </c>
      <c r="AB785" t="s">
        <v>15091</v>
      </c>
      <c r="AC785" t="s">
        <v>74</v>
      </c>
      <c r="AD785" t="s">
        <v>74</v>
      </c>
      <c r="AE785" t="s">
        <v>74</v>
      </c>
      <c r="AF785" t="s">
        <v>74</v>
      </c>
      <c r="AG785">
        <v>43</v>
      </c>
      <c r="AH785">
        <v>1</v>
      </c>
      <c r="AI785">
        <v>1</v>
      </c>
      <c r="AJ785">
        <v>7</v>
      </c>
      <c r="AK785">
        <v>22</v>
      </c>
      <c r="AL785" t="s">
        <v>8392</v>
      </c>
      <c r="AM785" t="s">
        <v>370</v>
      </c>
      <c r="AN785" t="s">
        <v>8393</v>
      </c>
      <c r="AO785" t="s">
        <v>15092</v>
      </c>
      <c r="AP785" t="s">
        <v>15093</v>
      </c>
      <c r="AQ785" t="s">
        <v>74</v>
      </c>
      <c r="AR785" t="s">
        <v>15094</v>
      </c>
      <c r="AS785" t="s">
        <v>15095</v>
      </c>
      <c r="AT785" t="s">
        <v>8990</v>
      </c>
      <c r="AU785">
        <v>2023</v>
      </c>
      <c r="AV785">
        <v>22</v>
      </c>
      <c r="AW785">
        <v>2</v>
      </c>
      <c r="AX785" t="s">
        <v>74</v>
      </c>
      <c r="AY785" t="s">
        <v>74</v>
      </c>
      <c r="AZ785" t="s">
        <v>74</v>
      </c>
      <c r="BA785" t="s">
        <v>74</v>
      </c>
      <c r="BB785" t="s">
        <v>74</v>
      </c>
      <c r="BC785" t="s">
        <v>74</v>
      </c>
      <c r="BD785">
        <v>45</v>
      </c>
      <c r="BE785" t="s">
        <v>15096</v>
      </c>
      <c r="BF785" t="str">
        <f>HYPERLINK("http://dx.doi.org/10.1007/s12346-023-00751-w","http://dx.doi.org/10.1007/s12346-023-00751-w")</f>
        <v>http://dx.doi.org/10.1007/s12346-023-00751-w</v>
      </c>
      <c r="BG785" t="s">
        <v>74</v>
      </c>
      <c r="BH785" t="s">
        <v>74</v>
      </c>
      <c r="BI785">
        <v>17</v>
      </c>
      <c r="BJ785" t="s">
        <v>10040</v>
      </c>
      <c r="BK785" t="s">
        <v>104</v>
      </c>
      <c r="BL785" t="s">
        <v>3820</v>
      </c>
      <c r="BM785" t="s">
        <v>15097</v>
      </c>
      <c r="BN785" t="s">
        <v>74</v>
      </c>
      <c r="BO785" t="s">
        <v>74</v>
      </c>
      <c r="BP785" t="s">
        <v>74</v>
      </c>
      <c r="BQ785" t="s">
        <v>74</v>
      </c>
      <c r="BR785" t="s">
        <v>107</v>
      </c>
      <c r="BS785" t="s">
        <v>15098</v>
      </c>
      <c r="BT785" t="str">
        <f>HYPERLINK("https%3A%2F%2Fwww.webofscience.com%2Fwos%2Fwoscc%2Ffull-record%2FWOS:000927420500002","View Full Record in Web of Science")</f>
        <v>View Full Record in Web of Science</v>
      </c>
    </row>
    <row r="786" spans="1:72" x14ac:dyDescent="0.15">
      <c r="A786" t="s">
        <v>72</v>
      </c>
      <c r="B786" t="s">
        <v>15099</v>
      </c>
      <c r="C786" t="s">
        <v>74</v>
      </c>
      <c r="D786" t="s">
        <v>74</v>
      </c>
      <c r="E786" t="s">
        <v>74</v>
      </c>
      <c r="F786" t="s">
        <v>15100</v>
      </c>
      <c r="G786" t="s">
        <v>74</v>
      </c>
      <c r="H786" t="s">
        <v>74</v>
      </c>
      <c r="I786" t="s">
        <v>15101</v>
      </c>
      <c r="J786" t="s">
        <v>6100</v>
      </c>
      <c r="K786" t="s">
        <v>74</v>
      </c>
      <c r="L786" t="s">
        <v>74</v>
      </c>
      <c r="M786" t="s">
        <v>78</v>
      </c>
      <c r="N786" t="s">
        <v>79</v>
      </c>
      <c r="O786" t="s">
        <v>74</v>
      </c>
      <c r="P786" t="s">
        <v>74</v>
      </c>
      <c r="Q786" t="s">
        <v>74</v>
      </c>
      <c r="R786" t="s">
        <v>74</v>
      </c>
      <c r="S786" t="s">
        <v>74</v>
      </c>
      <c r="T786" t="s">
        <v>15102</v>
      </c>
      <c r="U786" t="s">
        <v>15103</v>
      </c>
      <c r="V786" t="s">
        <v>15104</v>
      </c>
      <c r="W786" t="s">
        <v>15105</v>
      </c>
      <c r="X786" t="s">
        <v>15106</v>
      </c>
      <c r="Y786" t="s">
        <v>15107</v>
      </c>
      <c r="Z786" t="s">
        <v>15108</v>
      </c>
      <c r="AA786" t="s">
        <v>74</v>
      </c>
      <c r="AB786" t="s">
        <v>15109</v>
      </c>
      <c r="AC786" t="s">
        <v>15110</v>
      </c>
      <c r="AD786" t="s">
        <v>15111</v>
      </c>
      <c r="AE786" t="s">
        <v>15112</v>
      </c>
      <c r="AF786" t="s">
        <v>74</v>
      </c>
      <c r="AG786">
        <v>139</v>
      </c>
      <c r="AH786">
        <v>3</v>
      </c>
      <c r="AI786">
        <v>3</v>
      </c>
      <c r="AJ786">
        <v>2</v>
      </c>
      <c r="AK786">
        <v>4</v>
      </c>
      <c r="AL786" t="s">
        <v>2305</v>
      </c>
      <c r="AM786" t="s">
        <v>538</v>
      </c>
      <c r="AN786" t="s">
        <v>2306</v>
      </c>
      <c r="AO786" t="s">
        <v>6110</v>
      </c>
      <c r="AP786" t="s">
        <v>6111</v>
      </c>
      <c r="AQ786" t="s">
        <v>74</v>
      </c>
      <c r="AR786" t="s">
        <v>6112</v>
      </c>
      <c r="AS786" t="s">
        <v>6113</v>
      </c>
      <c r="AT786" t="s">
        <v>3612</v>
      </c>
      <c r="AU786">
        <v>2023</v>
      </c>
      <c r="AV786">
        <v>197</v>
      </c>
      <c r="AW786" t="s">
        <v>74</v>
      </c>
      <c r="AX786" t="s">
        <v>74</v>
      </c>
      <c r="AY786" t="s">
        <v>74</v>
      </c>
      <c r="AZ786" t="s">
        <v>74</v>
      </c>
      <c r="BA786" t="s">
        <v>74</v>
      </c>
      <c r="BB786" t="s">
        <v>74</v>
      </c>
      <c r="BC786" t="s">
        <v>74</v>
      </c>
      <c r="BD786">
        <v>104066</v>
      </c>
      <c r="BE786" t="s">
        <v>15113</v>
      </c>
      <c r="BF786" t="str">
        <f>HYPERLINK("http://dx.doi.org/10.1016/j.dsr.2023.104066","http://dx.doi.org/10.1016/j.dsr.2023.104066")</f>
        <v>http://dx.doi.org/10.1016/j.dsr.2023.104066</v>
      </c>
      <c r="BG786" t="s">
        <v>74</v>
      </c>
      <c r="BH786" t="s">
        <v>15114</v>
      </c>
      <c r="BI786">
        <v>15</v>
      </c>
      <c r="BJ786" t="s">
        <v>306</v>
      </c>
      <c r="BK786" t="s">
        <v>104</v>
      </c>
      <c r="BL786" t="s">
        <v>306</v>
      </c>
      <c r="BM786" t="s">
        <v>15115</v>
      </c>
      <c r="BN786" t="s">
        <v>74</v>
      </c>
      <c r="BO786" t="s">
        <v>74</v>
      </c>
      <c r="BP786" t="s">
        <v>74</v>
      </c>
      <c r="BQ786" t="s">
        <v>74</v>
      </c>
      <c r="BR786" t="s">
        <v>107</v>
      </c>
      <c r="BS786" t="s">
        <v>15116</v>
      </c>
      <c r="BT786" t="str">
        <f>HYPERLINK("https%3A%2F%2Fwww.webofscience.com%2Fwos%2Fwoscc%2Ffull-record%2FWOS:001055646000001","View Full Record in Web of Science")</f>
        <v>View Full Record in Web of Science</v>
      </c>
    </row>
    <row r="787" spans="1:72" x14ac:dyDescent="0.15">
      <c r="A787" t="s">
        <v>72</v>
      </c>
      <c r="B787" t="s">
        <v>15117</v>
      </c>
      <c r="C787" t="s">
        <v>74</v>
      </c>
      <c r="D787" t="s">
        <v>74</v>
      </c>
      <c r="E787" t="s">
        <v>74</v>
      </c>
      <c r="F787" t="s">
        <v>15118</v>
      </c>
      <c r="G787" t="s">
        <v>74</v>
      </c>
      <c r="H787" t="s">
        <v>74</v>
      </c>
      <c r="I787" t="s">
        <v>15119</v>
      </c>
      <c r="J787" t="s">
        <v>2470</v>
      </c>
      <c r="K787" t="s">
        <v>74</v>
      </c>
      <c r="L787" t="s">
        <v>74</v>
      </c>
      <c r="M787" t="s">
        <v>78</v>
      </c>
      <c r="N787" t="s">
        <v>79</v>
      </c>
      <c r="O787" t="s">
        <v>74</v>
      </c>
      <c r="P787" t="s">
        <v>74</v>
      </c>
      <c r="Q787" t="s">
        <v>74</v>
      </c>
      <c r="R787" t="s">
        <v>74</v>
      </c>
      <c r="S787" t="s">
        <v>74</v>
      </c>
      <c r="T787" t="s">
        <v>15120</v>
      </c>
      <c r="U787" t="s">
        <v>15121</v>
      </c>
      <c r="V787" t="s">
        <v>15122</v>
      </c>
      <c r="W787" t="s">
        <v>15123</v>
      </c>
      <c r="X787" t="s">
        <v>15124</v>
      </c>
      <c r="Y787" t="s">
        <v>15125</v>
      </c>
      <c r="Z787" t="s">
        <v>15126</v>
      </c>
      <c r="AA787" t="s">
        <v>15127</v>
      </c>
      <c r="AB787" t="s">
        <v>15128</v>
      </c>
      <c r="AC787" t="s">
        <v>15129</v>
      </c>
      <c r="AD787" t="s">
        <v>15130</v>
      </c>
      <c r="AE787" t="s">
        <v>15131</v>
      </c>
      <c r="AF787" t="s">
        <v>74</v>
      </c>
      <c r="AG787">
        <v>83</v>
      </c>
      <c r="AH787">
        <v>1</v>
      </c>
      <c r="AI787">
        <v>1</v>
      </c>
      <c r="AJ787">
        <v>3</v>
      </c>
      <c r="AK787">
        <v>6</v>
      </c>
      <c r="AL787" t="s">
        <v>2305</v>
      </c>
      <c r="AM787" t="s">
        <v>538</v>
      </c>
      <c r="AN787" t="s">
        <v>2306</v>
      </c>
      <c r="AO787" t="s">
        <v>2482</v>
      </c>
      <c r="AP787" t="s">
        <v>2483</v>
      </c>
      <c r="AQ787" t="s">
        <v>74</v>
      </c>
      <c r="AR787" t="s">
        <v>2484</v>
      </c>
      <c r="AS787" t="s">
        <v>2485</v>
      </c>
      <c r="AT787" t="s">
        <v>9434</v>
      </c>
      <c r="AU787">
        <v>2023</v>
      </c>
      <c r="AV787">
        <v>311</v>
      </c>
      <c r="AW787" t="s">
        <v>74</v>
      </c>
      <c r="AX787" t="s">
        <v>74</v>
      </c>
      <c r="AY787" t="s">
        <v>74</v>
      </c>
      <c r="AZ787" t="s">
        <v>74</v>
      </c>
      <c r="BA787" t="s">
        <v>74</v>
      </c>
      <c r="BB787" t="s">
        <v>74</v>
      </c>
      <c r="BC787" t="s">
        <v>74</v>
      </c>
      <c r="BD787">
        <v>108133</v>
      </c>
      <c r="BE787" t="s">
        <v>15132</v>
      </c>
      <c r="BF787" t="str">
        <f>HYPERLINK("http://dx.doi.org/10.1016/j.quascirev.2023.108133","http://dx.doi.org/10.1016/j.quascirev.2023.108133")</f>
        <v>http://dx.doi.org/10.1016/j.quascirev.2023.108133</v>
      </c>
      <c r="BG787" t="s">
        <v>74</v>
      </c>
      <c r="BH787" t="s">
        <v>15114</v>
      </c>
      <c r="BI787">
        <v>14</v>
      </c>
      <c r="BJ787" t="s">
        <v>1783</v>
      </c>
      <c r="BK787" t="s">
        <v>104</v>
      </c>
      <c r="BL787" t="s">
        <v>1784</v>
      </c>
      <c r="BM787" t="s">
        <v>15133</v>
      </c>
      <c r="BN787" t="s">
        <v>74</v>
      </c>
      <c r="BO787" t="s">
        <v>74</v>
      </c>
      <c r="BP787" t="s">
        <v>74</v>
      </c>
      <c r="BQ787" t="s">
        <v>74</v>
      </c>
      <c r="BR787" t="s">
        <v>107</v>
      </c>
      <c r="BS787" t="s">
        <v>15134</v>
      </c>
      <c r="BT787" t="str">
        <f>HYPERLINK("https%3A%2F%2Fwww.webofscience.com%2Fwos%2Fwoscc%2Ffull-record%2FWOS:001014822000001","View Full Record in Web of Science")</f>
        <v>View Full Record in Web of Science</v>
      </c>
    </row>
    <row r="788" spans="1:72" x14ac:dyDescent="0.15">
      <c r="A788" t="s">
        <v>72</v>
      </c>
      <c r="B788" t="s">
        <v>15135</v>
      </c>
      <c r="C788" t="s">
        <v>74</v>
      </c>
      <c r="D788" t="s">
        <v>74</v>
      </c>
      <c r="E788" t="s">
        <v>74</v>
      </c>
      <c r="F788" t="s">
        <v>15136</v>
      </c>
      <c r="G788" t="s">
        <v>74</v>
      </c>
      <c r="H788" t="s">
        <v>74</v>
      </c>
      <c r="I788" t="s">
        <v>15137</v>
      </c>
      <c r="J788" t="s">
        <v>15138</v>
      </c>
      <c r="K788" t="s">
        <v>74</v>
      </c>
      <c r="L788" t="s">
        <v>74</v>
      </c>
      <c r="M788" t="s">
        <v>78</v>
      </c>
      <c r="N788" t="s">
        <v>79</v>
      </c>
      <c r="O788" t="s">
        <v>74</v>
      </c>
      <c r="P788" t="s">
        <v>74</v>
      </c>
      <c r="Q788" t="s">
        <v>74</v>
      </c>
      <c r="R788" t="s">
        <v>74</v>
      </c>
      <c r="S788" t="s">
        <v>74</v>
      </c>
      <c r="T788" t="s">
        <v>15139</v>
      </c>
      <c r="U788" t="s">
        <v>15140</v>
      </c>
      <c r="V788" t="s">
        <v>15141</v>
      </c>
      <c r="W788" t="s">
        <v>15142</v>
      </c>
      <c r="X788" t="s">
        <v>15143</v>
      </c>
      <c r="Y788" t="s">
        <v>15144</v>
      </c>
      <c r="Z788" t="s">
        <v>15145</v>
      </c>
      <c r="AA788" t="s">
        <v>74</v>
      </c>
      <c r="AB788" t="s">
        <v>74</v>
      </c>
      <c r="AC788" t="s">
        <v>15146</v>
      </c>
      <c r="AD788" t="s">
        <v>15147</v>
      </c>
      <c r="AE788" t="s">
        <v>15148</v>
      </c>
      <c r="AF788" t="s">
        <v>74</v>
      </c>
      <c r="AG788">
        <v>69</v>
      </c>
      <c r="AH788">
        <v>1</v>
      </c>
      <c r="AI788">
        <v>1</v>
      </c>
      <c r="AJ788">
        <v>24</v>
      </c>
      <c r="AK788">
        <v>39</v>
      </c>
      <c r="AL788" t="s">
        <v>172</v>
      </c>
      <c r="AM788" t="s">
        <v>173</v>
      </c>
      <c r="AN788" t="s">
        <v>174</v>
      </c>
      <c r="AO788" t="s">
        <v>15149</v>
      </c>
      <c r="AP788" t="s">
        <v>15150</v>
      </c>
      <c r="AQ788" t="s">
        <v>74</v>
      </c>
      <c r="AR788" t="s">
        <v>15151</v>
      </c>
      <c r="AS788" t="s">
        <v>15152</v>
      </c>
      <c r="AT788" t="s">
        <v>97</v>
      </c>
      <c r="AU788">
        <v>2023</v>
      </c>
      <c r="AV788">
        <v>213</v>
      </c>
      <c r="AW788" t="s">
        <v>74</v>
      </c>
      <c r="AX788" t="s">
        <v>74</v>
      </c>
      <c r="AY788" t="s">
        <v>74</v>
      </c>
      <c r="AZ788" t="s">
        <v>74</v>
      </c>
      <c r="BA788" t="s">
        <v>74</v>
      </c>
      <c r="BB788" t="s">
        <v>74</v>
      </c>
      <c r="BC788" t="s">
        <v>74</v>
      </c>
      <c r="BD788">
        <v>103903</v>
      </c>
      <c r="BE788" t="s">
        <v>15153</v>
      </c>
      <c r="BF788" t="str">
        <f>HYPERLINK("http://dx.doi.org/10.1016/j.coldregions.2023.103903","http://dx.doi.org/10.1016/j.coldregions.2023.103903")</f>
        <v>http://dx.doi.org/10.1016/j.coldregions.2023.103903</v>
      </c>
      <c r="BG788" t="s">
        <v>74</v>
      </c>
      <c r="BH788" t="s">
        <v>15114</v>
      </c>
      <c r="BI788">
        <v>10</v>
      </c>
      <c r="BJ788" t="s">
        <v>15154</v>
      </c>
      <c r="BK788" t="s">
        <v>104</v>
      </c>
      <c r="BL788" t="s">
        <v>15155</v>
      </c>
      <c r="BM788" t="s">
        <v>15156</v>
      </c>
      <c r="BN788" t="s">
        <v>74</v>
      </c>
      <c r="BO788" t="s">
        <v>74</v>
      </c>
      <c r="BP788" t="s">
        <v>74</v>
      </c>
      <c r="BQ788" t="s">
        <v>74</v>
      </c>
      <c r="BR788" t="s">
        <v>107</v>
      </c>
      <c r="BS788" t="s">
        <v>15157</v>
      </c>
      <c r="BT788" t="str">
        <f>HYPERLINK("https%3A%2F%2Fwww.webofscience.com%2Fwos%2Fwoscc%2Ffull-record%2FWOS:001013603100001","View Full Record in Web of Science")</f>
        <v>View Full Record in Web of Science</v>
      </c>
    </row>
    <row r="789" spans="1:72" x14ac:dyDescent="0.15">
      <c r="A789" t="s">
        <v>72</v>
      </c>
      <c r="B789" t="s">
        <v>15158</v>
      </c>
      <c r="C789" t="s">
        <v>74</v>
      </c>
      <c r="D789" t="s">
        <v>74</v>
      </c>
      <c r="E789" t="s">
        <v>74</v>
      </c>
      <c r="F789" t="s">
        <v>15159</v>
      </c>
      <c r="G789" t="s">
        <v>74</v>
      </c>
      <c r="H789" t="s">
        <v>74</v>
      </c>
      <c r="I789" t="s">
        <v>15160</v>
      </c>
      <c r="J789" t="s">
        <v>983</v>
      </c>
      <c r="K789" t="s">
        <v>74</v>
      </c>
      <c r="L789" t="s">
        <v>74</v>
      </c>
      <c r="M789" t="s">
        <v>78</v>
      </c>
      <c r="N789" t="s">
        <v>79</v>
      </c>
      <c r="O789" t="s">
        <v>74</v>
      </c>
      <c r="P789" t="s">
        <v>74</v>
      </c>
      <c r="Q789" t="s">
        <v>74</v>
      </c>
      <c r="R789" t="s">
        <v>74</v>
      </c>
      <c r="S789" t="s">
        <v>74</v>
      </c>
      <c r="T789" t="s">
        <v>15161</v>
      </c>
      <c r="U789" t="s">
        <v>15162</v>
      </c>
      <c r="V789" t="s">
        <v>15163</v>
      </c>
      <c r="W789" t="s">
        <v>15164</v>
      </c>
      <c r="X789" t="s">
        <v>15165</v>
      </c>
      <c r="Y789" t="s">
        <v>15166</v>
      </c>
      <c r="Z789" t="s">
        <v>15167</v>
      </c>
      <c r="AA789" t="s">
        <v>74</v>
      </c>
      <c r="AB789" t="s">
        <v>15168</v>
      </c>
      <c r="AC789" t="s">
        <v>15169</v>
      </c>
      <c r="AD789" t="s">
        <v>15170</v>
      </c>
      <c r="AE789" t="s">
        <v>15171</v>
      </c>
      <c r="AF789" t="s">
        <v>74</v>
      </c>
      <c r="AG789">
        <v>61</v>
      </c>
      <c r="AH789">
        <v>0</v>
      </c>
      <c r="AI789">
        <v>0</v>
      </c>
      <c r="AJ789">
        <v>2</v>
      </c>
      <c r="AK789">
        <v>12</v>
      </c>
      <c r="AL789" t="s">
        <v>994</v>
      </c>
      <c r="AM789" t="s">
        <v>995</v>
      </c>
      <c r="AN789" t="s">
        <v>996</v>
      </c>
      <c r="AO789" t="s">
        <v>74</v>
      </c>
      <c r="AP789" t="s">
        <v>997</v>
      </c>
      <c r="AQ789" t="s">
        <v>74</v>
      </c>
      <c r="AR789" t="s">
        <v>998</v>
      </c>
      <c r="AS789" t="s">
        <v>999</v>
      </c>
      <c r="AT789" t="s">
        <v>15172</v>
      </c>
      <c r="AU789">
        <v>2023</v>
      </c>
      <c r="AV789">
        <v>10</v>
      </c>
      <c r="AW789" t="s">
        <v>74</v>
      </c>
      <c r="AX789" t="s">
        <v>74</v>
      </c>
      <c r="AY789" t="s">
        <v>74</v>
      </c>
      <c r="AZ789" t="s">
        <v>74</v>
      </c>
      <c r="BA789" t="s">
        <v>74</v>
      </c>
      <c r="BB789" t="s">
        <v>74</v>
      </c>
      <c r="BC789" t="s">
        <v>74</v>
      </c>
      <c r="BD789">
        <v>1107567</v>
      </c>
      <c r="BE789" t="s">
        <v>15173</v>
      </c>
      <c r="BF789" t="str">
        <f>HYPERLINK("http://dx.doi.org/10.3389/fmars.2023.1107567","http://dx.doi.org/10.3389/fmars.2023.1107567")</f>
        <v>http://dx.doi.org/10.3389/fmars.2023.1107567</v>
      </c>
      <c r="BG789" t="s">
        <v>74</v>
      </c>
      <c r="BH789" t="s">
        <v>74</v>
      </c>
      <c r="BI789">
        <v>8</v>
      </c>
      <c r="BJ789" t="s">
        <v>1001</v>
      </c>
      <c r="BK789" t="s">
        <v>104</v>
      </c>
      <c r="BL789" t="s">
        <v>1002</v>
      </c>
      <c r="BM789" t="s">
        <v>15174</v>
      </c>
      <c r="BN789" t="s">
        <v>74</v>
      </c>
      <c r="BO789" t="s">
        <v>206</v>
      </c>
      <c r="BP789" t="s">
        <v>74</v>
      </c>
      <c r="BQ789" t="s">
        <v>74</v>
      </c>
      <c r="BR789" t="s">
        <v>107</v>
      </c>
      <c r="BS789" t="s">
        <v>15175</v>
      </c>
      <c r="BT789" t="str">
        <f>HYPERLINK("https%3A%2F%2Fwww.webofscience.com%2Fwos%2Fwoscc%2Ffull-record%2FWOS:001006377000001","View Full Record in Web of Science")</f>
        <v>View Full Record in Web of Science</v>
      </c>
    </row>
    <row r="790" spans="1:72" x14ac:dyDescent="0.15">
      <c r="A790" t="s">
        <v>72</v>
      </c>
      <c r="B790" t="s">
        <v>15176</v>
      </c>
      <c r="C790" t="s">
        <v>74</v>
      </c>
      <c r="D790" t="s">
        <v>74</v>
      </c>
      <c r="E790" t="s">
        <v>74</v>
      </c>
      <c r="F790" t="s">
        <v>15177</v>
      </c>
      <c r="G790" t="s">
        <v>74</v>
      </c>
      <c r="H790" t="s">
        <v>74</v>
      </c>
      <c r="I790" t="s">
        <v>15178</v>
      </c>
      <c r="J790" t="s">
        <v>15179</v>
      </c>
      <c r="K790" t="s">
        <v>74</v>
      </c>
      <c r="L790" t="s">
        <v>74</v>
      </c>
      <c r="M790" t="s">
        <v>78</v>
      </c>
      <c r="N790" t="s">
        <v>79</v>
      </c>
      <c r="O790" t="s">
        <v>74</v>
      </c>
      <c r="P790" t="s">
        <v>74</v>
      </c>
      <c r="Q790" t="s">
        <v>74</v>
      </c>
      <c r="R790" t="s">
        <v>74</v>
      </c>
      <c r="S790" t="s">
        <v>74</v>
      </c>
      <c r="T790" t="s">
        <v>15180</v>
      </c>
      <c r="U790" t="s">
        <v>15181</v>
      </c>
      <c r="V790" t="s">
        <v>15182</v>
      </c>
      <c r="W790" t="s">
        <v>15183</v>
      </c>
      <c r="X790" t="s">
        <v>15184</v>
      </c>
      <c r="Y790" t="s">
        <v>15185</v>
      </c>
      <c r="Z790" t="s">
        <v>295</v>
      </c>
      <c r="AA790" t="s">
        <v>15186</v>
      </c>
      <c r="AB790" t="s">
        <v>74</v>
      </c>
      <c r="AC790" t="s">
        <v>15187</v>
      </c>
      <c r="AD790" t="s">
        <v>15188</v>
      </c>
      <c r="AE790" t="s">
        <v>15189</v>
      </c>
      <c r="AF790" t="s">
        <v>74</v>
      </c>
      <c r="AG790">
        <v>44</v>
      </c>
      <c r="AH790">
        <v>0</v>
      </c>
      <c r="AI790">
        <v>0</v>
      </c>
      <c r="AJ790">
        <v>9</v>
      </c>
      <c r="AK790">
        <v>14</v>
      </c>
      <c r="AL790" t="s">
        <v>460</v>
      </c>
      <c r="AM790" t="s">
        <v>461</v>
      </c>
      <c r="AN790" t="s">
        <v>462</v>
      </c>
      <c r="AO790" t="s">
        <v>15190</v>
      </c>
      <c r="AP790" t="s">
        <v>15191</v>
      </c>
      <c r="AQ790" t="s">
        <v>74</v>
      </c>
      <c r="AR790" t="s">
        <v>15192</v>
      </c>
      <c r="AS790" t="s">
        <v>15193</v>
      </c>
      <c r="AT790" t="s">
        <v>97</v>
      </c>
      <c r="AU790">
        <v>2023</v>
      </c>
      <c r="AV790">
        <v>103</v>
      </c>
      <c r="AW790">
        <v>12</v>
      </c>
      <c r="AX790" t="s">
        <v>74</v>
      </c>
      <c r="AY790" t="s">
        <v>74</v>
      </c>
      <c r="AZ790" t="s">
        <v>74</v>
      </c>
      <c r="BA790" t="s">
        <v>74</v>
      </c>
      <c r="BB790">
        <v>6095</v>
      </c>
      <c r="BC790">
        <v>6104</v>
      </c>
      <c r="BD790" t="s">
        <v>74</v>
      </c>
      <c r="BE790" t="s">
        <v>15194</v>
      </c>
      <c r="BF790" t="str">
        <f>HYPERLINK("http://dx.doi.org/10.1002/jsfa.12705","http://dx.doi.org/10.1002/jsfa.12705")</f>
        <v>http://dx.doi.org/10.1002/jsfa.12705</v>
      </c>
      <c r="BG790" t="s">
        <v>74</v>
      </c>
      <c r="BH790" t="s">
        <v>15114</v>
      </c>
      <c r="BI790">
        <v>10</v>
      </c>
      <c r="BJ790" t="s">
        <v>7062</v>
      </c>
      <c r="BK790" t="s">
        <v>104</v>
      </c>
      <c r="BL790" t="s">
        <v>7063</v>
      </c>
      <c r="BM790" t="s">
        <v>15195</v>
      </c>
      <c r="BN790">
        <v>37209381</v>
      </c>
      <c r="BO790" t="s">
        <v>74</v>
      </c>
      <c r="BP790" t="s">
        <v>74</v>
      </c>
      <c r="BQ790" t="s">
        <v>74</v>
      </c>
      <c r="BR790" t="s">
        <v>107</v>
      </c>
      <c r="BS790" t="s">
        <v>15196</v>
      </c>
      <c r="BT790" t="str">
        <f>HYPERLINK("https%3A%2F%2Fwww.webofscience.com%2Fwos%2Fwoscc%2Ffull-record%2FWOS:000999802700001","View Full Record in Web of Science")</f>
        <v>View Full Record in Web of Science</v>
      </c>
    </row>
    <row r="791" spans="1:72" x14ac:dyDescent="0.15">
      <c r="A791" t="s">
        <v>72</v>
      </c>
      <c r="B791" t="s">
        <v>15197</v>
      </c>
      <c r="C791" t="s">
        <v>74</v>
      </c>
      <c r="D791" t="s">
        <v>74</v>
      </c>
      <c r="E791" t="s">
        <v>74</v>
      </c>
      <c r="F791" t="s">
        <v>15198</v>
      </c>
      <c r="G791" t="s">
        <v>74</v>
      </c>
      <c r="H791" t="s">
        <v>74</v>
      </c>
      <c r="I791" t="s">
        <v>15199</v>
      </c>
      <c r="J791" t="s">
        <v>15200</v>
      </c>
      <c r="K791" t="s">
        <v>74</v>
      </c>
      <c r="L791" t="s">
        <v>74</v>
      </c>
      <c r="M791" t="s">
        <v>78</v>
      </c>
      <c r="N791" t="s">
        <v>79</v>
      </c>
      <c r="O791" t="s">
        <v>74</v>
      </c>
      <c r="P791" t="s">
        <v>74</v>
      </c>
      <c r="Q791" t="s">
        <v>74</v>
      </c>
      <c r="R791" t="s">
        <v>74</v>
      </c>
      <c r="S791" t="s">
        <v>74</v>
      </c>
      <c r="T791" t="s">
        <v>15201</v>
      </c>
      <c r="U791" t="s">
        <v>15202</v>
      </c>
      <c r="V791" t="s">
        <v>15203</v>
      </c>
      <c r="W791" t="s">
        <v>15204</v>
      </c>
      <c r="X791" t="s">
        <v>15205</v>
      </c>
      <c r="Y791" t="s">
        <v>15206</v>
      </c>
      <c r="Z791" t="s">
        <v>15207</v>
      </c>
      <c r="AA791" t="s">
        <v>15208</v>
      </c>
      <c r="AB791" t="s">
        <v>15209</v>
      </c>
      <c r="AC791" t="s">
        <v>15210</v>
      </c>
      <c r="AD791" t="s">
        <v>15211</v>
      </c>
      <c r="AE791" t="s">
        <v>15212</v>
      </c>
      <c r="AF791" t="s">
        <v>74</v>
      </c>
      <c r="AG791">
        <v>85</v>
      </c>
      <c r="AH791">
        <v>0</v>
      </c>
      <c r="AI791">
        <v>0</v>
      </c>
      <c r="AJ791">
        <v>0</v>
      </c>
      <c r="AK791">
        <v>4</v>
      </c>
      <c r="AL791" t="s">
        <v>3454</v>
      </c>
      <c r="AM791" t="s">
        <v>1528</v>
      </c>
      <c r="AN791" t="s">
        <v>3455</v>
      </c>
      <c r="AO791" t="s">
        <v>15213</v>
      </c>
      <c r="AP791" t="s">
        <v>15214</v>
      </c>
      <c r="AQ791" t="s">
        <v>74</v>
      </c>
      <c r="AR791" t="s">
        <v>15215</v>
      </c>
      <c r="AS791" t="s">
        <v>15216</v>
      </c>
      <c r="AT791" t="s">
        <v>15172</v>
      </c>
      <c r="AU791">
        <v>2023</v>
      </c>
      <c r="AV791">
        <v>479</v>
      </c>
      <c r="AW791">
        <v>2273</v>
      </c>
      <c r="AX791" t="s">
        <v>74</v>
      </c>
      <c r="AY791" t="s">
        <v>74</v>
      </c>
      <c r="AZ791" t="s">
        <v>74</v>
      </c>
      <c r="BA791" t="s">
        <v>74</v>
      </c>
      <c r="BB791" t="s">
        <v>74</v>
      </c>
      <c r="BC791" t="s">
        <v>74</v>
      </c>
      <c r="BD791">
        <v>20220473</v>
      </c>
      <c r="BE791" t="s">
        <v>15217</v>
      </c>
      <c r="BF791" t="str">
        <f>HYPERLINK("http://dx.doi.org/10.1098/rspa.2022.0473","http://dx.doi.org/10.1098/rspa.2022.0473")</f>
        <v>http://dx.doi.org/10.1098/rspa.2022.0473</v>
      </c>
      <c r="BG791" t="s">
        <v>74</v>
      </c>
      <c r="BH791" t="s">
        <v>74</v>
      </c>
      <c r="BI791">
        <v>22</v>
      </c>
      <c r="BJ791" t="s">
        <v>1881</v>
      </c>
      <c r="BK791" t="s">
        <v>104</v>
      </c>
      <c r="BL791" t="s">
        <v>1882</v>
      </c>
      <c r="BM791" t="s">
        <v>15218</v>
      </c>
      <c r="BN791" t="s">
        <v>74</v>
      </c>
      <c r="BO791" t="s">
        <v>2287</v>
      </c>
      <c r="BP791" t="s">
        <v>74</v>
      </c>
      <c r="BQ791" t="s">
        <v>74</v>
      </c>
      <c r="BR791" t="s">
        <v>107</v>
      </c>
      <c r="BS791" t="s">
        <v>15219</v>
      </c>
      <c r="BT791" t="str">
        <f>HYPERLINK("https%3A%2F%2Fwww.webofscience.com%2Fwos%2Fwoscc%2Ffull-record%2FWOS:000999663300003","View Full Record in Web of Science")</f>
        <v>View Full Record in Web of Science</v>
      </c>
    </row>
    <row r="792" spans="1:72" x14ac:dyDescent="0.15">
      <c r="A792" t="s">
        <v>72</v>
      </c>
      <c r="B792" t="s">
        <v>15220</v>
      </c>
      <c r="C792" t="s">
        <v>74</v>
      </c>
      <c r="D792" t="s">
        <v>74</v>
      </c>
      <c r="E792" t="s">
        <v>74</v>
      </c>
      <c r="F792" t="s">
        <v>15221</v>
      </c>
      <c r="G792" t="s">
        <v>74</v>
      </c>
      <c r="H792" t="s">
        <v>74</v>
      </c>
      <c r="I792" t="s">
        <v>15222</v>
      </c>
      <c r="J792" t="s">
        <v>15223</v>
      </c>
      <c r="K792" t="s">
        <v>74</v>
      </c>
      <c r="L792" t="s">
        <v>74</v>
      </c>
      <c r="M792" t="s">
        <v>78</v>
      </c>
      <c r="N792" t="s">
        <v>79</v>
      </c>
      <c r="O792" t="s">
        <v>74</v>
      </c>
      <c r="P792" t="s">
        <v>74</v>
      </c>
      <c r="Q792" t="s">
        <v>74</v>
      </c>
      <c r="R792" t="s">
        <v>74</v>
      </c>
      <c r="S792" t="s">
        <v>74</v>
      </c>
      <c r="T792" t="s">
        <v>15224</v>
      </c>
      <c r="U792" t="s">
        <v>15225</v>
      </c>
      <c r="V792" t="s">
        <v>15226</v>
      </c>
      <c r="W792" t="s">
        <v>15227</v>
      </c>
      <c r="X792" t="s">
        <v>15228</v>
      </c>
      <c r="Y792" t="s">
        <v>15229</v>
      </c>
      <c r="Z792" t="s">
        <v>15230</v>
      </c>
      <c r="AA792" t="s">
        <v>15231</v>
      </c>
      <c r="AB792" t="s">
        <v>15232</v>
      </c>
      <c r="AC792" t="s">
        <v>74</v>
      </c>
      <c r="AD792" t="s">
        <v>74</v>
      </c>
      <c r="AE792" t="s">
        <v>74</v>
      </c>
      <c r="AF792" t="s">
        <v>74</v>
      </c>
      <c r="AG792">
        <v>60</v>
      </c>
      <c r="AH792">
        <v>0</v>
      </c>
      <c r="AI792">
        <v>0</v>
      </c>
      <c r="AJ792">
        <v>1</v>
      </c>
      <c r="AK792">
        <v>2</v>
      </c>
      <c r="AL792" t="s">
        <v>298</v>
      </c>
      <c r="AM792" t="s">
        <v>299</v>
      </c>
      <c r="AN792" t="s">
        <v>300</v>
      </c>
      <c r="AO792" t="s">
        <v>15233</v>
      </c>
      <c r="AP792" t="s">
        <v>15234</v>
      </c>
      <c r="AQ792" t="s">
        <v>74</v>
      </c>
      <c r="AR792" t="s">
        <v>15235</v>
      </c>
      <c r="AS792" t="s">
        <v>15236</v>
      </c>
      <c r="AT792" t="s">
        <v>15172</v>
      </c>
      <c r="AU792">
        <v>2023</v>
      </c>
      <c r="AV792">
        <v>85</v>
      </c>
      <c r="AW792">
        <v>6</v>
      </c>
      <c r="AX792" t="s">
        <v>74</v>
      </c>
      <c r="AY792" t="s">
        <v>74</v>
      </c>
      <c r="AZ792" t="s">
        <v>74</v>
      </c>
      <c r="BA792" t="s">
        <v>74</v>
      </c>
      <c r="BB792" t="s">
        <v>74</v>
      </c>
      <c r="BC792" t="s">
        <v>74</v>
      </c>
      <c r="BD792">
        <v>39</v>
      </c>
      <c r="BE792" t="s">
        <v>15237</v>
      </c>
      <c r="BF792" t="str">
        <f>HYPERLINK("http://dx.doi.org/10.1007/s00445-023-01651-2","http://dx.doi.org/10.1007/s00445-023-01651-2")</f>
        <v>http://dx.doi.org/10.1007/s00445-023-01651-2</v>
      </c>
      <c r="BG792" t="s">
        <v>74</v>
      </c>
      <c r="BH792" t="s">
        <v>74</v>
      </c>
      <c r="BI792">
        <v>18</v>
      </c>
      <c r="BJ792" t="s">
        <v>155</v>
      </c>
      <c r="BK792" t="s">
        <v>104</v>
      </c>
      <c r="BL792" t="s">
        <v>156</v>
      </c>
      <c r="BM792" t="s">
        <v>15238</v>
      </c>
      <c r="BN792" t="s">
        <v>74</v>
      </c>
      <c r="BO792" t="s">
        <v>1217</v>
      </c>
      <c r="BP792" t="s">
        <v>74</v>
      </c>
      <c r="BQ792" t="s">
        <v>74</v>
      </c>
      <c r="BR792" t="s">
        <v>107</v>
      </c>
      <c r="BS792" t="s">
        <v>15239</v>
      </c>
      <c r="BT792" t="str">
        <f>HYPERLINK("https%3A%2F%2Fwww.webofscience.com%2Fwos%2Fwoscc%2Ffull-record%2FWOS:000998443700001","View Full Record in Web of Science")</f>
        <v>View Full Record in Web of Science</v>
      </c>
    </row>
    <row r="793" spans="1:72" x14ac:dyDescent="0.15">
      <c r="A793" t="s">
        <v>72</v>
      </c>
      <c r="B793" t="s">
        <v>15240</v>
      </c>
      <c r="C793" t="s">
        <v>74</v>
      </c>
      <c r="D793" t="s">
        <v>74</v>
      </c>
      <c r="E793" t="s">
        <v>74</v>
      </c>
      <c r="F793" t="s">
        <v>15241</v>
      </c>
      <c r="G793" t="s">
        <v>74</v>
      </c>
      <c r="H793" t="s">
        <v>74</v>
      </c>
      <c r="I793" t="s">
        <v>15242</v>
      </c>
      <c r="J793" t="s">
        <v>1971</v>
      </c>
      <c r="K793" t="s">
        <v>74</v>
      </c>
      <c r="L793" t="s">
        <v>74</v>
      </c>
      <c r="M793" t="s">
        <v>78</v>
      </c>
      <c r="N793" t="s">
        <v>79</v>
      </c>
      <c r="O793" t="s">
        <v>74</v>
      </c>
      <c r="P793" t="s">
        <v>74</v>
      </c>
      <c r="Q793" t="s">
        <v>74</v>
      </c>
      <c r="R793" t="s">
        <v>74</v>
      </c>
      <c r="S793" t="s">
        <v>74</v>
      </c>
      <c r="T793" t="s">
        <v>15243</v>
      </c>
      <c r="U793" t="s">
        <v>15244</v>
      </c>
      <c r="V793" t="s">
        <v>15245</v>
      </c>
      <c r="W793" t="s">
        <v>15246</v>
      </c>
      <c r="X793" t="s">
        <v>15247</v>
      </c>
      <c r="Y793" t="s">
        <v>15248</v>
      </c>
      <c r="Z793" t="s">
        <v>6747</v>
      </c>
      <c r="AA793" t="s">
        <v>15249</v>
      </c>
      <c r="AB793" t="s">
        <v>15250</v>
      </c>
      <c r="AC793" t="s">
        <v>15251</v>
      </c>
      <c r="AD793" t="s">
        <v>15252</v>
      </c>
      <c r="AE793" t="s">
        <v>15253</v>
      </c>
      <c r="AF793" t="s">
        <v>74</v>
      </c>
      <c r="AG793">
        <v>94</v>
      </c>
      <c r="AH793">
        <v>1</v>
      </c>
      <c r="AI793">
        <v>1</v>
      </c>
      <c r="AJ793">
        <v>4</v>
      </c>
      <c r="AK793">
        <v>6</v>
      </c>
      <c r="AL793" t="s">
        <v>298</v>
      </c>
      <c r="AM793" t="s">
        <v>299</v>
      </c>
      <c r="AN793" t="s">
        <v>300</v>
      </c>
      <c r="AO793" t="s">
        <v>1984</v>
      </c>
      <c r="AP793" t="s">
        <v>1985</v>
      </c>
      <c r="AQ793" t="s">
        <v>74</v>
      </c>
      <c r="AR793" t="s">
        <v>1986</v>
      </c>
      <c r="AS793" t="s">
        <v>1987</v>
      </c>
      <c r="AT793" t="s">
        <v>1394</v>
      </c>
      <c r="AU793">
        <v>2023</v>
      </c>
      <c r="AV793">
        <v>61</v>
      </c>
      <c r="AW793" t="s">
        <v>8128</v>
      </c>
      <c r="AX793" t="s">
        <v>74</v>
      </c>
      <c r="AY793" t="s">
        <v>74</v>
      </c>
      <c r="AZ793" t="s">
        <v>74</v>
      </c>
      <c r="BA793" t="s">
        <v>74</v>
      </c>
      <c r="BB793">
        <v>5147</v>
      </c>
      <c r="BC793">
        <v>5169</v>
      </c>
      <c r="BD793" t="s">
        <v>74</v>
      </c>
      <c r="BE793" t="s">
        <v>15254</v>
      </c>
      <c r="BF793" t="str">
        <f>HYPERLINK("http://dx.doi.org/10.1007/s00382-023-06845-0","http://dx.doi.org/10.1007/s00382-023-06845-0")</f>
        <v>http://dx.doi.org/10.1007/s00382-023-06845-0</v>
      </c>
      <c r="BG793" t="s">
        <v>74</v>
      </c>
      <c r="BH793" t="s">
        <v>15114</v>
      </c>
      <c r="BI793">
        <v>23</v>
      </c>
      <c r="BJ793" t="s">
        <v>103</v>
      </c>
      <c r="BK793" t="s">
        <v>104</v>
      </c>
      <c r="BL793" t="s">
        <v>103</v>
      </c>
      <c r="BM793" t="s">
        <v>8130</v>
      </c>
      <c r="BN793" t="s">
        <v>74</v>
      </c>
      <c r="BO793" t="s">
        <v>549</v>
      </c>
      <c r="BP793" t="s">
        <v>74</v>
      </c>
      <c r="BQ793" t="s">
        <v>74</v>
      </c>
      <c r="BR793" t="s">
        <v>107</v>
      </c>
      <c r="BS793" t="s">
        <v>15255</v>
      </c>
      <c r="BT793" t="str">
        <f>HYPERLINK("https%3A%2F%2Fwww.webofscience.com%2Fwos%2Fwoscc%2Ffull-record%2FWOS:000999282200002","View Full Record in Web of Science")</f>
        <v>View Full Record in Web of Science</v>
      </c>
    </row>
    <row r="794" spans="1:72" x14ac:dyDescent="0.15">
      <c r="A794" t="s">
        <v>72</v>
      </c>
      <c r="B794" t="s">
        <v>15256</v>
      </c>
      <c r="C794" t="s">
        <v>74</v>
      </c>
      <c r="D794" t="s">
        <v>74</v>
      </c>
      <c r="E794" t="s">
        <v>74</v>
      </c>
      <c r="F794" t="s">
        <v>15257</v>
      </c>
      <c r="G794" t="s">
        <v>74</v>
      </c>
      <c r="H794" t="s">
        <v>74</v>
      </c>
      <c r="I794" t="s">
        <v>15258</v>
      </c>
      <c r="J794" t="s">
        <v>2917</v>
      </c>
      <c r="K794" t="s">
        <v>74</v>
      </c>
      <c r="L794" t="s">
        <v>74</v>
      </c>
      <c r="M794" t="s">
        <v>78</v>
      </c>
      <c r="N794" t="s">
        <v>79</v>
      </c>
      <c r="O794" t="s">
        <v>74</v>
      </c>
      <c r="P794" t="s">
        <v>74</v>
      </c>
      <c r="Q794" t="s">
        <v>74</v>
      </c>
      <c r="R794" t="s">
        <v>74</v>
      </c>
      <c r="S794" t="s">
        <v>74</v>
      </c>
      <c r="T794" t="s">
        <v>74</v>
      </c>
      <c r="U794" t="s">
        <v>15259</v>
      </c>
      <c r="V794" t="s">
        <v>15260</v>
      </c>
      <c r="W794" t="s">
        <v>15261</v>
      </c>
      <c r="X794" t="s">
        <v>15262</v>
      </c>
      <c r="Y794" t="s">
        <v>15263</v>
      </c>
      <c r="Z794" t="s">
        <v>15264</v>
      </c>
      <c r="AA794" t="s">
        <v>15265</v>
      </c>
      <c r="AB794" t="s">
        <v>15266</v>
      </c>
      <c r="AC794" t="s">
        <v>15267</v>
      </c>
      <c r="AD794" t="s">
        <v>15268</v>
      </c>
      <c r="AE794" t="s">
        <v>15269</v>
      </c>
      <c r="AF794" t="s">
        <v>74</v>
      </c>
      <c r="AG794">
        <v>75</v>
      </c>
      <c r="AH794">
        <v>6</v>
      </c>
      <c r="AI794">
        <v>6</v>
      </c>
      <c r="AJ794">
        <v>36</v>
      </c>
      <c r="AK794">
        <v>74</v>
      </c>
      <c r="AL794" t="s">
        <v>146</v>
      </c>
      <c r="AM794" t="s">
        <v>147</v>
      </c>
      <c r="AN794" t="s">
        <v>148</v>
      </c>
      <c r="AO794" t="s">
        <v>74</v>
      </c>
      <c r="AP794" t="s">
        <v>2929</v>
      </c>
      <c r="AQ794" t="s">
        <v>74</v>
      </c>
      <c r="AR794" t="s">
        <v>2930</v>
      </c>
      <c r="AS794" t="s">
        <v>2931</v>
      </c>
      <c r="AT794" t="s">
        <v>15270</v>
      </c>
      <c r="AU794">
        <v>2023</v>
      </c>
      <c r="AV794">
        <v>14</v>
      </c>
      <c r="AW794">
        <v>1</v>
      </c>
      <c r="AX794" t="s">
        <v>74</v>
      </c>
      <c r="AY794" t="s">
        <v>74</v>
      </c>
      <c r="AZ794" t="s">
        <v>74</v>
      </c>
      <c r="BA794" t="s">
        <v>74</v>
      </c>
      <c r="BB794" t="s">
        <v>74</v>
      </c>
      <c r="BC794" t="s">
        <v>74</v>
      </c>
      <c r="BD794">
        <v>2990</v>
      </c>
      <c r="BE794" t="s">
        <v>15271</v>
      </c>
      <c r="BF794" t="str">
        <f>HYPERLINK("http://dx.doi.org/10.1038/s41467-023-38375-y","http://dx.doi.org/10.1038/s41467-023-38375-y")</f>
        <v>http://dx.doi.org/10.1038/s41467-023-38375-y</v>
      </c>
      <c r="BG794" t="s">
        <v>74</v>
      </c>
      <c r="BH794" t="s">
        <v>74</v>
      </c>
      <c r="BI794">
        <v>11</v>
      </c>
      <c r="BJ794" t="s">
        <v>1881</v>
      </c>
      <c r="BK794" t="s">
        <v>104</v>
      </c>
      <c r="BL794" t="s">
        <v>1882</v>
      </c>
      <c r="BM794" t="s">
        <v>15272</v>
      </c>
      <c r="BN794">
        <v>37253755</v>
      </c>
      <c r="BO794" t="s">
        <v>181</v>
      </c>
      <c r="BP794" t="s">
        <v>74</v>
      </c>
      <c r="BQ794" t="s">
        <v>74</v>
      </c>
      <c r="BR794" t="s">
        <v>107</v>
      </c>
      <c r="BS794" t="s">
        <v>15273</v>
      </c>
      <c r="BT794" t="str">
        <f>HYPERLINK("https%3A%2F%2Fwww.webofscience.com%2Fwos%2Fwoscc%2Ffull-record%2FWOS:001058998300003","View Full Record in Web of Science")</f>
        <v>View Full Record in Web of Science</v>
      </c>
    </row>
    <row r="795" spans="1:72" x14ac:dyDescent="0.15">
      <c r="A795" t="s">
        <v>72</v>
      </c>
      <c r="B795" t="s">
        <v>15274</v>
      </c>
      <c r="C795" t="s">
        <v>74</v>
      </c>
      <c r="D795" t="s">
        <v>74</v>
      </c>
      <c r="E795" t="s">
        <v>74</v>
      </c>
      <c r="F795" t="s">
        <v>15275</v>
      </c>
      <c r="G795" t="s">
        <v>74</v>
      </c>
      <c r="H795" t="s">
        <v>74</v>
      </c>
      <c r="I795" t="s">
        <v>15276</v>
      </c>
      <c r="J795" t="s">
        <v>9677</v>
      </c>
      <c r="K795" t="s">
        <v>74</v>
      </c>
      <c r="L795" t="s">
        <v>74</v>
      </c>
      <c r="M795" t="s">
        <v>78</v>
      </c>
      <c r="N795" t="s">
        <v>79</v>
      </c>
      <c r="O795" t="s">
        <v>74</v>
      </c>
      <c r="P795" t="s">
        <v>74</v>
      </c>
      <c r="Q795" t="s">
        <v>74</v>
      </c>
      <c r="R795" t="s">
        <v>74</v>
      </c>
      <c r="S795" t="s">
        <v>74</v>
      </c>
      <c r="T795" t="s">
        <v>15277</v>
      </c>
      <c r="U795" t="s">
        <v>15278</v>
      </c>
      <c r="V795" t="s">
        <v>15279</v>
      </c>
      <c r="W795" t="s">
        <v>15280</v>
      </c>
      <c r="X795" t="s">
        <v>15281</v>
      </c>
      <c r="Y795" t="s">
        <v>15282</v>
      </c>
      <c r="Z795" t="s">
        <v>15283</v>
      </c>
      <c r="AA795" t="s">
        <v>15284</v>
      </c>
      <c r="AB795" t="s">
        <v>15285</v>
      </c>
      <c r="AC795" t="s">
        <v>15286</v>
      </c>
      <c r="AD795" t="s">
        <v>15286</v>
      </c>
      <c r="AE795" t="s">
        <v>15287</v>
      </c>
      <c r="AF795" t="s">
        <v>74</v>
      </c>
      <c r="AG795">
        <v>80</v>
      </c>
      <c r="AH795">
        <v>2</v>
      </c>
      <c r="AI795">
        <v>2</v>
      </c>
      <c r="AJ795">
        <v>3</v>
      </c>
      <c r="AK795">
        <v>8</v>
      </c>
      <c r="AL795" t="s">
        <v>369</v>
      </c>
      <c r="AM795" t="s">
        <v>370</v>
      </c>
      <c r="AN795" t="s">
        <v>371</v>
      </c>
      <c r="AO795" t="s">
        <v>9688</v>
      </c>
      <c r="AP795" t="s">
        <v>74</v>
      </c>
      <c r="AQ795" t="s">
        <v>74</v>
      </c>
      <c r="AR795" t="s">
        <v>9689</v>
      </c>
      <c r="AS795" t="s">
        <v>9690</v>
      </c>
      <c r="AT795" t="s">
        <v>15270</v>
      </c>
      <c r="AU795">
        <v>2023</v>
      </c>
      <c r="AV795">
        <v>13</v>
      </c>
      <c r="AW795">
        <v>11</v>
      </c>
      <c r="AX795" t="s">
        <v>74</v>
      </c>
      <c r="AY795" t="s">
        <v>74</v>
      </c>
      <c r="AZ795" t="s">
        <v>74</v>
      </c>
      <c r="BA795" t="s">
        <v>74</v>
      </c>
      <c r="BB795" t="s">
        <v>74</v>
      </c>
      <c r="BC795" t="s">
        <v>74</v>
      </c>
      <c r="BD795">
        <v>1805</v>
      </c>
      <c r="BE795" t="s">
        <v>15288</v>
      </c>
      <c r="BF795" t="str">
        <f>HYPERLINK("http://dx.doi.org/10.3390/ani13111805","http://dx.doi.org/10.3390/ani13111805")</f>
        <v>http://dx.doi.org/10.3390/ani13111805</v>
      </c>
      <c r="BG795" t="s">
        <v>74</v>
      </c>
      <c r="BH795" t="s">
        <v>74</v>
      </c>
      <c r="BI795">
        <v>15</v>
      </c>
      <c r="BJ795" t="s">
        <v>9692</v>
      </c>
      <c r="BK795" t="s">
        <v>104</v>
      </c>
      <c r="BL795" t="s">
        <v>9693</v>
      </c>
      <c r="BM795" t="s">
        <v>15289</v>
      </c>
      <c r="BN795">
        <v>37889709</v>
      </c>
      <c r="BO795" t="s">
        <v>181</v>
      </c>
      <c r="BP795" t="s">
        <v>74</v>
      </c>
      <c r="BQ795" t="s">
        <v>74</v>
      </c>
      <c r="BR795" t="s">
        <v>107</v>
      </c>
      <c r="BS795" t="s">
        <v>15290</v>
      </c>
      <c r="BT795" t="str">
        <f>HYPERLINK("https%3A%2F%2Fwww.webofscience.com%2Fwos%2Fwoscc%2Ffull-record%2FWOS:001005129700001","View Full Record in Web of Science")</f>
        <v>View Full Record in Web of Science</v>
      </c>
    </row>
    <row r="796" spans="1:72" x14ac:dyDescent="0.15">
      <c r="A796" t="s">
        <v>72</v>
      </c>
      <c r="B796" t="s">
        <v>15291</v>
      </c>
      <c r="C796" t="s">
        <v>74</v>
      </c>
      <c r="D796" t="s">
        <v>74</v>
      </c>
      <c r="E796" t="s">
        <v>74</v>
      </c>
      <c r="F796" t="s">
        <v>15292</v>
      </c>
      <c r="G796" t="s">
        <v>74</v>
      </c>
      <c r="H796" t="s">
        <v>74</v>
      </c>
      <c r="I796" t="s">
        <v>15293</v>
      </c>
      <c r="J796" t="s">
        <v>3334</v>
      </c>
      <c r="K796" t="s">
        <v>74</v>
      </c>
      <c r="L796" t="s">
        <v>74</v>
      </c>
      <c r="M796" t="s">
        <v>78</v>
      </c>
      <c r="N796" t="s">
        <v>79</v>
      </c>
      <c r="O796" t="s">
        <v>74</v>
      </c>
      <c r="P796" t="s">
        <v>74</v>
      </c>
      <c r="Q796" t="s">
        <v>74</v>
      </c>
      <c r="R796" t="s">
        <v>74</v>
      </c>
      <c r="S796" t="s">
        <v>74</v>
      </c>
      <c r="T796" t="s">
        <v>74</v>
      </c>
      <c r="U796" t="s">
        <v>15294</v>
      </c>
      <c r="V796" t="s">
        <v>15295</v>
      </c>
      <c r="W796" t="s">
        <v>15296</v>
      </c>
      <c r="X796" t="s">
        <v>15297</v>
      </c>
      <c r="Y796" t="s">
        <v>15298</v>
      </c>
      <c r="Z796" t="s">
        <v>15299</v>
      </c>
      <c r="AA796" t="s">
        <v>15300</v>
      </c>
      <c r="AB796" t="s">
        <v>15301</v>
      </c>
      <c r="AC796" t="s">
        <v>15302</v>
      </c>
      <c r="AD796" t="s">
        <v>15302</v>
      </c>
      <c r="AE796" t="s">
        <v>15303</v>
      </c>
      <c r="AF796" t="s">
        <v>74</v>
      </c>
      <c r="AG796">
        <v>140</v>
      </c>
      <c r="AH796">
        <v>1</v>
      </c>
      <c r="AI796">
        <v>1</v>
      </c>
      <c r="AJ796">
        <v>6</v>
      </c>
      <c r="AK796">
        <v>12</v>
      </c>
      <c r="AL796" t="s">
        <v>1775</v>
      </c>
      <c r="AM796" t="s">
        <v>1776</v>
      </c>
      <c r="AN796" t="s">
        <v>1777</v>
      </c>
      <c r="AO796" t="s">
        <v>3346</v>
      </c>
      <c r="AP796" t="s">
        <v>3347</v>
      </c>
      <c r="AQ796" t="s">
        <v>74</v>
      </c>
      <c r="AR796" t="s">
        <v>3348</v>
      </c>
      <c r="AS796" t="s">
        <v>3349</v>
      </c>
      <c r="AT796" t="s">
        <v>15270</v>
      </c>
      <c r="AU796">
        <v>2023</v>
      </c>
      <c r="AV796">
        <v>19</v>
      </c>
      <c r="AW796">
        <v>5</v>
      </c>
      <c r="AX796" t="s">
        <v>74</v>
      </c>
      <c r="AY796" t="s">
        <v>74</v>
      </c>
      <c r="AZ796" t="s">
        <v>74</v>
      </c>
      <c r="BA796" t="s">
        <v>74</v>
      </c>
      <c r="BB796">
        <v>1061</v>
      </c>
      <c r="BC796">
        <v>1079</v>
      </c>
      <c r="BD796" t="s">
        <v>74</v>
      </c>
      <c r="BE796" t="s">
        <v>15304</v>
      </c>
      <c r="BF796" t="str">
        <f>HYPERLINK("http://dx.doi.org/10.5194/cp-19-1061-2023","http://dx.doi.org/10.5194/cp-19-1061-2023")</f>
        <v>http://dx.doi.org/10.5194/cp-19-1061-2023</v>
      </c>
      <c r="BG796" t="s">
        <v>74</v>
      </c>
      <c r="BH796" t="s">
        <v>74</v>
      </c>
      <c r="BI796">
        <v>19</v>
      </c>
      <c r="BJ796" t="s">
        <v>3351</v>
      </c>
      <c r="BK796" t="s">
        <v>104</v>
      </c>
      <c r="BL796" t="s">
        <v>3352</v>
      </c>
      <c r="BM796" t="s">
        <v>15305</v>
      </c>
      <c r="BN796" t="s">
        <v>74</v>
      </c>
      <c r="BO796" t="s">
        <v>771</v>
      </c>
      <c r="BP796" t="s">
        <v>74</v>
      </c>
      <c r="BQ796" t="s">
        <v>74</v>
      </c>
      <c r="BR796" t="s">
        <v>107</v>
      </c>
      <c r="BS796" t="s">
        <v>15306</v>
      </c>
      <c r="BT796" t="str">
        <f>HYPERLINK("https%3A%2F%2Fwww.webofscience.com%2Fwos%2Fwoscc%2Ffull-record%2FWOS:000998709000001","View Full Record in Web of Science")</f>
        <v>View Full Record in Web of Science</v>
      </c>
    </row>
    <row r="797" spans="1:72" x14ac:dyDescent="0.15">
      <c r="A797" t="s">
        <v>72</v>
      </c>
      <c r="B797" t="s">
        <v>15307</v>
      </c>
      <c r="C797" t="s">
        <v>74</v>
      </c>
      <c r="D797" t="s">
        <v>74</v>
      </c>
      <c r="E797" t="s">
        <v>74</v>
      </c>
      <c r="F797" t="s">
        <v>15308</v>
      </c>
      <c r="G797" t="s">
        <v>74</v>
      </c>
      <c r="H797" t="s">
        <v>74</v>
      </c>
      <c r="I797" t="s">
        <v>15309</v>
      </c>
      <c r="J797" t="s">
        <v>15310</v>
      </c>
      <c r="K797" t="s">
        <v>74</v>
      </c>
      <c r="L797" t="s">
        <v>74</v>
      </c>
      <c r="M797" t="s">
        <v>78</v>
      </c>
      <c r="N797" t="s">
        <v>424</v>
      </c>
      <c r="O797" t="s">
        <v>74</v>
      </c>
      <c r="P797" t="s">
        <v>74</v>
      </c>
      <c r="Q797" t="s">
        <v>74</v>
      </c>
      <c r="R797" t="s">
        <v>74</v>
      </c>
      <c r="S797" t="s">
        <v>74</v>
      </c>
      <c r="T797" t="s">
        <v>15311</v>
      </c>
      <c r="U797" t="s">
        <v>15312</v>
      </c>
      <c r="V797" t="s">
        <v>15313</v>
      </c>
      <c r="W797" t="s">
        <v>15314</v>
      </c>
      <c r="X797" t="s">
        <v>15315</v>
      </c>
      <c r="Y797" t="s">
        <v>15316</v>
      </c>
      <c r="Z797" t="s">
        <v>15317</v>
      </c>
      <c r="AA797" t="s">
        <v>15318</v>
      </c>
      <c r="AB797" t="s">
        <v>15319</v>
      </c>
      <c r="AC797" t="s">
        <v>15320</v>
      </c>
      <c r="AD797" t="s">
        <v>15321</v>
      </c>
      <c r="AE797" t="s">
        <v>15322</v>
      </c>
      <c r="AF797" t="s">
        <v>74</v>
      </c>
      <c r="AG797">
        <v>86</v>
      </c>
      <c r="AH797">
        <v>2</v>
      </c>
      <c r="AI797">
        <v>2</v>
      </c>
      <c r="AJ797">
        <v>6</v>
      </c>
      <c r="AK797">
        <v>8</v>
      </c>
      <c r="AL797" t="s">
        <v>298</v>
      </c>
      <c r="AM797" t="s">
        <v>3791</v>
      </c>
      <c r="AN797" t="s">
        <v>3792</v>
      </c>
      <c r="AO797" t="s">
        <v>15323</v>
      </c>
      <c r="AP797" t="s">
        <v>15324</v>
      </c>
      <c r="AQ797" t="s">
        <v>74</v>
      </c>
      <c r="AR797" t="s">
        <v>15325</v>
      </c>
      <c r="AS797" t="s">
        <v>15326</v>
      </c>
      <c r="AT797" t="s">
        <v>1394</v>
      </c>
      <c r="AU797">
        <v>2023</v>
      </c>
      <c r="AV797">
        <v>33</v>
      </c>
      <c r="AW797">
        <v>4</v>
      </c>
      <c r="AX797" t="s">
        <v>74</v>
      </c>
      <c r="AY797" t="s">
        <v>74</v>
      </c>
      <c r="AZ797" t="s">
        <v>74</v>
      </c>
      <c r="BA797" t="s">
        <v>74</v>
      </c>
      <c r="BB797">
        <v>1095</v>
      </c>
      <c r="BC797">
        <v>1111</v>
      </c>
      <c r="BD797" t="s">
        <v>74</v>
      </c>
      <c r="BE797" t="s">
        <v>15327</v>
      </c>
      <c r="BF797" t="str">
        <f>HYPERLINK("http://dx.doi.org/10.1007/s11160-023-09784-5","http://dx.doi.org/10.1007/s11160-023-09784-5")</f>
        <v>http://dx.doi.org/10.1007/s11160-023-09784-5</v>
      </c>
      <c r="BG797" t="s">
        <v>74</v>
      </c>
      <c r="BH797" t="s">
        <v>15114</v>
      </c>
      <c r="BI797">
        <v>17</v>
      </c>
      <c r="BJ797" t="s">
        <v>1757</v>
      </c>
      <c r="BK797" t="s">
        <v>104</v>
      </c>
      <c r="BL797" t="s">
        <v>1757</v>
      </c>
      <c r="BM797" t="s">
        <v>15328</v>
      </c>
      <c r="BN797">
        <v>37360579</v>
      </c>
      <c r="BO797" t="s">
        <v>2894</v>
      </c>
      <c r="BP797" t="s">
        <v>74</v>
      </c>
      <c r="BQ797" t="s">
        <v>74</v>
      </c>
      <c r="BR797" t="s">
        <v>107</v>
      </c>
      <c r="BS797" t="s">
        <v>15329</v>
      </c>
      <c r="BT797" t="str">
        <f>HYPERLINK("https%3A%2F%2Fwww.webofscience.com%2Fwos%2Fwoscc%2Ffull-record%2FWOS:000998178700001","View Full Record in Web of Science")</f>
        <v>View Full Record in Web of Science</v>
      </c>
    </row>
    <row r="798" spans="1:72" x14ac:dyDescent="0.15">
      <c r="A798" t="s">
        <v>72</v>
      </c>
      <c r="B798" t="s">
        <v>15330</v>
      </c>
      <c r="C798" t="s">
        <v>74</v>
      </c>
      <c r="D798" t="s">
        <v>74</v>
      </c>
      <c r="E798" t="s">
        <v>74</v>
      </c>
      <c r="F798" t="s">
        <v>15331</v>
      </c>
      <c r="G798" t="s">
        <v>74</v>
      </c>
      <c r="H798" t="s">
        <v>74</v>
      </c>
      <c r="I798" t="s">
        <v>15332</v>
      </c>
      <c r="J798" t="s">
        <v>3756</v>
      </c>
      <c r="K798" t="s">
        <v>74</v>
      </c>
      <c r="L798" t="s">
        <v>74</v>
      </c>
      <c r="M798" t="s">
        <v>78</v>
      </c>
      <c r="N798" t="s">
        <v>79</v>
      </c>
      <c r="O798" t="s">
        <v>74</v>
      </c>
      <c r="P798" t="s">
        <v>74</v>
      </c>
      <c r="Q798" t="s">
        <v>74</v>
      </c>
      <c r="R798" t="s">
        <v>74</v>
      </c>
      <c r="S798" t="s">
        <v>74</v>
      </c>
      <c r="T798" t="s">
        <v>15333</v>
      </c>
      <c r="U798" t="s">
        <v>15334</v>
      </c>
      <c r="V798" t="s">
        <v>15335</v>
      </c>
      <c r="W798" t="s">
        <v>15336</v>
      </c>
      <c r="X798" t="s">
        <v>15337</v>
      </c>
      <c r="Y798" t="s">
        <v>15338</v>
      </c>
      <c r="Z798" t="s">
        <v>15339</v>
      </c>
      <c r="AA798" t="s">
        <v>15340</v>
      </c>
      <c r="AB798" t="s">
        <v>15341</v>
      </c>
      <c r="AC798" t="s">
        <v>15342</v>
      </c>
      <c r="AD798" t="s">
        <v>15343</v>
      </c>
      <c r="AE798" t="s">
        <v>15344</v>
      </c>
      <c r="AF798" t="s">
        <v>74</v>
      </c>
      <c r="AG798">
        <v>65</v>
      </c>
      <c r="AH798">
        <v>1</v>
      </c>
      <c r="AI798">
        <v>1</v>
      </c>
      <c r="AJ798">
        <v>2</v>
      </c>
      <c r="AK798">
        <v>5</v>
      </c>
      <c r="AL798" t="s">
        <v>298</v>
      </c>
      <c r="AM798" t="s">
        <v>299</v>
      </c>
      <c r="AN798" t="s">
        <v>300</v>
      </c>
      <c r="AO798" t="s">
        <v>3767</v>
      </c>
      <c r="AP798" t="s">
        <v>3768</v>
      </c>
      <c r="AQ798" t="s">
        <v>74</v>
      </c>
      <c r="AR798" t="s">
        <v>3769</v>
      </c>
      <c r="AS798" t="s">
        <v>3770</v>
      </c>
      <c r="AT798" t="s">
        <v>3612</v>
      </c>
      <c r="AU798">
        <v>2023</v>
      </c>
      <c r="AV798">
        <v>46</v>
      </c>
      <c r="AW798">
        <v>7</v>
      </c>
      <c r="AX798" t="s">
        <v>74</v>
      </c>
      <c r="AY798" t="s">
        <v>74</v>
      </c>
      <c r="AZ798" t="s">
        <v>74</v>
      </c>
      <c r="BA798" t="s">
        <v>74</v>
      </c>
      <c r="BB798">
        <v>611</v>
      </c>
      <c r="BC798">
        <v>621</v>
      </c>
      <c r="BD798" t="s">
        <v>74</v>
      </c>
      <c r="BE798" t="s">
        <v>15345</v>
      </c>
      <c r="BF798" t="str">
        <f>HYPERLINK("http://dx.doi.org/10.1007/s00300-023-03149-1","http://dx.doi.org/10.1007/s00300-023-03149-1")</f>
        <v>http://dx.doi.org/10.1007/s00300-023-03149-1</v>
      </c>
      <c r="BG798" t="s">
        <v>74</v>
      </c>
      <c r="BH798" t="s">
        <v>15114</v>
      </c>
      <c r="BI798">
        <v>11</v>
      </c>
      <c r="BJ798" t="s">
        <v>3772</v>
      </c>
      <c r="BK798" t="s">
        <v>104</v>
      </c>
      <c r="BL798" t="s">
        <v>1905</v>
      </c>
      <c r="BM798" t="s">
        <v>13347</v>
      </c>
      <c r="BN798" t="s">
        <v>74</v>
      </c>
      <c r="BO798" t="s">
        <v>1217</v>
      </c>
      <c r="BP798" t="s">
        <v>74</v>
      </c>
      <c r="BQ798" t="s">
        <v>74</v>
      </c>
      <c r="BR798" t="s">
        <v>107</v>
      </c>
      <c r="BS798" t="s">
        <v>15346</v>
      </c>
      <c r="BT798" t="str">
        <f>HYPERLINK("https%3A%2F%2Fwww.webofscience.com%2Fwos%2Fwoscc%2Ffull-record%2FWOS:000998237100001","View Full Record in Web of Science")</f>
        <v>View Full Record in Web of Science</v>
      </c>
    </row>
    <row r="799" spans="1:72" x14ac:dyDescent="0.15">
      <c r="A799" t="s">
        <v>72</v>
      </c>
      <c r="B799" t="s">
        <v>15347</v>
      </c>
      <c r="C799" t="s">
        <v>74</v>
      </c>
      <c r="D799" t="s">
        <v>74</v>
      </c>
      <c r="E799" t="s">
        <v>74</v>
      </c>
      <c r="F799" t="s">
        <v>15348</v>
      </c>
      <c r="G799" t="s">
        <v>74</v>
      </c>
      <c r="H799" t="s">
        <v>74</v>
      </c>
      <c r="I799" t="s">
        <v>15349</v>
      </c>
      <c r="J799" t="s">
        <v>11521</v>
      </c>
      <c r="K799" t="s">
        <v>74</v>
      </c>
      <c r="L799" t="s">
        <v>74</v>
      </c>
      <c r="M799" t="s">
        <v>78</v>
      </c>
      <c r="N799" t="s">
        <v>79</v>
      </c>
      <c r="O799" t="s">
        <v>74</v>
      </c>
      <c r="P799" t="s">
        <v>74</v>
      </c>
      <c r="Q799" t="s">
        <v>74</v>
      </c>
      <c r="R799" t="s">
        <v>74</v>
      </c>
      <c r="S799" t="s">
        <v>74</v>
      </c>
      <c r="T799" t="s">
        <v>74</v>
      </c>
      <c r="U799" t="s">
        <v>15350</v>
      </c>
      <c r="V799" t="s">
        <v>15351</v>
      </c>
      <c r="W799" t="s">
        <v>15352</v>
      </c>
      <c r="X799" t="s">
        <v>11525</v>
      </c>
      <c r="Y799" t="s">
        <v>15353</v>
      </c>
      <c r="Z799" t="s">
        <v>15354</v>
      </c>
      <c r="AA799" t="s">
        <v>15355</v>
      </c>
      <c r="AB799" t="s">
        <v>15356</v>
      </c>
      <c r="AC799" t="s">
        <v>15357</v>
      </c>
      <c r="AD799" t="s">
        <v>15358</v>
      </c>
      <c r="AE799" t="s">
        <v>15359</v>
      </c>
      <c r="AF799" t="s">
        <v>74</v>
      </c>
      <c r="AG799">
        <v>12</v>
      </c>
      <c r="AH799">
        <v>0</v>
      </c>
      <c r="AI799">
        <v>0</v>
      </c>
      <c r="AJ799">
        <v>3</v>
      </c>
      <c r="AK799">
        <v>3</v>
      </c>
      <c r="AL799" t="s">
        <v>11533</v>
      </c>
      <c r="AM799" t="s">
        <v>589</v>
      </c>
      <c r="AN799" t="s">
        <v>11534</v>
      </c>
      <c r="AO799" t="s">
        <v>11535</v>
      </c>
      <c r="AP799" t="s">
        <v>74</v>
      </c>
      <c r="AQ799" t="s">
        <v>74</v>
      </c>
      <c r="AR799" t="s">
        <v>11536</v>
      </c>
      <c r="AS799" t="s">
        <v>11537</v>
      </c>
      <c r="AT799" t="s">
        <v>8596</v>
      </c>
      <c r="AU799">
        <v>2023</v>
      </c>
      <c r="AV799">
        <v>12</v>
      </c>
      <c r="AW799">
        <v>6</v>
      </c>
      <c r="AX799" t="s">
        <v>74</v>
      </c>
      <c r="AY799" t="s">
        <v>74</v>
      </c>
      <c r="AZ799" t="s">
        <v>74</v>
      </c>
      <c r="BA799" t="s">
        <v>74</v>
      </c>
      <c r="BB799" t="s">
        <v>74</v>
      </c>
      <c r="BC799" t="s">
        <v>74</v>
      </c>
      <c r="BD799" t="s">
        <v>74</v>
      </c>
      <c r="BE799" t="s">
        <v>15360</v>
      </c>
      <c r="BF799" t="str">
        <f>HYPERLINK("http://dx.doi.org/10.1128/mra.00123-23","http://dx.doi.org/10.1128/mra.00123-23")</f>
        <v>http://dx.doi.org/10.1128/mra.00123-23</v>
      </c>
      <c r="BG799" t="s">
        <v>74</v>
      </c>
      <c r="BH799" t="s">
        <v>15114</v>
      </c>
      <c r="BI799">
        <v>3</v>
      </c>
      <c r="BJ799" t="s">
        <v>702</v>
      </c>
      <c r="BK799" t="s">
        <v>518</v>
      </c>
      <c r="BL799" t="s">
        <v>702</v>
      </c>
      <c r="BM799" t="s">
        <v>15361</v>
      </c>
      <c r="BN799">
        <v>37249469</v>
      </c>
      <c r="BO799" t="s">
        <v>821</v>
      </c>
      <c r="BP799" t="s">
        <v>74</v>
      </c>
      <c r="BQ799" t="s">
        <v>74</v>
      </c>
      <c r="BR799" t="s">
        <v>107</v>
      </c>
      <c r="BS799" t="s">
        <v>15362</v>
      </c>
      <c r="BT799" t="str">
        <f>HYPERLINK("https%3A%2F%2Fwww.webofscience.com%2Fwos%2Fwoscc%2Ffull-record%2FWOS:000997038900001","View Full Record in Web of Science")</f>
        <v>View Full Record in Web of Science</v>
      </c>
    </row>
    <row r="800" spans="1:72" x14ac:dyDescent="0.15">
      <c r="A800" t="s">
        <v>72</v>
      </c>
      <c r="B800" t="s">
        <v>15363</v>
      </c>
      <c r="C800" t="s">
        <v>74</v>
      </c>
      <c r="D800" t="s">
        <v>74</v>
      </c>
      <c r="E800" t="s">
        <v>74</v>
      </c>
      <c r="F800" t="s">
        <v>15364</v>
      </c>
      <c r="G800" t="s">
        <v>74</v>
      </c>
      <c r="H800" t="s">
        <v>74</v>
      </c>
      <c r="I800" t="s">
        <v>15365</v>
      </c>
      <c r="J800" t="s">
        <v>2031</v>
      </c>
      <c r="K800" t="s">
        <v>74</v>
      </c>
      <c r="L800" t="s">
        <v>74</v>
      </c>
      <c r="M800" t="s">
        <v>78</v>
      </c>
      <c r="N800" t="s">
        <v>79</v>
      </c>
      <c r="O800" t="s">
        <v>74</v>
      </c>
      <c r="P800" t="s">
        <v>74</v>
      </c>
      <c r="Q800" t="s">
        <v>74</v>
      </c>
      <c r="R800" t="s">
        <v>74</v>
      </c>
      <c r="S800" t="s">
        <v>74</v>
      </c>
      <c r="T800" t="s">
        <v>15366</v>
      </c>
      <c r="U800" t="s">
        <v>15367</v>
      </c>
      <c r="V800" t="s">
        <v>15368</v>
      </c>
      <c r="W800" t="s">
        <v>15369</v>
      </c>
      <c r="X800" t="s">
        <v>15370</v>
      </c>
      <c r="Y800" t="s">
        <v>15371</v>
      </c>
      <c r="Z800" t="s">
        <v>15372</v>
      </c>
      <c r="AA800" t="s">
        <v>15373</v>
      </c>
      <c r="AB800" t="s">
        <v>15374</v>
      </c>
      <c r="AC800" t="s">
        <v>15375</v>
      </c>
      <c r="AD800" t="s">
        <v>15376</v>
      </c>
      <c r="AE800" t="s">
        <v>15377</v>
      </c>
      <c r="AF800" t="s">
        <v>74</v>
      </c>
      <c r="AG800">
        <v>83</v>
      </c>
      <c r="AH800">
        <v>1</v>
      </c>
      <c r="AI800">
        <v>1</v>
      </c>
      <c r="AJ800">
        <v>2</v>
      </c>
      <c r="AK800">
        <v>5</v>
      </c>
      <c r="AL800" t="s">
        <v>172</v>
      </c>
      <c r="AM800" t="s">
        <v>173</v>
      </c>
      <c r="AN800" t="s">
        <v>174</v>
      </c>
      <c r="AO800" t="s">
        <v>2044</v>
      </c>
      <c r="AP800" t="s">
        <v>2045</v>
      </c>
      <c r="AQ800" t="s">
        <v>74</v>
      </c>
      <c r="AR800" t="s">
        <v>2046</v>
      </c>
      <c r="AS800" t="s">
        <v>2047</v>
      </c>
      <c r="AT800" t="s">
        <v>15378</v>
      </c>
      <c r="AU800">
        <v>2023</v>
      </c>
      <c r="AV800">
        <v>890</v>
      </c>
      <c r="AW800" t="s">
        <v>74</v>
      </c>
      <c r="AX800" t="s">
        <v>74</v>
      </c>
      <c r="AY800" t="s">
        <v>74</v>
      </c>
      <c r="AZ800" t="s">
        <v>74</v>
      </c>
      <c r="BA800" t="s">
        <v>74</v>
      </c>
      <c r="BB800" t="s">
        <v>74</v>
      </c>
      <c r="BC800" t="s">
        <v>74</v>
      </c>
      <c r="BD800">
        <v>164304</v>
      </c>
      <c r="BE800" t="s">
        <v>15379</v>
      </c>
      <c r="BF800" t="str">
        <f>HYPERLINK("http://dx.doi.org/10.1016/j.scitotenv.2023.164304","http://dx.doi.org/10.1016/j.scitotenv.2023.164304")</f>
        <v>http://dx.doi.org/10.1016/j.scitotenv.2023.164304</v>
      </c>
      <c r="BG800" t="s">
        <v>74</v>
      </c>
      <c r="BH800" t="s">
        <v>15114</v>
      </c>
      <c r="BI800">
        <v>9</v>
      </c>
      <c r="BJ800" t="s">
        <v>2050</v>
      </c>
      <c r="BK800" t="s">
        <v>104</v>
      </c>
      <c r="BL800" t="s">
        <v>1535</v>
      </c>
      <c r="BM800" t="s">
        <v>15380</v>
      </c>
      <c r="BN800">
        <v>37230348</v>
      </c>
      <c r="BO800" t="s">
        <v>1217</v>
      </c>
      <c r="BP800" t="s">
        <v>74</v>
      </c>
      <c r="BQ800" t="s">
        <v>74</v>
      </c>
      <c r="BR800" t="s">
        <v>107</v>
      </c>
      <c r="BS800" t="s">
        <v>15381</v>
      </c>
      <c r="BT800" t="str">
        <f>HYPERLINK("https%3A%2F%2Fwww.webofscience.com%2Fwos%2Fwoscc%2Ffull-record%2FWOS:001024692700001","View Full Record in Web of Science")</f>
        <v>View Full Record in Web of Science</v>
      </c>
    </row>
    <row r="801" spans="1:72" x14ac:dyDescent="0.15">
      <c r="A801" t="s">
        <v>72</v>
      </c>
      <c r="B801" t="s">
        <v>15382</v>
      </c>
      <c r="C801" t="s">
        <v>74</v>
      </c>
      <c r="D801" t="s">
        <v>74</v>
      </c>
      <c r="E801" t="s">
        <v>74</v>
      </c>
      <c r="F801" t="s">
        <v>15383</v>
      </c>
      <c r="G801" t="s">
        <v>74</v>
      </c>
      <c r="H801" t="s">
        <v>74</v>
      </c>
      <c r="I801" t="s">
        <v>15384</v>
      </c>
      <c r="J801" t="s">
        <v>708</v>
      </c>
      <c r="K801" t="s">
        <v>74</v>
      </c>
      <c r="L801" t="s">
        <v>74</v>
      </c>
      <c r="M801" t="s">
        <v>78</v>
      </c>
      <c r="N801" t="s">
        <v>79</v>
      </c>
      <c r="O801" t="s">
        <v>74</v>
      </c>
      <c r="P801" t="s">
        <v>74</v>
      </c>
      <c r="Q801" t="s">
        <v>74</v>
      </c>
      <c r="R801" t="s">
        <v>74</v>
      </c>
      <c r="S801" t="s">
        <v>74</v>
      </c>
      <c r="T801" t="s">
        <v>15385</v>
      </c>
      <c r="U801" t="s">
        <v>74</v>
      </c>
      <c r="V801" t="s">
        <v>15386</v>
      </c>
      <c r="W801" t="s">
        <v>15387</v>
      </c>
      <c r="X801" t="s">
        <v>15388</v>
      </c>
      <c r="Y801" t="s">
        <v>15389</v>
      </c>
      <c r="Z801" t="s">
        <v>15390</v>
      </c>
      <c r="AA801" t="s">
        <v>15391</v>
      </c>
      <c r="AB801" t="s">
        <v>15392</v>
      </c>
      <c r="AC801" t="s">
        <v>15393</v>
      </c>
      <c r="AD801" t="s">
        <v>15393</v>
      </c>
      <c r="AE801" t="s">
        <v>15394</v>
      </c>
      <c r="AF801" t="s">
        <v>74</v>
      </c>
      <c r="AG801">
        <v>48</v>
      </c>
      <c r="AH801">
        <v>0</v>
      </c>
      <c r="AI801">
        <v>0</v>
      </c>
      <c r="AJ801">
        <v>3</v>
      </c>
      <c r="AK801">
        <v>4</v>
      </c>
      <c r="AL801" t="s">
        <v>369</v>
      </c>
      <c r="AM801" t="s">
        <v>370</v>
      </c>
      <c r="AN801" t="s">
        <v>371</v>
      </c>
      <c r="AO801" t="s">
        <v>74</v>
      </c>
      <c r="AP801" t="s">
        <v>720</v>
      </c>
      <c r="AQ801" t="s">
        <v>74</v>
      </c>
      <c r="AR801" t="s">
        <v>721</v>
      </c>
      <c r="AS801" t="s">
        <v>722</v>
      </c>
      <c r="AT801" t="s">
        <v>15395</v>
      </c>
      <c r="AU801">
        <v>2023</v>
      </c>
      <c r="AV801">
        <v>15</v>
      </c>
      <c r="AW801">
        <v>11</v>
      </c>
      <c r="AX801" t="s">
        <v>74</v>
      </c>
      <c r="AY801" t="s">
        <v>74</v>
      </c>
      <c r="AZ801" t="s">
        <v>74</v>
      </c>
      <c r="BA801" t="s">
        <v>74</v>
      </c>
      <c r="BB801" t="s">
        <v>74</v>
      </c>
      <c r="BC801" t="s">
        <v>74</v>
      </c>
      <c r="BD801">
        <v>2815</v>
      </c>
      <c r="BE801" t="s">
        <v>15396</v>
      </c>
      <c r="BF801" t="str">
        <f>HYPERLINK("http://dx.doi.org/10.3390/rs15112815","http://dx.doi.org/10.3390/rs15112815")</f>
        <v>http://dx.doi.org/10.3390/rs15112815</v>
      </c>
      <c r="BG801" t="s">
        <v>74</v>
      </c>
      <c r="BH801" t="s">
        <v>74</v>
      </c>
      <c r="BI801">
        <v>18</v>
      </c>
      <c r="BJ801" t="s">
        <v>724</v>
      </c>
      <c r="BK801" t="s">
        <v>104</v>
      </c>
      <c r="BL801" t="s">
        <v>725</v>
      </c>
      <c r="BM801" t="s">
        <v>15397</v>
      </c>
      <c r="BN801" t="s">
        <v>74</v>
      </c>
      <c r="BO801" t="s">
        <v>821</v>
      </c>
      <c r="BP801" t="s">
        <v>74</v>
      </c>
      <c r="BQ801" t="s">
        <v>74</v>
      </c>
      <c r="BR801" t="s">
        <v>107</v>
      </c>
      <c r="BS801" t="s">
        <v>15398</v>
      </c>
      <c r="BT801" t="str">
        <f>HYPERLINK("https%3A%2F%2Fwww.webofscience.com%2Fwos%2Fwoscc%2Ffull-record%2FWOS:001004758500001","View Full Record in Web of Science")</f>
        <v>View Full Record in Web of Science</v>
      </c>
    </row>
    <row r="802" spans="1:72" x14ac:dyDescent="0.15">
      <c r="A802" t="s">
        <v>72</v>
      </c>
      <c r="B802" t="s">
        <v>15399</v>
      </c>
      <c r="C802" t="s">
        <v>74</v>
      </c>
      <c r="D802" t="s">
        <v>74</v>
      </c>
      <c r="E802" t="s">
        <v>74</v>
      </c>
      <c r="F802" t="s">
        <v>15400</v>
      </c>
      <c r="G802" t="s">
        <v>74</v>
      </c>
      <c r="H802" t="s">
        <v>74</v>
      </c>
      <c r="I802" t="s">
        <v>15401</v>
      </c>
      <c r="J802" t="s">
        <v>15402</v>
      </c>
      <c r="K802" t="s">
        <v>74</v>
      </c>
      <c r="L802" t="s">
        <v>74</v>
      </c>
      <c r="M802" t="s">
        <v>78</v>
      </c>
      <c r="N802" t="s">
        <v>79</v>
      </c>
      <c r="O802" t="s">
        <v>74</v>
      </c>
      <c r="P802" t="s">
        <v>74</v>
      </c>
      <c r="Q802" t="s">
        <v>74</v>
      </c>
      <c r="R802" t="s">
        <v>74</v>
      </c>
      <c r="S802" t="s">
        <v>74</v>
      </c>
      <c r="T802" t="s">
        <v>15403</v>
      </c>
      <c r="U802" t="s">
        <v>15404</v>
      </c>
      <c r="V802" t="s">
        <v>15405</v>
      </c>
      <c r="W802" t="s">
        <v>15406</v>
      </c>
      <c r="X802" t="s">
        <v>15407</v>
      </c>
      <c r="Y802" t="s">
        <v>15408</v>
      </c>
      <c r="Z802" t="s">
        <v>15409</v>
      </c>
      <c r="AA802" t="s">
        <v>15410</v>
      </c>
      <c r="AB802" t="s">
        <v>15411</v>
      </c>
      <c r="AC802" t="s">
        <v>15412</v>
      </c>
      <c r="AD802" t="s">
        <v>15413</v>
      </c>
      <c r="AE802" t="s">
        <v>15414</v>
      </c>
      <c r="AF802" t="s">
        <v>74</v>
      </c>
      <c r="AG802">
        <v>68</v>
      </c>
      <c r="AH802">
        <v>0</v>
      </c>
      <c r="AI802">
        <v>0</v>
      </c>
      <c r="AJ802">
        <v>3</v>
      </c>
      <c r="AK802">
        <v>7</v>
      </c>
      <c r="AL802" t="s">
        <v>3013</v>
      </c>
      <c r="AM802" t="s">
        <v>3014</v>
      </c>
      <c r="AN802" t="s">
        <v>3015</v>
      </c>
      <c r="AO802" t="s">
        <v>15415</v>
      </c>
      <c r="AP802" t="s">
        <v>15416</v>
      </c>
      <c r="AQ802" t="s">
        <v>74</v>
      </c>
      <c r="AR802" t="s">
        <v>15417</v>
      </c>
      <c r="AS802" t="s">
        <v>15418</v>
      </c>
      <c r="AT802" t="s">
        <v>74</v>
      </c>
      <c r="AU802">
        <v>2023</v>
      </c>
      <c r="AV802">
        <v>37</v>
      </c>
      <c r="AW802">
        <v>6</v>
      </c>
      <c r="AX802" t="s">
        <v>74</v>
      </c>
      <c r="AY802" t="s">
        <v>74</v>
      </c>
      <c r="AZ802" t="s">
        <v>74</v>
      </c>
      <c r="BA802" t="s">
        <v>74</v>
      </c>
      <c r="BB802">
        <v>301</v>
      </c>
      <c r="BC802">
        <v>333</v>
      </c>
      <c r="BD802" t="s">
        <v>74</v>
      </c>
      <c r="BE802" t="s">
        <v>15419</v>
      </c>
      <c r="BF802" t="str">
        <f>HYPERLINK("http://dx.doi.org/10.1071/IS22062","http://dx.doi.org/10.1071/IS22062")</f>
        <v>http://dx.doi.org/10.1071/IS22062</v>
      </c>
      <c r="BG802" t="s">
        <v>74</v>
      </c>
      <c r="BH802" t="s">
        <v>15114</v>
      </c>
      <c r="BI802">
        <v>33</v>
      </c>
      <c r="BJ802" t="s">
        <v>15420</v>
      </c>
      <c r="BK802" t="s">
        <v>104</v>
      </c>
      <c r="BL802" t="s">
        <v>15420</v>
      </c>
      <c r="BM802" t="s">
        <v>15421</v>
      </c>
      <c r="BN802" t="s">
        <v>74</v>
      </c>
      <c r="BO802" t="s">
        <v>74</v>
      </c>
      <c r="BP802" t="s">
        <v>74</v>
      </c>
      <c r="BQ802" t="s">
        <v>74</v>
      </c>
      <c r="BR802" t="s">
        <v>107</v>
      </c>
      <c r="BS802" t="s">
        <v>15422</v>
      </c>
      <c r="BT802" t="str">
        <f>HYPERLINK("https%3A%2F%2Fwww.webofscience.com%2Fwos%2Fwoscc%2Ffull-record%2FWOS:001001065500001","View Full Record in Web of Science")</f>
        <v>View Full Record in Web of Science</v>
      </c>
    </row>
    <row r="803" spans="1:72" x14ac:dyDescent="0.15">
      <c r="A803" t="s">
        <v>72</v>
      </c>
      <c r="B803" t="s">
        <v>15423</v>
      </c>
      <c r="C803" t="s">
        <v>74</v>
      </c>
      <c r="D803" t="s">
        <v>74</v>
      </c>
      <c r="E803" t="s">
        <v>74</v>
      </c>
      <c r="F803" t="s">
        <v>15424</v>
      </c>
      <c r="G803" t="s">
        <v>74</v>
      </c>
      <c r="H803" t="s">
        <v>74</v>
      </c>
      <c r="I803" t="s">
        <v>15425</v>
      </c>
      <c r="J803" t="s">
        <v>138</v>
      </c>
      <c r="K803" t="s">
        <v>74</v>
      </c>
      <c r="L803" t="s">
        <v>74</v>
      </c>
      <c r="M803" t="s">
        <v>78</v>
      </c>
      <c r="N803" t="s">
        <v>79</v>
      </c>
      <c r="O803" t="s">
        <v>74</v>
      </c>
      <c r="P803" t="s">
        <v>74</v>
      </c>
      <c r="Q803" t="s">
        <v>74</v>
      </c>
      <c r="R803" t="s">
        <v>74</v>
      </c>
      <c r="S803" t="s">
        <v>74</v>
      </c>
      <c r="T803" t="s">
        <v>74</v>
      </c>
      <c r="U803" t="s">
        <v>15426</v>
      </c>
      <c r="V803" t="s">
        <v>15427</v>
      </c>
      <c r="W803" t="s">
        <v>15428</v>
      </c>
      <c r="X803" t="s">
        <v>15429</v>
      </c>
      <c r="Y803" t="s">
        <v>15430</v>
      </c>
      <c r="Z803" t="s">
        <v>15431</v>
      </c>
      <c r="AA803" t="s">
        <v>15432</v>
      </c>
      <c r="AB803" t="s">
        <v>15433</v>
      </c>
      <c r="AC803" t="s">
        <v>15434</v>
      </c>
      <c r="AD803" t="s">
        <v>15435</v>
      </c>
      <c r="AE803" t="s">
        <v>15436</v>
      </c>
      <c r="AF803" t="s">
        <v>74</v>
      </c>
      <c r="AG803">
        <v>75</v>
      </c>
      <c r="AH803">
        <v>0</v>
      </c>
      <c r="AI803">
        <v>0</v>
      </c>
      <c r="AJ803">
        <v>2</v>
      </c>
      <c r="AK803">
        <v>9</v>
      </c>
      <c r="AL803" t="s">
        <v>146</v>
      </c>
      <c r="AM803" t="s">
        <v>147</v>
      </c>
      <c r="AN803" t="s">
        <v>148</v>
      </c>
      <c r="AO803" t="s">
        <v>149</v>
      </c>
      <c r="AP803" t="s">
        <v>150</v>
      </c>
      <c r="AQ803" t="s">
        <v>74</v>
      </c>
      <c r="AR803" t="s">
        <v>151</v>
      </c>
      <c r="AS803" t="s">
        <v>152</v>
      </c>
      <c r="AT803" t="s">
        <v>8990</v>
      </c>
      <c r="AU803">
        <v>2023</v>
      </c>
      <c r="AV803">
        <v>16</v>
      </c>
      <c r="AW803">
        <v>6</v>
      </c>
      <c r="AX803" t="s">
        <v>74</v>
      </c>
      <c r="AY803" t="s">
        <v>74</v>
      </c>
      <c r="AZ803" t="s">
        <v>74</v>
      </c>
      <c r="BA803" t="s">
        <v>74</v>
      </c>
      <c r="BB803">
        <v>492</v>
      </c>
      <c r="BC803" t="s">
        <v>153</v>
      </c>
      <c r="BD803" t="s">
        <v>74</v>
      </c>
      <c r="BE803" t="s">
        <v>15437</v>
      </c>
      <c r="BF803" t="str">
        <f>HYPERLINK("http://dx.doi.org/10.1038/s41561-023-01193-4","http://dx.doi.org/10.1038/s41561-023-01193-4")</f>
        <v>http://dx.doi.org/10.1038/s41561-023-01193-4</v>
      </c>
      <c r="BG803" t="s">
        <v>74</v>
      </c>
      <c r="BH803" t="s">
        <v>15114</v>
      </c>
      <c r="BI803">
        <v>18</v>
      </c>
      <c r="BJ803" t="s">
        <v>155</v>
      </c>
      <c r="BK803" t="s">
        <v>104</v>
      </c>
      <c r="BL803" t="s">
        <v>156</v>
      </c>
      <c r="BM803" t="s">
        <v>15438</v>
      </c>
      <c r="BN803" t="s">
        <v>74</v>
      </c>
      <c r="BO803" t="s">
        <v>418</v>
      </c>
      <c r="BP803" t="s">
        <v>74</v>
      </c>
      <c r="BQ803" t="s">
        <v>74</v>
      </c>
      <c r="BR803" t="s">
        <v>107</v>
      </c>
      <c r="BS803" t="s">
        <v>15439</v>
      </c>
      <c r="BT803" t="str">
        <f>HYPERLINK("https%3A%2F%2Fwww.webofscience.com%2Fwos%2Fwoscc%2Ffull-record%2FWOS:000996888000001","View Full Record in Web of Science")</f>
        <v>View Full Record in Web of Science</v>
      </c>
    </row>
    <row r="804" spans="1:72" x14ac:dyDescent="0.15">
      <c r="A804" t="s">
        <v>72</v>
      </c>
      <c r="B804" t="s">
        <v>15440</v>
      </c>
      <c r="C804" t="s">
        <v>74</v>
      </c>
      <c r="D804" t="s">
        <v>74</v>
      </c>
      <c r="E804" t="s">
        <v>74</v>
      </c>
      <c r="F804" t="s">
        <v>15441</v>
      </c>
      <c r="G804" t="s">
        <v>74</v>
      </c>
      <c r="H804" t="s">
        <v>74</v>
      </c>
      <c r="I804" t="s">
        <v>15442</v>
      </c>
      <c r="J804" t="s">
        <v>2213</v>
      </c>
      <c r="K804" t="s">
        <v>74</v>
      </c>
      <c r="L804" t="s">
        <v>74</v>
      </c>
      <c r="M804" t="s">
        <v>78</v>
      </c>
      <c r="N804" t="s">
        <v>79</v>
      </c>
      <c r="O804" t="s">
        <v>74</v>
      </c>
      <c r="P804" t="s">
        <v>74</v>
      </c>
      <c r="Q804" t="s">
        <v>74</v>
      </c>
      <c r="R804" t="s">
        <v>74</v>
      </c>
      <c r="S804" t="s">
        <v>74</v>
      </c>
      <c r="T804" t="s">
        <v>15443</v>
      </c>
      <c r="U804" t="s">
        <v>15444</v>
      </c>
      <c r="V804" t="s">
        <v>15445</v>
      </c>
      <c r="W804" t="s">
        <v>15446</v>
      </c>
      <c r="X804" t="s">
        <v>15447</v>
      </c>
      <c r="Y804" t="s">
        <v>15448</v>
      </c>
      <c r="Z804" t="s">
        <v>15449</v>
      </c>
      <c r="AA804" t="s">
        <v>15450</v>
      </c>
      <c r="AB804" t="s">
        <v>15451</v>
      </c>
      <c r="AC804" t="s">
        <v>15452</v>
      </c>
      <c r="AD804" t="s">
        <v>15453</v>
      </c>
      <c r="AE804" t="s">
        <v>15454</v>
      </c>
      <c r="AF804" t="s">
        <v>74</v>
      </c>
      <c r="AG804">
        <v>40</v>
      </c>
      <c r="AH804">
        <v>1</v>
      </c>
      <c r="AI804">
        <v>1</v>
      </c>
      <c r="AJ804">
        <v>3</v>
      </c>
      <c r="AK804">
        <v>4</v>
      </c>
      <c r="AL804" t="s">
        <v>588</v>
      </c>
      <c r="AM804" t="s">
        <v>589</v>
      </c>
      <c r="AN804" t="s">
        <v>590</v>
      </c>
      <c r="AO804" t="s">
        <v>2226</v>
      </c>
      <c r="AP804" t="s">
        <v>2227</v>
      </c>
      <c r="AQ804" t="s">
        <v>74</v>
      </c>
      <c r="AR804" t="s">
        <v>2228</v>
      </c>
      <c r="AS804" t="s">
        <v>2229</v>
      </c>
      <c r="AT804" t="s">
        <v>15455</v>
      </c>
      <c r="AU804">
        <v>2023</v>
      </c>
      <c r="AV804">
        <v>50</v>
      </c>
      <c r="AW804">
        <v>10</v>
      </c>
      <c r="AX804" t="s">
        <v>74</v>
      </c>
      <c r="AY804" t="s">
        <v>74</v>
      </c>
      <c r="AZ804" t="s">
        <v>74</v>
      </c>
      <c r="BA804" t="s">
        <v>74</v>
      </c>
      <c r="BB804" t="s">
        <v>74</v>
      </c>
      <c r="BC804" t="s">
        <v>74</v>
      </c>
      <c r="BD804" t="s">
        <v>15456</v>
      </c>
      <c r="BE804" t="s">
        <v>15457</v>
      </c>
      <c r="BF804" t="str">
        <f>HYPERLINK("http://dx.doi.org/10.1029/2023GL102960","http://dx.doi.org/10.1029/2023GL102960")</f>
        <v>http://dx.doi.org/10.1029/2023GL102960</v>
      </c>
      <c r="BG804" t="s">
        <v>74</v>
      </c>
      <c r="BH804" t="s">
        <v>74</v>
      </c>
      <c r="BI804">
        <v>10</v>
      </c>
      <c r="BJ804" t="s">
        <v>155</v>
      </c>
      <c r="BK804" t="s">
        <v>104</v>
      </c>
      <c r="BL804" t="s">
        <v>156</v>
      </c>
      <c r="BM804" t="s">
        <v>15458</v>
      </c>
      <c r="BN804" t="s">
        <v>74</v>
      </c>
      <c r="BO804" t="s">
        <v>2287</v>
      </c>
      <c r="BP804" t="s">
        <v>74</v>
      </c>
      <c r="BQ804" t="s">
        <v>74</v>
      </c>
      <c r="BR804" t="s">
        <v>107</v>
      </c>
      <c r="BS804" t="s">
        <v>15459</v>
      </c>
      <c r="BT804" t="str">
        <f>HYPERLINK("https%3A%2F%2Fwww.webofscience.com%2Fwos%2Fwoscc%2Ffull-record%2FWOS:000999844800001","View Full Record in Web of Science")</f>
        <v>View Full Record in Web of Science</v>
      </c>
    </row>
    <row r="805" spans="1:72" x14ac:dyDescent="0.15">
      <c r="A805" t="s">
        <v>72</v>
      </c>
      <c r="B805" t="s">
        <v>15460</v>
      </c>
      <c r="C805" t="s">
        <v>74</v>
      </c>
      <c r="D805" t="s">
        <v>74</v>
      </c>
      <c r="E805" t="s">
        <v>74</v>
      </c>
      <c r="F805" t="s">
        <v>15461</v>
      </c>
      <c r="G805" t="s">
        <v>74</v>
      </c>
      <c r="H805" t="s">
        <v>74</v>
      </c>
      <c r="I805" t="s">
        <v>15462</v>
      </c>
      <c r="J805" t="s">
        <v>15463</v>
      </c>
      <c r="K805" t="s">
        <v>74</v>
      </c>
      <c r="L805" t="s">
        <v>74</v>
      </c>
      <c r="M805" t="s">
        <v>78</v>
      </c>
      <c r="N805" t="s">
        <v>79</v>
      </c>
      <c r="O805" t="s">
        <v>74</v>
      </c>
      <c r="P805" t="s">
        <v>74</v>
      </c>
      <c r="Q805" t="s">
        <v>74</v>
      </c>
      <c r="R805" t="s">
        <v>74</v>
      </c>
      <c r="S805" t="s">
        <v>74</v>
      </c>
      <c r="T805" t="s">
        <v>15464</v>
      </c>
      <c r="U805" t="s">
        <v>15465</v>
      </c>
      <c r="V805" t="s">
        <v>15466</v>
      </c>
      <c r="W805" t="s">
        <v>15467</v>
      </c>
      <c r="X805" t="s">
        <v>1718</v>
      </c>
      <c r="Y805" t="s">
        <v>7051</v>
      </c>
      <c r="Z805" t="s">
        <v>15468</v>
      </c>
      <c r="AA805" t="s">
        <v>15469</v>
      </c>
      <c r="AB805" t="s">
        <v>15470</v>
      </c>
      <c r="AC805" t="s">
        <v>15471</v>
      </c>
      <c r="AD805" t="s">
        <v>15472</v>
      </c>
      <c r="AE805" t="s">
        <v>15473</v>
      </c>
      <c r="AF805" t="s">
        <v>74</v>
      </c>
      <c r="AG805">
        <v>59</v>
      </c>
      <c r="AH805">
        <v>1</v>
      </c>
      <c r="AI805">
        <v>1</v>
      </c>
      <c r="AJ805">
        <v>20</v>
      </c>
      <c r="AK805">
        <v>43</v>
      </c>
      <c r="AL805" t="s">
        <v>369</v>
      </c>
      <c r="AM805" t="s">
        <v>370</v>
      </c>
      <c r="AN805" t="s">
        <v>371</v>
      </c>
      <c r="AO805" t="s">
        <v>74</v>
      </c>
      <c r="AP805" t="s">
        <v>15474</v>
      </c>
      <c r="AQ805" t="s">
        <v>74</v>
      </c>
      <c r="AR805" t="s">
        <v>15463</v>
      </c>
      <c r="AS805" t="s">
        <v>15475</v>
      </c>
      <c r="AT805" t="s">
        <v>15455</v>
      </c>
      <c r="AU805">
        <v>2023</v>
      </c>
      <c r="AV805">
        <v>15</v>
      </c>
      <c r="AW805">
        <v>11</v>
      </c>
      <c r="AX805" t="s">
        <v>74</v>
      </c>
      <c r="AY805" t="s">
        <v>74</v>
      </c>
      <c r="AZ805" t="s">
        <v>74</v>
      </c>
      <c r="BA805" t="s">
        <v>74</v>
      </c>
      <c r="BB805" t="s">
        <v>74</v>
      </c>
      <c r="BC805" t="s">
        <v>74</v>
      </c>
      <c r="BD805">
        <v>2510</v>
      </c>
      <c r="BE805" t="s">
        <v>15476</v>
      </c>
      <c r="BF805" t="str">
        <f>HYPERLINK("http://dx.doi.org/10.3390/nu15112510","http://dx.doi.org/10.3390/nu15112510")</f>
        <v>http://dx.doi.org/10.3390/nu15112510</v>
      </c>
      <c r="BG805" t="s">
        <v>74</v>
      </c>
      <c r="BH805" t="s">
        <v>74</v>
      </c>
      <c r="BI805">
        <v>18</v>
      </c>
      <c r="BJ805" t="s">
        <v>13573</v>
      </c>
      <c r="BK805" t="s">
        <v>104</v>
      </c>
      <c r="BL805" t="s">
        <v>13573</v>
      </c>
      <c r="BM805" t="s">
        <v>15477</v>
      </c>
      <c r="BN805">
        <v>37299473</v>
      </c>
      <c r="BO805" t="s">
        <v>11883</v>
      </c>
      <c r="BP805" t="s">
        <v>74</v>
      </c>
      <c r="BQ805" t="s">
        <v>74</v>
      </c>
      <c r="BR805" t="s">
        <v>107</v>
      </c>
      <c r="BS805" t="s">
        <v>15478</v>
      </c>
      <c r="BT805" t="str">
        <f>HYPERLINK("https%3A%2F%2Fwww.webofscience.com%2Fwos%2Fwoscc%2Ffull-record%2FWOS:001003674400001","View Full Record in Web of Science")</f>
        <v>View Full Record in Web of Science</v>
      </c>
    </row>
    <row r="806" spans="1:72" x14ac:dyDescent="0.15">
      <c r="A806" t="s">
        <v>72</v>
      </c>
      <c r="B806" t="s">
        <v>15479</v>
      </c>
      <c r="C806" t="s">
        <v>74</v>
      </c>
      <c r="D806" t="s">
        <v>74</v>
      </c>
      <c r="E806" t="s">
        <v>74</v>
      </c>
      <c r="F806" t="s">
        <v>15480</v>
      </c>
      <c r="G806" t="s">
        <v>74</v>
      </c>
      <c r="H806" t="s">
        <v>74</v>
      </c>
      <c r="I806" t="s">
        <v>15481</v>
      </c>
      <c r="J806" t="s">
        <v>2213</v>
      </c>
      <c r="K806" t="s">
        <v>74</v>
      </c>
      <c r="L806" t="s">
        <v>74</v>
      </c>
      <c r="M806" t="s">
        <v>78</v>
      </c>
      <c r="N806" t="s">
        <v>79</v>
      </c>
      <c r="O806" t="s">
        <v>74</v>
      </c>
      <c r="P806" t="s">
        <v>74</v>
      </c>
      <c r="Q806" t="s">
        <v>74</v>
      </c>
      <c r="R806" t="s">
        <v>74</v>
      </c>
      <c r="S806" t="s">
        <v>74</v>
      </c>
      <c r="T806" t="s">
        <v>15482</v>
      </c>
      <c r="U806" t="s">
        <v>15483</v>
      </c>
      <c r="V806" t="s">
        <v>15484</v>
      </c>
      <c r="W806" t="s">
        <v>15485</v>
      </c>
      <c r="X806" t="s">
        <v>15486</v>
      </c>
      <c r="Y806" t="s">
        <v>15487</v>
      </c>
      <c r="Z806" t="s">
        <v>15488</v>
      </c>
      <c r="AA806" t="s">
        <v>15489</v>
      </c>
      <c r="AB806" t="s">
        <v>15490</v>
      </c>
      <c r="AC806" t="s">
        <v>15491</v>
      </c>
      <c r="AD806" t="s">
        <v>15492</v>
      </c>
      <c r="AE806" t="s">
        <v>15493</v>
      </c>
      <c r="AF806" t="s">
        <v>74</v>
      </c>
      <c r="AG806">
        <v>75</v>
      </c>
      <c r="AH806">
        <v>0</v>
      </c>
      <c r="AI806">
        <v>0</v>
      </c>
      <c r="AJ806">
        <v>3</v>
      </c>
      <c r="AK806">
        <v>10</v>
      </c>
      <c r="AL806" t="s">
        <v>588</v>
      </c>
      <c r="AM806" t="s">
        <v>589</v>
      </c>
      <c r="AN806" t="s">
        <v>590</v>
      </c>
      <c r="AO806" t="s">
        <v>2226</v>
      </c>
      <c r="AP806" t="s">
        <v>2227</v>
      </c>
      <c r="AQ806" t="s">
        <v>74</v>
      </c>
      <c r="AR806" t="s">
        <v>2228</v>
      </c>
      <c r="AS806" t="s">
        <v>2229</v>
      </c>
      <c r="AT806" t="s">
        <v>15455</v>
      </c>
      <c r="AU806">
        <v>2023</v>
      </c>
      <c r="AV806">
        <v>50</v>
      </c>
      <c r="AW806">
        <v>10</v>
      </c>
      <c r="AX806" t="s">
        <v>74</v>
      </c>
      <c r="AY806" t="s">
        <v>74</v>
      </c>
      <c r="AZ806" t="s">
        <v>74</v>
      </c>
      <c r="BA806" t="s">
        <v>74</v>
      </c>
      <c r="BB806" t="s">
        <v>74</v>
      </c>
      <c r="BC806" t="s">
        <v>74</v>
      </c>
      <c r="BD806" t="s">
        <v>15494</v>
      </c>
      <c r="BE806" t="s">
        <v>15495</v>
      </c>
      <c r="BF806" t="str">
        <f>HYPERLINK("http://dx.doi.org/10.1029/2023GL104373","http://dx.doi.org/10.1029/2023GL104373")</f>
        <v>http://dx.doi.org/10.1029/2023GL104373</v>
      </c>
      <c r="BG806" t="s">
        <v>74</v>
      </c>
      <c r="BH806" t="s">
        <v>74</v>
      </c>
      <c r="BI806">
        <v>11</v>
      </c>
      <c r="BJ806" t="s">
        <v>155</v>
      </c>
      <c r="BK806" t="s">
        <v>104</v>
      </c>
      <c r="BL806" t="s">
        <v>156</v>
      </c>
      <c r="BM806" t="s">
        <v>15496</v>
      </c>
      <c r="BN806" t="s">
        <v>74</v>
      </c>
      <c r="BO806" t="s">
        <v>549</v>
      </c>
      <c r="BP806" t="s">
        <v>74</v>
      </c>
      <c r="BQ806" t="s">
        <v>74</v>
      </c>
      <c r="BR806" t="s">
        <v>107</v>
      </c>
      <c r="BS806" t="s">
        <v>15497</v>
      </c>
      <c r="BT806" t="str">
        <f>HYPERLINK("https%3A%2F%2Fwww.webofscience.com%2Fwos%2Fwoscc%2Ffull-record%2FWOS:000999865300001","View Full Record in Web of Science")</f>
        <v>View Full Record in Web of Science</v>
      </c>
    </row>
    <row r="807" spans="1:72" x14ac:dyDescent="0.15">
      <c r="A807" t="s">
        <v>72</v>
      </c>
      <c r="B807" t="s">
        <v>15498</v>
      </c>
      <c r="C807" t="s">
        <v>74</v>
      </c>
      <c r="D807" t="s">
        <v>74</v>
      </c>
      <c r="E807" t="s">
        <v>74</v>
      </c>
      <c r="F807" t="s">
        <v>15499</v>
      </c>
      <c r="G807" t="s">
        <v>74</v>
      </c>
      <c r="H807" t="s">
        <v>74</v>
      </c>
      <c r="I807" t="s">
        <v>15500</v>
      </c>
      <c r="J807" t="s">
        <v>1379</v>
      </c>
      <c r="K807" t="s">
        <v>74</v>
      </c>
      <c r="L807" t="s">
        <v>74</v>
      </c>
      <c r="M807" t="s">
        <v>78</v>
      </c>
      <c r="N807" t="s">
        <v>79</v>
      </c>
      <c r="O807" t="s">
        <v>74</v>
      </c>
      <c r="P807" t="s">
        <v>74</v>
      </c>
      <c r="Q807" t="s">
        <v>74</v>
      </c>
      <c r="R807" t="s">
        <v>74</v>
      </c>
      <c r="S807" t="s">
        <v>74</v>
      </c>
      <c r="T807" t="s">
        <v>15501</v>
      </c>
      <c r="U807" t="s">
        <v>15502</v>
      </c>
      <c r="V807" t="s">
        <v>15503</v>
      </c>
      <c r="W807" t="s">
        <v>15504</v>
      </c>
      <c r="X807" t="s">
        <v>15505</v>
      </c>
      <c r="Y807" t="s">
        <v>15506</v>
      </c>
      <c r="Z807" t="s">
        <v>15507</v>
      </c>
      <c r="AA807" t="s">
        <v>74</v>
      </c>
      <c r="AB807" t="s">
        <v>15508</v>
      </c>
      <c r="AC807" t="s">
        <v>15509</v>
      </c>
      <c r="AD807" t="s">
        <v>15510</v>
      </c>
      <c r="AE807" t="s">
        <v>15511</v>
      </c>
      <c r="AF807" t="s">
        <v>74</v>
      </c>
      <c r="AG807">
        <v>49</v>
      </c>
      <c r="AH807">
        <v>3</v>
      </c>
      <c r="AI807">
        <v>3</v>
      </c>
      <c r="AJ807">
        <v>9</v>
      </c>
      <c r="AK807">
        <v>13</v>
      </c>
      <c r="AL807" t="s">
        <v>460</v>
      </c>
      <c r="AM807" t="s">
        <v>461</v>
      </c>
      <c r="AN807" t="s">
        <v>462</v>
      </c>
      <c r="AO807" t="s">
        <v>1390</v>
      </c>
      <c r="AP807" t="s">
        <v>1391</v>
      </c>
      <c r="AQ807" t="s">
        <v>74</v>
      </c>
      <c r="AR807" t="s">
        <v>1392</v>
      </c>
      <c r="AS807" t="s">
        <v>1393</v>
      </c>
      <c r="AT807" t="s">
        <v>97</v>
      </c>
      <c r="AU807">
        <v>2023</v>
      </c>
      <c r="AV807">
        <v>46</v>
      </c>
      <c r="AW807">
        <v>9</v>
      </c>
      <c r="AX807" t="s">
        <v>74</v>
      </c>
      <c r="AY807" t="s">
        <v>74</v>
      </c>
      <c r="AZ807" t="s">
        <v>74</v>
      </c>
      <c r="BA807" t="s">
        <v>74</v>
      </c>
      <c r="BB807">
        <v>905</v>
      </c>
      <c r="BC807">
        <v>916</v>
      </c>
      <c r="BD807" t="s">
        <v>74</v>
      </c>
      <c r="BE807" t="s">
        <v>15512</v>
      </c>
      <c r="BF807" t="str">
        <f>HYPERLINK("http://dx.doi.org/10.1111/jfd.13797","http://dx.doi.org/10.1111/jfd.13797")</f>
        <v>http://dx.doi.org/10.1111/jfd.13797</v>
      </c>
      <c r="BG807" t="s">
        <v>74</v>
      </c>
      <c r="BH807" t="s">
        <v>15114</v>
      </c>
      <c r="BI807">
        <v>12</v>
      </c>
      <c r="BJ807" t="s">
        <v>1396</v>
      </c>
      <c r="BK807" t="s">
        <v>104</v>
      </c>
      <c r="BL807" t="s">
        <v>1396</v>
      </c>
      <c r="BM807" t="s">
        <v>15513</v>
      </c>
      <c r="BN807">
        <v>37245215</v>
      </c>
      <c r="BO807" t="s">
        <v>74</v>
      </c>
      <c r="BP807" t="s">
        <v>74</v>
      </c>
      <c r="BQ807" t="s">
        <v>74</v>
      </c>
      <c r="BR807" t="s">
        <v>107</v>
      </c>
      <c r="BS807" t="s">
        <v>15514</v>
      </c>
      <c r="BT807" t="str">
        <f>HYPERLINK("https%3A%2F%2Fwww.webofscience.com%2Fwos%2Fwoscc%2Ffull-record%2FWOS:000996073600001","View Full Record in Web of Science")</f>
        <v>View Full Record in Web of Science</v>
      </c>
    </row>
    <row r="808" spans="1:72" x14ac:dyDescent="0.15">
      <c r="A808" t="s">
        <v>72</v>
      </c>
      <c r="B808" t="s">
        <v>15515</v>
      </c>
      <c r="C808" t="s">
        <v>74</v>
      </c>
      <c r="D808" t="s">
        <v>74</v>
      </c>
      <c r="E808" t="s">
        <v>74</v>
      </c>
      <c r="F808" t="s">
        <v>15516</v>
      </c>
      <c r="G808" t="s">
        <v>74</v>
      </c>
      <c r="H808" t="s">
        <v>74</v>
      </c>
      <c r="I808" t="s">
        <v>15517</v>
      </c>
      <c r="J808" t="s">
        <v>6507</v>
      </c>
      <c r="K808" t="s">
        <v>74</v>
      </c>
      <c r="L808" t="s">
        <v>74</v>
      </c>
      <c r="M808" t="s">
        <v>78</v>
      </c>
      <c r="N808" t="s">
        <v>79</v>
      </c>
      <c r="O808" t="s">
        <v>74</v>
      </c>
      <c r="P808" t="s">
        <v>74</v>
      </c>
      <c r="Q808" t="s">
        <v>74</v>
      </c>
      <c r="R808" t="s">
        <v>74</v>
      </c>
      <c r="S808" t="s">
        <v>74</v>
      </c>
      <c r="T808" t="s">
        <v>15518</v>
      </c>
      <c r="U808" t="s">
        <v>15519</v>
      </c>
      <c r="V808" t="s">
        <v>15520</v>
      </c>
      <c r="W808" t="s">
        <v>15521</v>
      </c>
      <c r="X808" t="s">
        <v>11910</v>
      </c>
      <c r="Y808" t="s">
        <v>15522</v>
      </c>
      <c r="Z808" t="s">
        <v>15523</v>
      </c>
      <c r="AA808" t="s">
        <v>15524</v>
      </c>
      <c r="AB808" t="s">
        <v>15525</v>
      </c>
      <c r="AC808" t="s">
        <v>15526</v>
      </c>
      <c r="AD808" t="s">
        <v>15527</v>
      </c>
      <c r="AE808" t="s">
        <v>15528</v>
      </c>
      <c r="AF808" t="s">
        <v>74</v>
      </c>
      <c r="AG808">
        <v>69</v>
      </c>
      <c r="AH808">
        <v>1</v>
      </c>
      <c r="AI808">
        <v>1</v>
      </c>
      <c r="AJ808">
        <v>0</v>
      </c>
      <c r="AK808">
        <v>1</v>
      </c>
      <c r="AL808" t="s">
        <v>537</v>
      </c>
      <c r="AM808" t="s">
        <v>538</v>
      </c>
      <c r="AN808" t="s">
        <v>539</v>
      </c>
      <c r="AO808" t="s">
        <v>6519</v>
      </c>
      <c r="AP808" t="s">
        <v>6520</v>
      </c>
      <c r="AQ808" t="s">
        <v>74</v>
      </c>
      <c r="AR808" t="s">
        <v>6521</v>
      </c>
      <c r="AS808" t="s">
        <v>6522</v>
      </c>
      <c r="AT808" t="s">
        <v>15529</v>
      </c>
      <c r="AU808">
        <v>2023</v>
      </c>
      <c r="AV808">
        <v>235</v>
      </c>
      <c r="AW808">
        <v>1</v>
      </c>
      <c r="AX808" t="s">
        <v>74</v>
      </c>
      <c r="AY808" t="s">
        <v>74</v>
      </c>
      <c r="AZ808" t="s">
        <v>74</v>
      </c>
      <c r="BA808" t="s">
        <v>74</v>
      </c>
      <c r="BB808">
        <v>542</v>
      </c>
      <c r="BC808">
        <v>553</v>
      </c>
      <c r="BD808" t="s">
        <v>74</v>
      </c>
      <c r="BE808" t="s">
        <v>15530</v>
      </c>
      <c r="BF808" t="str">
        <f>HYPERLINK("http://dx.doi.org/10.1093/gji/ggad232","http://dx.doi.org/10.1093/gji/ggad232")</f>
        <v>http://dx.doi.org/10.1093/gji/ggad232</v>
      </c>
      <c r="BG808" t="s">
        <v>74</v>
      </c>
      <c r="BH808" t="s">
        <v>74</v>
      </c>
      <c r="BI808">
        <v>12</v>
      </c>
      <c r="BJ808" t="s">
        <v>597</v>
      </c>
      <c r="BK808" t="s">
        <v>104</v>
      </c>
      <c r="BL808" t="s">
        <v>597</v>
      </c>
      <c r="BM808" t="s">
        <v>15531</v>
      </c>
      <c r="BN808" t="s">
        <v>74</v>
      </c>
      <c r="BO808" t="s">
        <v>883</v>
      </c>
      <c r="BP808" t="s">
        <v>74</v>
      </c>
      <c r="BQ808" t="s">
        <v>74</v>
      </c>
      <c r="BR808" t="s">
        <v>107</v>
      </c>
      <c r="BS808" t="s">
        <v>15532</v>
      </c>
      <c r="BT808" t="str">
        <f>HYPERLINK("https%3A%2F%2Fwww.webofscience.com%2Fwos%2Fwoscc%2Ffull-record%2FWOS:001012068500003","View Full Record in Web of Science")</f>
        <v>View Full Record in Web of Science</v>
      </c>
    </row>
    <row r="809" spans="1:72" x14ac:dyDescent="0.15">
      <c r="A809" t="s">
        <v>72</v>
      </c>
      <c r="B809" t="s">
        <v>15533</v>
      </c>
      <c r="C809" t="s">
        <v>74</v>
      </c>
      <c r="D809" t="s">
        <v>74</v>
      </c>
      <c r="E809" t="s">
        <v>74</v>
      </c>
      <c r="F809" t="s">
        <v>15534</v>
      </c>
      <c r="G809" t="s">
        <v>74</v>
      </c>
      <c r="H809" t="s">
        <v>74</v>
      </c>
      <c r="I809" t="s">
        <v>15535</v>
      </c>
      <c r="J809" t="s">
        <v>6507</v>
      </c>
      <c r="K809" t="s">
        <v>74</v>
      </c>
      <c r="L809" t="s">
        <v>74</v>
      </c>
      <c r="M809" t="s">
        <v>78</v>
      </c>
      <c r="N809" t="s">
        <v>79</v>
      </c>
      <c r="O809" t="s">
        <v>74</v>
      </c>
      <c r="P809" t="s">
        <v>74</v>
      </c>
      <c r="Q809" t="s">
        <v>74</v>
      </c>
      <c r="R809" t="s">
        <v>74</v>
      </c>
      <c r="S809" t="s">
        <v>74</v>
      </c>
      <c r="T809" t="s">
        <v>15536</v>
      </c>
      <c r="U809" t="s">
        <v>15537</v>
      </c>
      <c r="V809" t="s">
        <v>15538</v>
      </c>
      <c r="W809" t="s">
        <v>15539</v>
      </c>
      <c r="X809" t="s">
        <v>15540</v>
      </c>
      <c r="Y809" t="s">
        <v>15541</v>
      </c>
      <c r="Z809" t="s">
        <v>15542</v>
      </c>
      <c r="AA809" t="s">
        <v>74</v>
      </c>
      <c r="AB809" t="s">
        <v>74</v>
      </c>
      <c r="AC809" t="s">
        <v>15543</v>
      </c>
      <c r="AD809" t="s">
        <v>15544</v>
      </c>
      <c r="AE809" t="s">
        <v>15545</v>
      </c>
      <c r="AF809" t="s">
        <v>74</v>
      </c>
      <c r="AG809">
        <v>61</v>
      </c>
      <c r="AH809">
        <v>2</v>
      </c>
      <c r="AI809">
        <v>2</v>
      </c>
      <c r="AJ809">
        <v>10</v>
      </c>
      <c r="AK809">
        <v>14</v>
      </c>
      <c r="AL809" t="s">
        <v>537</v>
      </c>
      <c r="AM809" t="s">
        <v>538</v>
      </c>
      <c r="AN809" t="s">
        <v>539</v>
      </c>
      <c r="AO809" t="s">
        <v>6519</v>
      </c>
      <c r="AP809" t="s">
        <v>6520</v>
      </c>
      <c r="AQ809" t="s">
        <v>74</v>
      </c>
      <c r="AR809" t="s">
        <v>6521</v>
      </c>
      <c r="AS809" t="s">
        <v>6522</v>
      </c>
      <c r="AT809" t="s">
        <v>15529</v>
      </c>
      <c r="AU809">
        <v>2023</v>
      </c>
      <c r="AV809">
        <v>235</v>
      </c>
      <c r="AW809">
        <v>1</v>
      </c>
      <c r="AX809" t="s">
        <v>74</v>
      </c>
      <c r="AY809" t="s">
        <v>74</v>
      </c>
      <c r="AZ809" t="s">
        <v>74</v>
      </c>
      <c r="BA809" t="s">
        <v>74</v>
      </c>
      <c r="BB809">
        <v>342</v>
      </c>
      <c r="BC809">
        <v>352</v>
      </c>
      <c r="BD809" t="s">
        <v>74</v>
      </c>
      <c r="BE809" t="s">
        <v>15546</v>
      </c>
      <c r="BF809" t="str">
        <f>HYPERLINK("http://dx.doi.org/10.1093/gji/ggad170","http://dx.doi.org/10.1093/gji/ggad170")</f>
        <v>http://dx.doi.org/10.1093/gji/ggad170</v>
      </c>
      <c r="BG809" t="s">
        <v>74</v>
      </c>
      <c r="BH809" t="s">
        <v>74</v>
      </c>
      <c r="BI809">
        <v>11</v>
      </c>
      <c r="BJ809" t="s">
        <v>597</v>
      </c>
      <c r="BK809" t="s">
        <v>104</v>
      </c>
      <c r="BL809" t="s">
        <v>597</v>
      </c>
      <c r="BM809" t="s">
        <v>15547</v>
      </c>
      <c r="BN809" t="s">
        <v>74</v>
      </c>
      <c r="BO809" t="s">
        <v>74</v>
      </c>
      <c r="BP809" t="s">
        <v>74</v>
      </c>
      <c r="BQ809" t="s">
        <v>74</v>
      </c>
      <c r="BR809" t="s">
        <v>107</v>
      </c>
      <c r="BS809" t="s">
        <v>15548</v>
      </c>
      <c r="BT809" t="str">
        <f>HYPERLINK("https%3A%2F%2Fwww.webofscience.com%2Fwos%2Fwoscc%2Ffull-record%2FWOS:001005155200001","View Full Record in Web of Science")</f>
        <v>View Full Record in Web of Science</v>
      </c>
    </row>
    <row r="810" spans="1:72" x14ac:dyDescent="0.15">
      <c r="A810" t="s">
        <v>72</v>
      </c>
      <c r="B810" t="s">
        <v>15549</v>
      </c>
      <c r="C810" t="s">
        <v>74</v>
      </c>
      <c r="D810" t="s">
        <v>74</v>
      </c>
      <c r="E810" t="s">
        <v>74</v>
      </c>
      <c r="F810" t="s">
        <v>15550</v>
      </c>
      <c r="G810" t="s">
        <v>74</v>
      </c>
      <c r="H810" t="s">
        <v>74</v>
      </c>
      <c r="I810" t="s">
        <v>15551</v>
      </c>
      <c r="J810" t="s">
        <v>6507</v>
      </c>
      <c r="K810" t="s">
        <v>74</v>
      </c>
      <c r="L810" t="s">
        <v>74</v>
      </c>
      <c r="M810" t="s">
        <v>78</v>
      </c>
      <c r="N810" t="s">
        <v>79</v>
      </c>
      <c r="O810" t="s">
        <v>74</v>
      </c>
      <c r="P810" t="s">
        <v>74</v>
      </c>
      <c r="Q810" t="s">
        <v>74</v>
      </c>
      <c r="R810" t="s">
        <v>74</v>
      </c>
      <c r="S810" t="s">
        <v>74</v>
      </c>
      <c r="T810" t="s">
        <v>15552</v>
      </c>
      <c r="U810" t="s">
        <v>15553</v>
      </c>
      <c r="V810" t="s">
        <v>15554</v>
      </c>
      <c r="W810" t="s">
        <v>15555</v>
      </c>
      <c r="X810" t="s">
        <v>15556</v>
      </c>
      <c r="Y810" t="s">
        <v>15557</v>
      </c>
      <c r="Z810" t="s">
        <v>15558</v>
      </c>
      <c r="AA810" t="s">
        <v>74</v>
      </c>
      <c r="AB810" t="s">
        <v>74</v>
      </c>
      <c r="AC810" t="s">
        <v>15559</v>
      </c>
      <c r="AD810" t="s">
        <v>15559</v>
      </c>
      <c r="AE810" t="s">
        <v>15560</v>
      </c>
      <c r="AF810" t="s">
        <v>74</v>
      </c>
      <c r="AG810">
        <v>37</v>
      </c>
      <c r="AH810">
        <v>1</v>
      </c>
      <c r="AI810">
        <v>1</v>
      </c>
      <c r="AJ810">
        <v>2</v>
      </c>
      <c r="AK810">
        <v>3</v>
      </c>
      <c r="AL810" t="s">
        <v>537</v>
      </c>
      <c r="AM810" t="s">
        <v>538</v>
      </c>
      <c r="AN810" t="s">
        <v>539</v>
      </c>
      <c r="AO810" t="s">
        <v>6519</v>
      </c>
      <c r="AP810" t="s">
        <v>6520</v>
      </c>
      <c r="AQ810" t="s">
        <v>74</v>
      </c>
      <c r="AR810" t="s">
        <v>6521</v>
      </c>
      <c r="AS810" t="s">
        <v>6522</v>
      </c>
      <c r="AT810" t="s">
        <v>15529</v>
      </c>
      <c r="AU810">
        <v>2023</v>
      </c>
      <c r="AV810">
        <v>235</v>
      </c>
      <c r="AW810">
        <v>1</v>
      </c>
      <c r="AX810" t="s">
        <v>74</v>
      </c>
      <c r="AY810" t="s">
        <v>74</v>
      </c>
      <c r="AZ810" t="s">
        <v>74</v>
      </c>
      <c r="BA810" t="s">
        <v>74</v>
      </c>
      <c r="BB810">
        <v>353</v>
      </c>
      <c r="BC810">
        <v>365</v>
      </c>
      <c r="BD810" t="s">
        <v>74</v>
      </c>
      <c r="BE810" t="s">
        <v>15561</v>
      </c>
      <c r="BF810" t="str">
        <f>HYPERLINK("http://dx.doi.org/10.1093/gji/ggad214","http://dx.doi.org/10.1093/gji/ggad214")</f>
        <v>http://dx.doi.org/10.1093/gji/ggad214</v>
      </c>
      <c r="BG810" t="s">
        <v>74</v>
      </c>
      <c r="BH810" t="s">
        <v>74</v>
      </c>
      <c r="BI810">
        <v>13</v>
      </c>
      <c r="BJ810" t="s">
        <v>597</v>
      </c>
      <c r="BK810" t="s">
        <v>104</v>
      </c>
      <c r="BL810" t="s">
        <v>597</v>
      </c>
      <c r="BM810" t="s">
        <v>15547</v>
      </c>
      <c r="BN810" t="s">
        <v>74</v>
      </c>
      <c r="BO810" t="s">
        <v>74</v>
      </c>
      <c r="BP810" t="s">
        <v>74</v>
      </c>
      <c r="BQ810" t="s">
        <v>74</v>
      </c>
      <c r="BR810" t="s">
        <v>107</v>
      </c>
      <c r="BS810" t="s">
        <v>15562</v>
      </c>
      <c r="BT810" t="str">
        <f>HYPERLINK("https%3A%2F%2Fwww.webofscience.com%2Fwos%2Fwoscc%2Ffull-record%2FWOS:001005155200002","View Full Record in Web of Science")</f>
        <v>View Full Record in Web of Science</v>
      </c>
    </row>
    <row r="811" spans="1:72" x14ac:dyDescent="0.15">
      <c r="A811" t="s">
        <v>72</v>
      </c>
      <c r="B811" t="s">
        <v>15563</v>
      </c>
      <c r="C811" t="s">
        <v>74</v>
      </c>
      <c r="D811" t="s">
        <v>74</v>
      </c>
      <c r="E811" t="s">
        <v>74</v>
      </c>
      <c r="F811" t="s">
        <v>15564</v>
      </c>
      <c r="G811" t="s">
        <v>74</v>
      </c>
      <c r="H811" t="s">
        <v>74</v>
      </c>
      <c r="I811" t="s">
        <v>15565</v>
      </c>
      <c r="J811" t="s">
        <v>2413</v>
      </c>
      <c r="K811" t="s">
        <v>74</v>
      </c>
      <c r="L811" t="s">
        <v>74</v>
      </c>
      <c r="M811" t="s">
        <v>78</v>
      </c>
      <c r="N811" t="s">
        <v>79</v>
      </c>
      <c r="O811" t="s">
        <v>74</v>
      </c>
      <c r="P811" t="s">
        <v>74</v>
      </c>
      <c r="Q811" t="s">
        <v>74</v>
      </c>
      <c r="R811" t="s">
        <v>74</v>
      </c>
      <c r="S811" t="s">
        <v>74</v>
      </c>
      <c r="T811" t="s">
        <v>15566</v>
      </c>
      <c r="U811" t="s">
        <v>15567</v>
      </c>
      <c r="V811" t="s">
        <v>15568</v>
      </c>
      <c r="W811" t="s">
        <v>15569</v>
      </c>
      <c r="X811" t="s">
        <v>15570</v>
      </c>
      <c r="Y811" t="s">
        <v>15571</v>
      </c>
      <c r="Z811" t="s">
        <v>15572</v>
      </c>
      <c r="AA811" t="s">
        <v>15573</v>
      </c>
      <c r="AB811" t="s">
        <v>15574</v>
      </c>
      <c r="AC811" t="s">
        <v>15575</v>
      </c>
      <c r="AD811" t="s">
        <v>15576</v>
      </c>
      <c r="AE811" t="s">
        <v>15577</v>
      </c>
      <c r="AF811" t="s">
        <v>74</v>
      </c>
      <c r="AG811">
        <v>42</v>
      </c>
      <c r="AH811">
        <v>2</v>
      </c>
      <c r="AI811">
        <v>2</v>
      </c>
      <c r="AJ811">
        <v>7</v>
      </c>
      <c r="AK811">
        <v>19</v>
      </c>
      <c r="AL811" t="s">
        <v>588</v>
      </c>
      <c r="AM811" t="s">
        <v>589</v>
      </c>
      <c r="AN811" t="s">
        <v>590</v>
      </c>
      <c r="AO811" t="s">
        <v>2426</v>
      </c>
      <c r="AP811" t="s">
        <v>2427</v>
      </c>
      <c r="AQ811" t="s">
        <v>74</v>
      </c>
      <c r="AR811" t="s">
        <v>2428</v>
      </c>
      <c r="AS811" t="s">
        <v>2429</v>
      </c>
      <c r="AT811" t="s">
        <v>15529</v>
      </c>
      <c r="AU811">
        <v>2023</v>
      </c>
      <c r="AV811">
        <v>128</v>
      </c>
      <c r="AW811">
        <v>10</v>
      </c>
      <c r="AX811" t="s">
        <v>74</v>
      </c>
      <c r="AY811" t="s">
        <v>74</v>
      </c>
      <c r="AZ811" t="s">
        <v>74</v>
      </c>
      <c r="BA811" t="s">
        <v>74</v>
      </c>
      <c r="BB811" t="s">
        <v>74</v>
      </c>
      <c r="BC811" t="s">
        <v>74</v>
      </c>
      <c r="BD811" t="s">
        <v>15578</v>
      </c>
      <c r="BE811" t="s">
        <v>15579</v>
      </c>
      <c r="BF811" t="str">
        <f>HYPERLINK("http://dx.doi.org/10.1029/2022JD038313","http://dx.doi.org/10.1029/2022JD038313")</f>
        <v>http://dx.doi.org/10.1029/2022JD038313</v>
      </c>
      <c r="BG811" t="s">
        <v>74</v>
      </c>
      <c r="BH811" t="s">
        <v>74</v>
      </c>
      <c r="BI811">
        <v>10</v>
      </c>
      <c r="BJ811" t="s">
        <v>103</v>
      </c>
      <c r="BK811" t="s">
        <v>104</v>
      </c>
      <c r="BL811" t="s">
        <v>103</v>
      </c>
      <c r="BM811" t="s">
        <v>15580</v>
      </c>
      <c r="BN811" t="s">
        <v>74</v>
      </c>
      <c r="BO811" t="s">
        <v>5629</v>
      </c>
      <c r="BP811" t="s">
        <v>74</v>
      </c>
      <c r="BQ811" t="s">
        <v>74</v>
      </c>
      <c r="BR811" t="s">
        <v>107</v>
      </c>
      <c r="BS811" t="s">
        <v>15581</v>
      </c>
      <c r="BT811" t="str">
        <f>HYPERLINK("https%3A%2F%2Fwww.webofscience.com%2Fwos%2Fwoscc%2Ffull-record%2FWOS:001000215900001","View Full Record in Web of Science")</f>
        <v>View Full Record in Web of Science</v>
      </c>
    </row>
    <row r="812" spans="1:72" x14ac:dyDescent="0.15">
      <c r="A812" t="s">
        <v>72</v>
      </c>
      <c r="B812" t="s">
        <v>15582</v>
      </c>
      <c r="C812" t="s">
        <v>74</v>
      </c>
      <c r="D812" t="s">
        <v>74</v>
      </c>
      <c r="E812" t="s">
        <v>74</v>
      </c>
      <c r="F812" t="s">
        <v>15583</v>
      </c>
      <c r="G812" t="s">
        <v>74</v>
      </c>
      <c r="H812" t="s">
        <v>74</v>
      </c>
      <c r="I812" t="s">
        <v>15584</v>
      </c>
      <c r="J812" t="s">
        <v>2650</v>
      </c>
      <c r="K812" t="s">
        <v>74</v>
      </c>
      <c r="L812" t="s">
        <v>74</v>
      </c>
      <c r="M812" t="s">
        <v>78</v>
      </c>
      <c r="N812" t="s">
        <v>79</v>
      </c>
      <c r="O812" t="s">
        <v>74</v>
      </c>
      <c r="P812" t="s">
        <v>74</v>
      </c>
      <c r="Q812" t="s">
        <v>74</v>
      </c>
      <c r="R812" t="s">
        <v>74</v>
      </c>
      <c r="S812" t="s">
        <v>74</v>
      </c>
      <c r="T812" t="s">
        <v>15585</v>
      </c>
      <c r="U812" t="s">
        <v>15586</v>
      </c>
      <c r="V812" t="s">
        <v>15587</v>
      </c>
      <c r="W812" t="s">
        <v>15588</v>
      </c>
      <c r="X812" t="s">
        <v>15589</v>
      </c>
      <c r="Y812" t="s">
        <v>15590</v>
      </c>
      <c r="Z812" t="s">
        <v>12887</v>
      </c>
      <c r="AA812" t="s">
        <v>74</v>
      </c>
      <c r="AB812" t="s">
        <v>11437</v>
      </c>
      <c r="AC812" t="s">
        <v>15591</v>
      </c>
      <c r="AD812" t="s">
        <v>15592</v>
      </c>
      <c r="AE812" t="s">
        <v>15593</v>
      </c>
      <c r="AF812" t="s">
        <v>74</v>
      </c>
      <c r="AG812">
        <v>121</v>
      </c>
      <c r="AH812">
        <v>0</v>
      </c>
      <c r="AI812">
        <v>0</v>
      </c>
      <c r="AJ812">
        <v>2</v>
      </c>
      <c r="AK812">
        <v>5</v>
      </c>
      <c r="AL812" t="s">
        <v>172</v>
      </c>
      <c r="AM812" t="s">
        <v>173</v>
      </c>
      <c r="AN812" t="s">
        <v>174</v>
      </c>
      <c r="AO812" t="s">
        <v>2662</v>
      </c>
      <c r="AP812" t="s">
        <v>2663</v>
      </c>
      <c r="AQ812" t="s">
        <v>74</v>
      </c>
      <c r="AR812" t="s">
        <v>2664</v>
      </c>
      <c r="AS812" t="s">
        <v>2665</v>
      </c>
      <c r="AT812" t="s">
        <v>1859</v>
      </c>
      <c r="AU812">
        <v>2024</v>
      </c>
      <c r="AV812">
        <v>241</v>
      </c>
      <c r="AW812" t="s">
        <v>74</v>
      </c>
      <c r="AX812" t="s">
        <v>74</v>
      </c>
      <c r="AY812" t="s">
        <v>74</v>
      </c>
      <c r="AZ812" t="s">
        <v>74</v>
      </c>
      <c r="BA812" t="s">
        <v>74</v>
      </c>
      <c r="BB812" t="s">
        <v>74</v>
      </c>
      <c r="BC812" t="s">
        <v>74</v>
      </c>
      <c r="BD812">
        <v>103907</v>
      </c>
      <c r="BE812" t="s">
        <v>15594</v>
      </c>
      <c r="BF812" t="str">
        <f>HYPERLINK("http://dx.doi.org/10.1016/j.jmarsys.2023.103907","http://dx.doi.org/10.1016/j.jmarsys.2023.103907")</f>
        <v>http://dx.doi.org/10.1016/j.jmarsys.2023.103907</v>
      </c>
      <c r="BG812" t="s">
        <v>74</v>
      </c>
      <c r="BH812" t="s">
        <v>15114</v>
      </c>
      <c r="BI812">
        <v>11</v>
      </c>
      <c r="BJ812" t="s">
        <v>2667</v>
      </c>
      <c r="BK812" t="s">
        <v>104</v>
      </c>
      <c r="BL812" t="s">
        <v>2668</v>
      </c>
      <c r="BM812" t="s">
        <v>15595</v>
      </c>
      <c r="BN812" t="s">
        <v>74</v>
      </c>
      <c r="BO812" t="s">
        <v>74</v>
      </c>
      <c r="BP812" t="s">
        <v>74</v>
      </c>
      <c r="BQ812" t="s">
        <v>74</v>
      </c>
      <c r="BR812" t="s">
        <v>107</v>
      </c>
      <c r="BS812" t="s">
        <v>15596</v>
      </c>
      <c r="BT812" t="str">
        <f>HYPERLINK("https%3A%2F%2Fwww.webofscience.com%2Fwos%2Fwoscc%2Ffull-record%2FWOS:001013410600001","View Full Record in Web of Science")</f>
        <v>View Full Record in Web of Science</v>
      </c>
    </row>
    <row r="813" spans="1:72" x14ac:dyDescent="0.15">
      <c r="A813" t="s">
        <v>72</v>
      </c>
      <c r="B813" t="s">
        <v>15597</v>
      </c>
      <c r="C813" t="s">
        <v>74</v>
      </c>
      <c r="D813" t="s">
        <v>74</v>
      </c>
      <c r="E813" t="s">
        <v>74</v>
      </c>
      <c r="F813" t="s">
        <v>15598</v>
      </c>
      <c r="G813" t="s">
        <v>74</v>
      </c>
      <c r="H813" t="s">
        <v>74</v>
      </c>
      <c r="I813" t="s">
        <v>15599</v>
      </c>
      <c r="J813" t="s">
        <v>1888</v>
      </c>
      <c r="K813" t="s">
        <v>74</v>
      </c>
      <c r="L813" t="s">
        <v>74</v>
      </c>
      <c r="M813" t="s">
        <v>78</v>
      </c>
      <c r="N813" t="s">
        <v>79</v>
      </c>
      <c r="O813" t="s">
        <v>74</v>
      </c>
      <c r="P813" t="s">
        <v>74</v>
      </c>
      <c r="Q813" t="s">
        <v>74</v>
      </c>
      <c r="R813" t="s">
        <v>74</v>
      </c>
      <c r="S813" t="s">
        <v>74</v>
      </c>
      <c r="T813" t="s">
        <v>15600</v>
      </c>
      <c r="U813" t="s">
        <v>15601</v>
      </c>
      <c r="V813" t="s">
        <v>15602</v>
      </c>
      <c r="W813" t="s">
        <v>15603</v>
      </c>
      <c r="X813" t="s">
        <v>1893</v>
      </c>
      <c r="Y813" t="s">
        <v>1894</v>
      </c>
      <c r="Z813" t="s">
        <v>1895</v>
      </c>
      <c r="AA813" t="s">
        <v>74</v>
      </c>
      <c r="AB813" t="s">
        <v>74</v>
      </c>
      <c r="AC813" t="s">
        <v>15604</v>
      </c>
      <c r="AD813" t="s">
        <v>15605</v>
      </c>
      <c r="AE813" t="s">
        <v>15606</v>
      </c>
      <c r="AF813" t="s">
        <v>74</v>
      </c>
      <c r="AG813">
        <v>23</v>
      </c>
      <c r="AH813">
        <v>0</v>
      </c>
      <c r="AI813">
        <v>0</v>
      </c>
      <c r="AJ813">
        <v>2</v>
      </c>
      <c r="AK813">
        <v>3</v>
      </c>
      <c r="AL813" t="s">
        <v>172</v>
      </c>
      <c r="AM813" t="s">
        <v>173</v>
      </c>
      <c r="AN813" t="s">
        <v>174</v>
      </c>
      <c r="AO813" t="s">
        <v>1899</v>
      </c>
      <c r="AP813" t="s">
        <v>1900</v>
      </c>
      <c r="AQ813" t="s">
        <v>74</v>
      </c>
      <c r="AR813" t="s">
        <v>1901</v>
      </c>
      <c r="AS813" t="s">
        <v>1902</v>
      </c>
      <c r="AT813" t="s">
        <v>97</v>
      </c>
      <c r="AU813">
        <v>2023</v>
      </c>
      <c r="AV813">
        <v>153</v>
      </c>
      <c r="AW813" t="s">
        <v>74</v>
      </c>
      <c r="AX813" t="s">
        <v>74</v>
      </c>
      <c r="AY813" t="s">
        <v>74</v>
      </c>
      <c r="AZ813" t="s">
        <v>74</v>
      </c>
      <c r="BA813" t="s">
        <v>74</v>
      </c>
      <c r="BB813" t="s">
        <v>74</v>
      </c>
      <c r="BC813" t="s">
        <v>74</v>
      </c>
      <c r="BD813">
        <v>110403</v>
      </c>
      <c r="BE813" t="s">
        <v>15607</v>
      </c>
      <c r="BF813" t="str">
        <f>HYPERLINK("http://dx.doi.org/10.1016/j.ecolind.2023.110403","http://dx.doi.org/10.1016/j.ecolind.2023.110403")</f>
        <v>http://dx.doi.org/10.1016/j.ecolind.2023.110403</v>
      </c>
      <c r="BG813" t="s">
        <v>74</v>
      </c>
      <c r="BH813" t="s">
        <v>15114</v>
      </c>
      <c r="BI813">
        <v>7</v>
      </c>
      <c r="BJ813" t="s">
        <v>1904</v>
      </c>
      <c r="BK813" t="s">
        <v>104</v>
      </c>
      <c r="BL813" t="s">
        <v>1905</v>
      </c>
      <c r="BM813" t="s">
        <v>15608</v>
      </c>
      <c r="BN813" t="s">
        <v>74</v>
      </c>
      <c r="BO813" t="s">
        <v>206</v>
      </c>
      <c r="BP813" t="s">
        <v>74</v>
      </c>
      <c r="BQ813" t="s">
        <v>74</v>
      </c>
      <c r="BR813" t="s">
        <v>107</v>
      </c>
      <c r="BS813" t="s">
        <v>15609</v>
      </c>
      <c r="BT813" t="str">
        <f>HYPERLINK("https%3A%2F%2Fwww.webofscience.com%2Fwos%2Fwoscc%2Ffull-record%2FWOS:001011150600001","View Full Record in Web of Science")</f>
        <v>View Full Record in Web of Science</v>
      </c>
    </row>
    <row r="814" spans="1:72" x14ac:dyDescent="0.15">
      <c r="A814" t="s">
        <v>72</v>
      </c>
      <c r="B814" t="s">
        <v>15610</v>
      </c>
      <c r="C814" t="s">
        <v>74</v>
      </c>
      <c r="D814" t="s">
        <v>74</v>
      </c>
      <c r="E814" t="s">
        <v>74</v>
      </c>
      <c r="F814" t="s">
        <v>15611</v>
      </c>
      <c r="G814" t="s">
        <v>74</v>
      </c>
      <c r="H814" t="s">
        <v>74</v>
      </c>
      <c r="I814" t="s">
        <v>15612</v>
      </c>
      <c r="J814" t="s">
        <v>2714</v>
      </c>
      <c r="K814" t="s">
        <v>74</v>
      </c>
      <c r="L814" t="s">
        <v>74</v>
      </c>
      <c r="M814" t="s">
        <v>78</v>
      </c>
      <c r="N814" t="s">
        <v>79</v>
      </c>
      <c r="O814" t="s">
        <v>74</v>
      </c>
      <c r="P814" t="s">
        <v>74</v>
      </c>
      <c r="Q814" t="s">
        <v>74</v>
      </c>
      <c r="R814" t="s">
        <v>74</v>
      </c>
      <c r="S814" t="s">
        <v>74</v>
      </c>
      <c r="T814" t="s">
        <v>74</v>
      </c>
      <c r="U814" t="s">
        <v>15613</v>
      </c>
      <c r="V814" t="s">
        <v>15614</v>
      </c>
      <c r="W814" t="s">
        <v>15615</v>
      </c>
      <c r="X814" t="s">
        <v>216</v>
      </c>
      <c r="Y814" t="s">
        <v>15616</v>
      </c>
      <c r="Z814" t="s">
        <v>218</v>
      </c>
      <c r="AA814" t="s">
        <v>74</v>
      </c>
      <c r="AB814" t="s">
        <v>74</v>
      </c>
      <c r="AC814" t="s">
        <v>15617</v>
      </c>
      <c r="AD814" t="s">
        <v>367</v>
      </c>
      <c r="AE814" t="s">
        <v>15618</v>
      </c>
      <c r="AF814" t="s">
        <v>74</v>
      </c>
      <c r="AG814">
        <v>64</v>
      </c>
      <c r="AH814">
        <v>2</v>
      </c>
      <c r="AI814">
        <v>2</v>
      </c>
      <c r="AJ814">
        <v>5</v>
      </c>
      <c r="AK814">
        <v>8</v>
      </c>
      <c r="AL814" t="s">
        <v>146</v>
      </c>
      <c r="AM814" t="s">
        <v>147</v>
      </c>
      <c r="AN814" t="s">
        <v>148</v>
      </c>
      <c r="AO814" t="s">
        <v>2724</v>
      </c>
      <c r="AP814" t="s">
        <v>74</v>
      </c>
      <c r="AQ814" t="s">
        <v>74</v>
      </c>
      <c r="AR814" t="s">
        <v>2725</v>
      </c>
      <c r="AS814" t="s">
        <v>2726</v>
      </c>
      <c r="AT814" t="s">
        <v>15529</v>
      </c>
      <c r="AU814">
        <v>2023</v>
      </c>
      <c r="AV814">
        <v>6</v>
      </c>
      <c r="AW814">
        <v>1</v>
      </c>
      <c r="AX814" t="s">
        <v>74</v>
      </c>
      <c r="AY814" t="s">
        <v>74</v>
      </c>
      <c r="AZ814" t="s">
        <v>74</v>
      </c>
      <c r="BA814" t="s">
        <v>74</v>
      </c>
      <c r="BB814" t="s">
        <v>74</v>
      </c>
      <c r="BC814" t="s">
        <v>74</v>
      </c>
      <c r="BD814">
        <v>49</v>
      </c>
      <c r="BE814" t="s">
        <v>15619</v>
      </c>
      <c r="BF814" t="str">
        <f>HYPERLINK("http://dx.doi.org/10.1038/s41612-023-00381-8","http://dx.doi.org/10.1038/s41612-023-00381-8")</f>
        <v>http://dx.doi.org/10.1038/s41612-023-00381-8</v>
      </c>
      <c r="BG814" t="s">
        <v>74</v>
      </c>
      <c r="BH814" t="s">
        <v>74</v>
      </c>
      <c r="BI814">
        <v>9</v>
      </c>
      <c r="BJ814" t="s">
        <v>103</v>
      </c>
      <c r="BK814" t="s">
        <v>104</v>
      </c>
      <c r="BL814" t="s">
        <v>103</v>
      </c>
      <c r="BM814" t="s">
        <v>15620</v>
      </c>
      <c r="BN814" t="s">
        <v>74</v>
      </c>
      <c r="BO814" t="s">
        <v>206</v>
      </c>
      <c r="BP814" t="s">
        <v>74</v>
      </c>
      <c r="BQ814" t="s">
        <v>74</v>
      </c>
      <c r="BR814" t="s">
        <v>107</v>
      </c>
      <c r="BS814" t="s">
        <v>15621</v>
      </c>
      <c r="BT814" t="str">
        <f>HYPERLINK("https%3A%2F%2Fwww.webofscience.com%2Fwos%2Fwoscc%2Ffull-record%2FWOS:000995781300005","View Full Record in Web of Science")</f>
        <v>View Full Record in Web of Science</v>
      </c>
    </row>
    <row r="815" spans="1:72" x14ac:dyDescent="0.15">
      <c r="A815" t="s">
        <v>72</v>
      </c>
      <c r="B815" t="s">
        <v>15622</v>
      </c>
      <c r="C815" t="s">
        <v>74</v>
      </c>
      <c r="D815" t="s">
        <v>74</v>
      </c>
      <c r="E815" t="s">
        <v>74</v>
      </c>
      <c r="F815" t="s">
        <v>15623</v>
      </c>
      <c r="G815" t="s">
        <v>74</v>
      </c>
      <c r="H815" t="s">
        <v>74</v>
      </c>
      <c r="I815" t="s">
        <v>15624</v>
      </c>
      <c r="J815" t="s">
        <v>15625</v>
      </c>
      <c r="K815" t="s">
        <v>74</v>
      </c>
      <c r="L815" t="s">
        <v>74</v>
      </c>
      <c r="M815" t="s">
        <v>78</v>
      </c>
      <c r="N815" t="s">
        <v>79</v>
      </c>
      <c r="O815" t="s">
        <v>74</v>
      </c>
      <c r="P815" t="s">
        <v>74</v>
      </c>
      <c r="Q815" t="s">
        <v>74</v>
      </c>
      <c r="R815" t="s">
        <v>74</v>
      </c>
      <c r="S815" t="s">
        <v>74</v>
      </c>
      <c r="T815" t="s">
        <v>15626</v>
      </c>
      <c r="U815" t="s">
        <v>15627</v>
      </c>
      <c r="V815" t="s">
        <v>15628</v>
      </c>
      <c r="W815" t="s">
        <v>15629</v>
      </c>
      <c r="X815" t="s">
        <v>15630</v>
      </c>
      <c r="Y815" t="s">
        <v>15631</v>
      </c>
      <c r="Z815" t="s">
        <v>15632</v>
      </c>
      <c r="AA815" t="s">
        <v>74</v>
      </c>
      <c r="AB815" t="s">
        <v>15633</v>
      </c>
      <c r="AC815" t="s">
        <v>15634</v>
      </c>
      <c r="AD815" t="s">
        <v>15635</v>
      </c>
      <c r="AE815" t="s">
        <v>15636</v>
      </c>
      <c r="AF815" t="s">
        <v>74</v>
      </c>
      <c r="AG815">
        <v>75</v>
      </c>
      <c r="AH815">
        <v>0</v>
      </c>
      <c r="AI815">
        <v>0</v>
      </c>
      <c r="AJ815">
        <v>1</v>
      </c>
      <c r="AK815">
        <v>2</v>
      </c>
      <c r="AL815" t="s">
        <v>460</v>
      </c>
      <c r="AM815" t="s">
        <v>461</v>
      </c>
      <c r="AN815" t="s">
        <v>462</v>
      </c>
      <c r="AO815" t="s">
        <v>15637</v>
      </c>
      <c r="AP815" t="s">
        <v>15638</v>
      </c>
      <c r="AQ815" t="s">
        <v>74</v>
      </c>
      <c r="AR815" t="s">
        <v>15625</v>
      </c>
      <c r="AS815" t="s">
        <v>15639</v>
      </c>
      <c r="AT815" t="s">
        <v>7344</v>
      </c>
      <c r="AU815">
        <v>2024</v>
      </c>
      <c r="AV815">
        <v>166</v>
      </c>
      <c r="AW815">
        <v>2</v>
      </c>
      <c r="AX815" t="s">
        <v>74</v>
      </c>
      <c r="AY815" t="s">
        <v>74</v>
      </c>
      <c r="AZ815" t="s">
        <v>74</v>
      </c>
      <c r="BA815" t="s">
        <v>74</v>
      </c>
      <c r="BB815">
        <v>504</v>
      </c>
      <c r="BC815">
        <v>517</v>
      </c>
      <c r="BD815" t="s">
        <v>74</v>
      </c>
      <c r="BE815" t="s">
        <v>15640</v>
      </c>
      <c r="BF815" t="str">
        <f>HYPERLINK("http://dx.doi.org/10.1111/ibi.13234","http://dx.doi.org/10.1111/ibi.13234")</f>
        <v>http://dx.doi.org/10.1111/ibi.13234</v>
      </c>
      <c r="BG815" t="s">
        <v>74</v>
      </c>
      <c r="BH815" t="s">
        <v>15114</v>
      </c>
      <c r="BI815">
        <v>14</v>
      </c>
      <c r="BJ815" t="s">
        <v>8227</v>
      </c>
      <c r="BK815" t="s">
        <v>104</v>
      </c>
      <c r="BL815" t="s">
        <v>620</v>
      </c>
      <c r="BM815" t="s">
        <v>15641</v>
      </c>
      <c r="BN815" t="s">
        <v>74</v>
      </c>
      <c r="BO815" t="s">
        <v>74</v>
      </c>
      <c r="BP815" t="s">
        <v>74</v>
      </c>
      <c r="BQ815" t="s">
        <v>74</v>
      </c>
      <c r="BR815" t="s">
        <v>107</v>
      </c>
      <c r="BS815" t="s">
        <v>15642</v>
      </c>
      <c r="BT815" t="str">
        <f>HYPERLINK("https%3A%2F%2Fwww.webofscience.com%2Fwos%2Fwoscc%2Ffull-record%2FWOS:000995863700001","View Full Record in Web of Science")</f>
        <v>View Full Record in Web of Science</v>
      </c>
    </row>
    <row r="816" spans="1:72" x14ac:dyDescent="0.15">
      <c r="A816" t="s">
        <v>72</v>
      </c>
      <c r="B816" t="s">
        <v>15643</v>
      </c>
      <c r="C816" t="s">
        <v>74</v>
      </c>
      <c r="D816" t="s">
        <v>74</v>
      </c>
      <c r="E816" t="s">
        <v>74</v>
      </c>
      <c r="F816" t="s">
        <v>15644</v>
      </c>
      <c r="G816" t="s">
        <v>74</v>
      </c>
      <c r="H816" t="s">
        <v>74</v>
      </c>
      <c r="I816" t="s">
        <v>15645</v>
      </c>
      <c r="J816" t="s">
        <v>4066</v>
      </c>
      <c r="K816" t="s">
        <v>74</v>
      </c>
      <c r="L816" t="s">
        <v>74</v>
      </c>
      <c r="M816" t="s">
        <v>78</v>
      </c>
      <c r="N816" t="s">
        <v>424</v>
      </c>
      <c r="O816" t="s">
        <v>74</v>
      </c>
      <c r="P816" t="s">
        <v>74</v>
      </c>
      <c r="Q816" t="s">
        <v>74</v>
      </c>
      <c r="R816" t="s">
        <v>74</v>
      </c>
      <c r="S816" t="s">
        <v>74</v>
      </c>
      <c r="T816" t="s">
        <v>15646</v>
      </c>
      <c r="U816" t="s">
        <v>15647</v>
      </c>
      <c r="V816" t="s">
        <v>15648</v>
      </c>
      <c r="W816" t="s">
        <v>15649</v>
      </c>
      <c r="X816" t="s">
        <v>15650</v>
      </c>
      <c r="Y816" t="s">
        <v>15651</v>
      </c>
      <c r="Z816" t="s">
        <v>15652</v>
      </c>
      <c r="AA816" t="s">
        <v>15653</v>
      </c>
      <c r="AB816" t="s">
        <v>15654</v>
      </c>
      <c r="AC816" t="s">
        <v>15655</v>
      </c>
      <c r="AD816" t="s">
        <v>15656</v>
      </c>
      <c r="AE816" t="s">
        <v>15657</v>
      </c>
      <c r="AF816" t="s">
        <v>74</v>
      </c>
      <c r="AG816">
        <v>150</v>
      </c>
      <c r="AH816">
        <v>1</v>
      </c>
      <c r="AI816">
        <v>1</v>
      </c>
      <c r="AJ816">
        <v>9</v>
      </c>
      <c r="AK816">
        <v>9</v>
      </c>
      <c r="AL816" t="s">
        <v>2305</v>
      </c>
      <c r="AM816" t="s">
        <v>538</v>
      </c>
      <c r="AN816" t="s">
        <v>2306</v>
      </c>
      <c r="AO816" t="s">
        <v>4078</v>
      </c>
      <c r="AP816" t="s">
        <v>4079</v>
      </c>
      <c r="AQ816" t="s">
        <v>74</v>
      </c>
      <c r="AR816" t="s">
        <v>4080</v>
      </c>
      <c r="AS816" t="s">
        <v>4081</v>
      </c>
      <c r="AT816" t="s">
        <v>3612</v>
      </c>
      <c r="AU816">
        <v>2023</v>
      </c>
      <c r="AV816">
        <v>215</v>
      </c>
      <c r="AW816" t="s">
        <v>74</v>
      </c>
      <c r="AX816" t="s">
        <v>74</v>
      </c>
      <c r="AY816" t="s">
        <v>74</v>
      </c>
      <c r="AZ816" t="s">
        <v>74</v>
      </c>
      <c r="BA816" t="s">
        <v>74</v>
      </c>
      <c r="BB816" t="s">
        <v>74</v>
      </c>
      <c r="BC816" t="s">
        <v>74</v>
      </c>
      <c r="BD816">
        <v>103036</v>
      </c>
      <c r="BE816" t="s">
        <v>15658</v>
      </c>
      <c r="BF816" t="str">
        <f>HYPERLINK("http://dx.doi.org/10.1016/j.pocean.2023.103036","http://dx.doi.org/10.1016/j.pocean.2023.103036")</f>
        <v>http://dx.doi.org/10.1016/j.pocean.2023.103036</v>
      </c>
      <c r="BG816" t="s">
        <v>74</v>
      </c>
      <c r="BH816" t="s">
        <v>15114</v>
      </c>
      <c r="BI816">
        <v>19</v>
      </c>
      <c r="BJ816" t="s">
        <v>306</v>
      </c>
      <c r="BK816" t="s">
        <v>104</v>
      </c>
      <c r="BL816" t="s">
        <v>306</v>
      </c>
      <c r="BM816" t="s">
        <v>15659</v>
      </c>
      <c r="BN816" t="s">
        <v>74</v>
      </c>
      <c r="BO816" t="s">
        <v>418</v>
      </c>
      <c r="BP816" t="s">
        <v>74</v>
      </c>
      <c r="BQ816" t="s">
        <v>74</v>
      </c>
      <c r="BR816" t="s">
        <v>107</v>
      </c>
      <c r="BS816" t="s">
        <v>15660</v>
      </c>
      <c r="BT816" t="str">
        <f>HYPERLINK("https%3A%2F%2Fwww.webofscience.com%2Fwos%2Fwoscc%2Ffull-record%2FWOS:001144245500001","View Full Record in Web of Science")</f>
        <v>View Full Record in Web of Science</v>
      </c>
    </row>
    <row r="817" spans="1:72" x14ac:dyDescent="0.15">
      <c r="A817" t="s">
        <v>72</v>
      </c>
      <c r="B817" t="s">
        <v>15661</v>
      </c>
      <c r="C817" t="s">
        <v>74</v>
      </c>
      <c r="D817" t="s">
        <v>74</v>
      </c>
      <c r="E817" t="s">
        <v>74</v>
      </c>
      <c r="F817" t="s">
        <v>15662</v>
      </c>
      <c r="G817" t="s">
        <v>74</v>
      </c>
      <c r="H817" t="s">
        <v>74</v>
      </c>
      <c r="I817" t="s">
        <v>15663</v>
      </c>
      <c r="J817" t="s">
        <v>3756</v>
      </c>
      <c r="K817" t="s">
        <v>74</v>
      </c>
      <c r="L817" t="s">
        <v>74</v>
      </c>
      <c r="M817" t="s">
        <v>78</v>
      </c>
      <c r="N817" t="s">
        <v>79</v>
      </c>
      <c r="O817" t="s">
        <v>74</v>
      </c>
      <c r="P817" t="s">
        <v>74</v>
      </c>
      <c r="Q817" t="s">
        <v>74</v>
      </c>
      <c r="R817" t="s">
        <v>74</v>
      </c>
      <c r="S817" t="s">
        <v>74</v>
      </c>
      <c r="T817" t="s">
        <v>15664</v>
      </c>
      <c r="U817" t="s">
        <v>15665</v>
      </c>
      <c r="V817" t="s">
        <v>15666</v>
      </c>
      <c r="W817" t="s">
        <v>15667</v>
      </c>
      <c r="X817" t="s">
        <v>15668</v>
      </c>
      <c r="Y817" t="s">
        <v>15669</v>
      </c>
      <c r="Z817" t="s">
        <v>15670</v>
      </c>
      <c r="AA817" t="s">
        <v>74</v>
      </c>
      <c r="AB817" t="s">
        <v>15671</v>
      </c>
      <c r="AC817" t="s">
        <v>74</v>
      </c>
      <c r="AD817" t="s">
        <v>74</v>
      </c>
      <c r="AE817" t="s">
        <v>74</v>
      </c>
      <c r="AF817" t="s">
        <v>74</v>
      </c>
      <c r="AG817">
        <v>21</v>
      </c>
      <c r="AH817">
        <v>0</v>
      </c>
      <c r="AI817">
        <v>0</v>
      </c>
      <c r="AJ817">
        <v>1</v>
      </c>
      <c r="AK817">
        <v>1</v>
      </c>
      <c r="AL817" t="s">
        <v>298</v>
      </c>
      <c r="AM817" t="s">
        <v>299</v>
      </c>
      <c r="AN817" t="s">
        <v>300</v>
      </c>
      <c r="AO817" t="s">
        <v>3767</v>
      </c>
      <c r="AP817" t="s">
        <v>3768</v>
      </c>
      <c r="AQ817" t="s">
        <v>74</v>
      </c>
      <c r="AR817" t="s">
        <v>3769</v>
      </c>
      <c r="AS817" t="s">
        <v>3770</v>
      </c>
      <c r="AT817" t="s">
        <v>3612</v>
      </c>
      <c r="AU817">
        <v>2023</v>
      </c>
      <c r="AV817">
        <v>46</v>
      </c>
      <c r="AW817">
        <v>7</v>
      </c>
      <c r="AX817" t="s">
        <v>74</v>
      </c>
      <c r="AY817" t="s">
        <v>74</v>
      </c>
      <c r="AZ817" t="s">
        <v>74</v>
      </c>
      <c r="BA817" t="s">
        <v>74</v>
      </c>
      <c r="BB817">
        <v>681</v>
      </c>
      <c r="BC817">
        <v>687</v>
      </c>
      <c r="BD817" t="s">
        <v>74</v>
      </c>
      <c r="BE817" t="s">
        <v>15672</v>
      </c>
      <c r="BF817" t="str">
        <f>HYPERLINK("http://dx.doi.org/10.1007/s00300-023-03151-7","http://dx.doi.org/10.1007/s00300-023-03151-7")</f>
        <v>http://dx.doi.org/10.1007/s00300-023-03151-7</v>
      </c>
      <c r="BG817" t="s">
        <v>74</v>
      </c>
      <c r="BH817" t="s">
        <v>15114</v>
      </c>
      <c r="BI817">
        <v>7</v>
      </c>
      <c r="BJ817" t="s">
        <v>3772</v>
      </c>
      <c r="BK817" t="s">
        <v>104</v>
      </c>
      <c r="BL817" t="s">
        <v>1905</v>
      </c>
      <c r="BM817" t="s">
        <v>13347</v>
      </c>
      <c r="BN817" t="s">
        <v>74</v>
      </c>
      <c r="BO817" t="s">
        <v>74</v>
      </c>
      <c r="BP817" t="s">
        <v>74</v>
      </c>
      <c r="BQ817" t="s">
        <v>74</v>
      </c>
      <c r="BR817" t="s">
        <v>107</v>
      </c>
      <c r="BS817" t="s">
        <v>15673</v>
      </c>
      <c r="BT817" t="str">
        <f>HYPERLINK("https%3A%2F%2Fwww.webofscience.com%2Fwos%2Fwoscc%2Ffull-record%2FWOS:000993332600001","View Full Record in Web of Science")</f>
        <v>View Full Record in Web of Science</v>
      </c>
    </row>
    <row r="818" spans="1:72" x14ac:dyDescent="0.15">
      <c r="A818" t="s">
        <v>72</v>
      </c>
      <c r="B818" t="s">
        <v>15674</v>
      </c>
      <c r="C818" t="s">
        <v>74</v>
      </c>
      <c r="D818" t="s">
        <v>74</v>
      </c>
      <c r="E818" t="s">
        <v>74</v>
      </c>
      <c r="F818" t="s">
        <v>15675</v>
      </c>
      <c r="G818" t="s">
        <v>74</v>
      </c>
      <c r="H818" t="s">
        <v>74</v>
      </c>
      <c r="I818" t="s">
        <v>15676</v>
      </c>
      <c r="J818" t="s">
        <v>4066</v>
      </c>
      <c r="K818" t="s">
        <v>74</v>
      </c>
      <c r="L818" t="s">
        <v>74</v>
      </c>
      <c r="M818" t="s">
        <v>78</v>
      </c>
      <c r="N818" t="s">
        <v>424</v>
      </c>
      <c r="O818" t="s">
        <v>74</v>
      </c>
      <c r="P818" t="s">
        <v>74</v>
      </c>
      <c r="Q818" t="s">
        <v>74</v>
      </c>
      <c r="R818" t="s">
        <v>74</v>
      </c>
      <c r="S818" t="s">
        <v>74</v>
      </c>
      <c r="T818" t="s">
        <v>15677</v>
      </c>
      <c r="U818" t="s">
        <v>15678</v>
      </c>
      <c r="V818" t="s">
        <v>15679</v>
      </c>
      <c r="W818" t="s">
        <v>15680</v>
      </c>
      <c r="X818" t="s">
        <v>15681</v>
      </c>
      <c r="Y818" t="s">
        <v>15682</v>
      </c>
      <c r="Z818" t="s">
        <v>15683</v>
      </c>
      <c r="AA818" t="s">
        <v>15684</v>
      </c>
      <c r="AB818" t="s">
        <v>15685</v>
      </c>
      <c r="AC818" t="s">
        <v>15686</v>
      </c>
      <c r="AD818" t="s">
        <v>15687</v>
      </c>
      <c r="AE818" t="s">
        <v>15688</v>
      </c>
      <c r="AF818" t="s">
        <v>74</v>
      </c>
      <c r="AG818">
        <v>95</v>
      </c>
      <c r="AH818">
        <v>0</v>
      </c>
      <c r="AI818">
        <v>0</v>
      </c>
      <c r="AJ818">
        <v>4</v>
      </c>
      <c r="AK818">
        <v>5</v>
      </c>
      <c r="AL818" t="s">
        <v>2305</v>
      </c>
      <c r="AM818" t="s">
        <v>538</v>
      </c>
      <c r="AN818" t="s">
        <v>2306</v>
      </c>
      <c r="AO818" t="s">
        <v>4078</v>
      </c>
      <c r="AP818" t="s">
        <v>4079</v>
      </c>
      <c r="AQ818" t="s">
        <v>74</v>
      </c>
      <c r="AR818" t="s">
        <v>4080</v>
      </c>
      <c r="AS818" t="s">
        <v>4081</v>
      </c>
      <c r="AT818" t="s">
        <v>3612</v>
      </c>
      <c r="AU818">
        <v>2023</v>
      </c>
      <c r="AV818">
        <v>215</v>
      </c>
      <c r="AW818" t="s">
        <v>74</v>
      </c>
      <c r="AX818" t="s">
        <v>74</v>
      </c>
      <c r="AY818" t="s">
        <v>74</v>
      </c>
      <c r="AZ818" t="s">
        <v>74</v>
      </c>
      <c r="BA818" t="s">
        <v>74</v>
      </c>
      <c r="BB818" t="s">
        <v>74</v>
      </c>
      <c r="BC818" t="s">
        <v>74</v>
      </c>
      <c r="BD818">
        <v>103049</v>
      </c>
      <c r="BE818" t="s">
        <v>15689</v>
      </c>
      <c r="BF818" t="str">
        <f>HYPERLINK("http://dx.doi.org/10.1016/j.pocean.2023.103049","http://dx.doi.org/10.1016/j.pocean.2023.103049")</f>
        <v>http://dx.doi.org/10.1016/j.pocean.2023.103049</v>
      </c>
      <c r="BG818" t="s">
        <v>74</v>
      </c>
      <c r="BH818" t="s">
        <v>15114</v>
      </c>
      <c r="BI818">
        <v>16</v>
      </c>
      <c r="BJ818" t="s">
        <v>306</v>
      </c>
      <c r="BK818" t="s">
        <v>104</v>
      </c>
      <c r="BL818" t="s">
        <v>306</v>
      </c>
      <c r="BM818" t="s">
        <v>15690</v>
      </c>
      <c r="BN818" t="s">
        <v>74</v>
      </c>
      <c r="BO818" t="s">
        <v>74</v>
      </c>
      <c r="BP818" t="s">
        <v>74</v>
      </c>
      <c r="BQ818" t="s">
        <v>74</v>
      </c>
      <c r="BR818" t="s">
        <v>107</v>
      </c>
      <c r="BS818" t="s">
        <v>15691</v>
      </c>
      <c r="BT818" t="str">
        <f>HYPERLINK("https%3A%2F%2Fwww.webofscience.com%2Fwos%2Fwoscc%2Ffull-record%2FWOS:001056123500001","View Full Record in Web of Science")</f>
        <v>View Full Record in Web of Science</v>
      </c>
    </row>
    <row r="819" spans="1:72" x14ac:dyDescent="0.15">
      <c r="A819" t="s">
        <v>72</v>
      </c>
      <c r="B819" t="s">
        <v>15692</v>
      </c>
      <c r="C819" t="s">
        <v>74</v>
      </c>
      <c r="D819" t="s">
        <v>74</v>
      </c>
      <c r="E819" t="s">
        <v>74</v>
      </c>
      <c r="F819" t="s">
        <v>15693</v>
      </c>
      <c r="G819" t="s">
        <v>74</v>
      </c>
      <c r="H819" t="s">
        <v>74</v>
      </c>
      <c r="I819" t="s">
        <v>15694</v>
      </c>
      <c r="J819" t="s">
        <v>3334</v>
      </c>
      <c r="K819" t="s">
        <v>74</v>
      </c>
      <c r="L819" t="s">
        <v>74</v>
      </c>
      <c r="M819" t="s">
        <v>78</v>
      </c>
      <c r="N819" t="s">
        <v>79</v>
      </c>
      <c r="O819" t="s">
        <v>74</v>
      </c>
      <c r="P819" t="s">
        <v>74</v>
      </c>
      <c r="Q819" t="s">
        <v>74</v>
      </c>
      <c r="R819" t="s">
        <v>74</v>
      </c>
      <c r="S819" t="s">
        <v>74</v>
      </c>
      <c r="T819" t="s">
        <v>74</v>
      </c>
      <c r="U819" t="s">
        <v>15695</v>
      </c>
      <c r="V819" t="s">
        <v>15696</v>
      </c>
      <c r="W819" t="s">
        <v>15697</v>
      </c>
      <c r="X819" t="s">
        <v>15698</v>
      </c>
      <c r="Y819" t="s">
        <v>15699</v>
      </c>
      <c r="Z819" t="s">
        <v>15700</v>
      </c>
      <c r="AA819" t="s">
        <v>15701</v>
      </c>
      <c r="AB819" t="s">
        <v>15702</v>
      </c>
      <c r="AC819" t="s">
        <v>15703</v>
      </c>
      <c r="AD819" t="s">
        <v>15703</v>
      </c>
      <c r="AE819" t="s">
        <v>15704</v>
      </c>
      <c r="AF819" t="s">
        <v>74</v>
      </c>
      <c r="AG819">
        <v>46</v>
      </c>
      <c r="AH819">
        <v>2</v>
      </c>
      <c r="AI819">
        <v>2</v>
      </c>
      <c r="AJ819">
        <v>3</v>
      </c>
      <c r="AK819">
        <v>3</v>
      </c>
      <c r="AL819" t="s">
        <v>1775</v>
      </c>
      <c r="AM819" t="s">
        <v>1776</v>
      </c>
      <c r="AN819" t="s">
        <v>1777</v>
      </c>
      <c r="AO819" t="s">
        <v>3346</v>
      </c>
      <c r="AP819" t="s">
        <v>3347</v>
      </c>
      <c r="AQ819" t="s">
        <v>74</v>
      </c>
      <c r="AR819" t="s">
        <v>3348</v>
      </c>
      <c r="AS819" t="s">
        <v>3349</v>
      </c>
      <c r="AT819" t="s">
        <v>15705</v>
      </c>
      <c r="AU819">
        <v>2023</v>
      </c>
      <c r="AV819">
        <v>19</v>
      </c>
      <c r="AW819">
        <v>5</v>
      </c>
      <c r="AX819" t="s">
        <v>74</v>
      </c>
      <c r="AY819" t="s">
        <v>74</v>
      </c>
      <c r="AZ819" t="s">
        <v>74</v>
      </c>
      <c r="BA819" t="s">
        <v>74</v>
      </c>
      <c r="BB819">
        <v>1027</v>
      </c>
      <c r="BC819">
        <v>1042</v>
      </c>
      <c r="BD819" t="s">
        <v>74</v>
      </c>
      <c r="BE819" t="s">
        <v>15706</v>
      </c>
      <c r="BF819" t="str">
        <f>HYPERLINK("http://dx.doi.org/10.5194/cp-19-1027-2023","http://dx.doi.org/10.5194/cp-19-1027-2023")</f>
        <v>http://dx.doi.org/10.5194/cp-19-1027-2023</v>
      </c>
      <c r="BG819" t="s">
        <v>74</v>
      </c>
      <c r="BH819" t="s">
        <v>74</v>
      </c>
      <c r="BI819">
        <v>16</v>
      </c>
      <c r="BJ819" t="s">
        <v>3351</v>
      </c>
      <c r="BK819" t="s">
        <v>104</v>
      </c>
      <c r="BL819" t="s">
        <v>3352</v>
      </c>
      <c r="BM819" t="s">
        <v>15707</v>
      </c>
      <c r="BN819" t="s">
        <v>74</v>
      </c>
      <c r="BO819" t="s">
        <v>3243</v>
      </c>
      <c r="BP819" t="s">
        <v>74</v>
      </c>
      <c r="BQ819" t="s">
        <v>74</v>
      </c>
      <c r="BR819" t="s">
        <v>107</v>
      </c>
      <c r="BS819" t="s">
        <v>15708</v>
      </c>
      <c r="BT819" t="str">
        <f>HYPERLINK("https%3A%2F%2Fwww.webofscience.com%2Fwos%2Fwoscc%2Ffull-record%2FWOS:000995292900001","View Full Record in Web of Science")</f>
        <v>View Full Record in Web of Science</v>
      </c>
    </row>
    <row r="820" spans="1:72" x14ac:dyDescent="0.15">
      <c r="A820" t="s">
        <v>72</v>
      </c>
      <c r="B820" t="s">
        <v>15709</v>
      </c>
      <c r="C820" t="s">
        <v>74</v>
      </c>
      <c r="D820" t="s">
        <v>74</v>
      </c>
      <c r="E820" t="s">
        <v>74</v>
      </c>
      <c r="F820" t="s">
        <v>15710</v>
      </c>
      <c r="G820" t="s">
        <v>74</v>
      </c>
      <c r="H820" t="s">
        <v>74</v>
      </c>
      <c r="I820" t="s">
        <v>15711</v>
      </c>
      <c r="J820" t="s">
        <v>3756</v>
      </c>
      <c r="K820" t="s">
        <v>74</v>
      </c>
      <c r="L820" t="s">
        <v>74</v>
      </c>
      <c r="M820" t="s">
        <v>78</v>
      </c>
      <c r="N820" t="s">
        <v>79</v>
      </c>
      <c r="O820" t="s">
        <v>74</v>
      </c>
      <c r="P820" t="s">
        <v>74</v>
      </c>
      <c r="Q820" t="s">
        <v>74</v>
      </c>
      <c r="R820" t="s">
        <v>74</v>
      </c>
      <c r="S820" t="s">
        <v>74</v>
      </c>
      <c r="T820" t="s">
        <v>15712</v>
      </c>
      <c r="U820" t="s">
        <v>15713</v>
      </c>
      <c r="V820" t="s">
        <v>15714</v>
      </c>
      <c r="W820" t="s">
        <v>15715</v>
      </c>
      <c r="X820" t="s">
        <v>15716</v>
      </c>
      <c r="Y820" t="s">
        <v>15717</v>
      </c>
      <c r="Z820" t="s">
        <v>15718</v>
      </c>
      <c r="AA820" t="s">
        <v>15719</v>
      </c>
      <c r="AB820" t="s">
        <v>15720</v>
      </c>
      <c r="AC820" t="s">
        <v>15721</v>
      </c>
      <c r="AD820" t="s">
        <v>15722</v>
      </c>
      <c r="AE820" t="s">
        <v>15723</v>
      </c>
      <c r="AF820" t="s">
        <v>74</v>
      </c>
      <c r="AG820">
        <v>128</v>
      </c>
      <c r="AH820">
        <v>3</v>
      </c>
      <c r="AI820">
        <v>3</v>
      </c>
      <c r="AJ820">
        <v>1</v>
      </c>
      <c r="AK820">
        <v>5</v>
      </c>
      <c r="AL820" t="s">
        <v>298</v>
      </c>
      <c r="AM820" t="s">
        <v>299</v>
      </c>
      <c r="AN820" t="s">
        <v>300</v>
      </c>
      <c r="AO820" t="s">
        <v>3767</v>
      </c>
      <c r="AP820" t="s">
        <v>3768</v>
      </c>
      <c r="AQ820" t="s">
        <v>74</v>
      </c>
      <c r="AR820" t="s">
        <v>3769</v>
      </c>
      <c r="AS820" t="s">
        <v>3770</v>
      </c>
      <c r="AT820" t="s">
        <v>3612</v>
      </c>
      <c r="AU820">
        <v>2023</v>
      </c>
      <c r="AV820">
        <v>46</v>
      </c>
      <c r="AW820">
        <v>7</v>
      </c>
      <c r="AX820" t="s">
        <v>74</v>
      </c>
      <c r="AY820" t="s">
        <v>74</v>
      </c>
      <c r="AZ820" t="s">
        <v>74</v>
      </c>
      <c r="BA820" t="s">
        <v>74</v>
      </c>
      <c r="BB820">
        <v>655</v>
      </c>
      <c r="BC820">
        <v>672</v>
      </c>
      <c r="BD820" t="s">
        <v>74</v>
      </c>
      <c r="BE820" t="s">
        <v>15724</v>
      </c>
      <c r="BF820" t="str">
        <f>HYPERLINK("http://dx.doi.org/10.1007/s00300-023-03154-4","http://dx.doi.org/10.1007/s00300-023-03154-4")</f>
        <v>http://dx.doi.org/10.1007/s00300-023-03154-4</v>
      </c>
      <c r="BG820" t="s">
        <v>74</v>
      </c>
      <c r="BH820" t="s">
        <v>15114</v>
      </c>
      <c r="BI820">
        <v>18</v>
      </c>
      <c r="BJ820" t="s">
        <v>3772</v>
      </c>
      <c r="BK820" t="s">
        <v>104</v>
      </c>
      <c r="BL820" t="s">
        <v>1905</v>
      </c>
      <c r="BM820" t="s">
        <v>13347</v>
      </c>
      <c r="BN820" t="s">
        <v>74</v>
      </c>
      <c r="BO820" t="s">
        <v>936</v>
      </c>
      <c r="BP820" t="s">
        <v>74</v>
      </c>
      <c r="BQ820" t="s">
        <v>74</v>
      </c>
      <c r="BR820" t="s">
        <v>107</v>
      </c>
      <c r="BS820" t="s">
        <v>15725</v>
      </c>
      <c r="BT820" t="str">
        <f>HYPERLINK("https%3A%2F%2Fwww.webofscience.com%2Fwos%2Fwoscc%2Ffull-record%2FWOS:000995321100001","View Full Record in Web of Science")</f>
        <v>View Full Record in Web of Science</v>
      </c>
    </row>
    <row r="821" spans="1:72" x14ac:dyDescent="0.15">
      <c r="A821" t="s">
        <v>72</v>
      </c>
      <c r="B821" t="s">
        <v>15726</v>
      </c>
      <c r="C821" t="s">
        <v>74</v>
      </c>
      <c r="D821" t="s">
        <v>74</v>
      </c>
      <c r="E821" t="s">
        <v>74</v>
      </c>
      <c r="F821" t="s">
        <v>15727</v>
      </c>
      <c r="G821" t="s">
        <v>74</v>
      </c>
      <c r="H821" t="s">
        <v>74</v>
      </c>
      <c r="I821" t="s">
        <v>15728</v>
      </c>
      <c r="J821" t="s">
        <v>15310</v>
      </c>
      <c r="K821" t="s">
        <v>74</v>
      </c>
      <c r="L821" t="s">
        <v>74</v>
      </c>
      <c r="M821" t="s">
        <v>78</v>
      </c>
      <c r="N821" t="s">
        <v>79</v>
      </c>
      <c r="O821" t="s">
        <v>74</v>
      </c>
      <c r="P821" t="s">
        <v>74</v>
      </c>
      <c r="Q821" t="s">
        <v>74</v>
      </c>
      <c r="R821" t="s">
        <v>74</v>
      </c>
      <c r="S821" t="s">
        <v>74</v>
      </c>
      <c r="T821" t="s">
        <v>15729</v>
      </c>
      <c r="U821" t="s">
        <v>15730</v>
      </c>
      <c r="V821" t="s">
        <v>15731</v>
      </c>
      <c r="W821" t="s">
        <v>15732</v>
      </c>
      <c r="X821" t="s">
        <v>15733</v>
      </c>
      <c r="Y821" t="s">
        <v>15734</v>
      </c>
      <c r="Z821" t="s">
        <v>15735</v>
      </c>
      <c r="AA821" t="s">
        <v>74</v>
      </c>
      <c r="AB821" t="s">
        <v>74</v>
      </c>
      <c r="AC821" t="s">
        <v>15736</v>
      </c>
      <c r="AD821" t="s">
        <v>15737</v>
      </c>
      <c r="AE821" t="s">
        <v>15738</v>
      </c>
      <c r="AF821" t="s">
        <v>74</v>
      </c>
      <c r="AG821">
        <v>119</v>
      </c>
      <c r="AH821">
        <v>1</v>
      </c>
      <c r="AI821">
        <v>1</v>
      </c>
      <c r="AJ821">
        <v>2</v>
      </c>
      <c r="AK821">
        <v>4</v>
      </c>
      <c r="AL821" t="s">
        <v>298</v>
      </c>
      <c r="AM821" t="s">
        <v>3791</v>
      </c>
      <c r="AN821" t="s">
        <v>3792</v>
      </c>
      <c r="AO821" t="s">
        <v>15323</v>
      </c>
      <c r="AP821" t="s">
        <v>15324</v>
      </c>
      <c r="AQ821" t="s">
        <v>74</v>
      </c>
      <c r="AR821" t="s">
        <v>15325</v>
      </c>
      <c r="AS821" t="s">
        <v>15326</v>
      </c>
      <c r="AT821" t="s">
        <v>1394</v>
      </c>
      <c r="AU821">
        <v>2023</v>
      </c>
      <c r="AV821">
        <v>33</v>
      </c>
      <c r="AW821">
        <v>4</v>
      </c>
      <c r="AX821" t="s">
        <v>74</v>
      </c>
      <c r="AY821" t="s">
        <v>74</v>
      </c>
      <c r="AZ821" t="s">
        <v>74</v>
      </c>
      <c r="BA821" t="s">
        <v>74</v>
      </c>
      <c r="BB821">
        <v>1443</v>
      </c>
      <c r="BC821">
        <v>1464</v>
      </c>
      <c r="BD821" t="s">
        <v>74</v>
      </c>
      <c r="BE821" t="s">
        <v>15739</v>
      </c>
      <c r="BF821" t="str">
        <f>HYPERLINK("http://dx.doi.org/10.1007/s11160-023-09786-3","http://dx.doi.org/10.1007/s11160-023-09786-3")</f>
        <v>http://dx.doi.org/10.1007/s11160-023-09786-3</v>
      </c>
      <c r="BG821" t="s">
        <v>74</v>
      </c>
      <c r="BH821" t="s">
        <v>15114</v>
      </c>
      <c r="BI821">
        <v>22</v>
      </c>
      <c r="BJ821" t="s">
        <v>1757</v>
      </c>
      <c r="BK821" t="s">
        <v>104</v>
      </c>
      <c r="BL821" t="s">
        <v>1757</v>
      </c>
      <c r="BM821" t="s">
        <v>15328</v>
      </c>
      <c r="BN821" t="s">
        <v>74</v>
      </c>
      <c r="BO821" t="s">
        <v>936</v>
      </c>
      <c r="BP821" t="s">
        <v>74</v>
      </c>
      <c r="BQ821" t="s">
        <v>74</v>
      </c>
      <c r="BR821" t="s">
        <v>107</v>
      </c>
      <c r="BS821" t="s">
        <v>15740</v>
      </c>
      <c r="BT821" t="str">
        <f>HYPERLINK("https%3A%2F%2Fwww.webofscience.com%2Fwos%2Fwoscc%2Ffull-record%2FWOS:000995328000002","View Full Record in Web of Science")</f>
        <v>View Full Record in Web of Science</v>
      </c>
    </row>
    <row r="822" spans="1:72" x14ac:dyDescent="0.15">
      <c r="A822" t="s">
        <v>72</v>
      </c>
      <c r="B822" t="s">
        <v>15741</v>
      </c>
      <c r="C822" t="s">
        <v>74</v>
      </c>
      <c r="D822" t="s">
        <v>74</v>
      </c>
      <c r="E822" t="s">
        <v>74</v>
      </c>
      <c r="F822" t="s">
        <v>15742</v>
      </c>
      <c r="G822" t="s">
        <v>74</v>
      </c>
      <c r="H822" t="s">
        <v>74</v>
      </c>
      <c r="I822" t="s">
        <v>15743</v>
      </c>
      <c r="J822" t="s">
        <v>912</v>
      </c>
      <c r="K822" t="s">
        <v>74</v>
      </c>
      <c r="L822" t="s">
        <v>74</v>
      </c>
      <c r="M822" t="s">
        <v>78</v>
      </c>
      <c r="N822" t="s">
        <v>79</v>
      </c>
      <c r="O822" t="s">
        <v>74</v>
      </c>
      <c r="P822" t="s">
        <v>74</v>
      </c>
      <c r="Q822" t="s">
        <v>74</v>
      </c>
      <c r="R822" t="s">
        <v>74</v>
      </c>
      <c r="S822" t="s">
        <v>74</v>
      </c>
      <c r="T822" t="s">
        <v>15744</v>
      </c>
      <c r="U822" t="s">
        <v>15745</v>
      </c>
      <c r="V822" t="s">
        <v>15746</v>
      </c>
      <c r="W822" t="s">
        <v>15747</v>
      </c>
      <c r="X822" t="s">
        <v>15748</v>
      </c>
      <c r="Y822" t="s">
        <v>15749</v>
      </c>
      <c r="Z822" t="s">
        <v>15750</v>
      </c>
      <c r="AA822" t="s">
        <v>74</v>
      </c>
      <c r="AB822" t="s">
        <v>74</v>
      </c>
      <c r="AC822" t="s">
        <v>15751</v>
      </c>
      <c r="AD822" t="s">
        <v>15752</v>
      </c>
      <c r="AE822" t="s">
        <v>15753</v>
      </c>
      <c r="AF822" t="s">
        <v>74</v>
      </c>
      <c r="AG822">
        <v>53</v>
      </c>
      <c r="AH822">
        <v>0</v>
      </c>
      <c r="AI822">
        <v>0</v>
      </c>
      <c r="AJ822">
        <v>7</v>
      </c>
      <c r="AK822">
        <v>13</v>
      </c>
      <c r="AL822" t="s">
        <v>924</v>
      </c>
      <c r="AM822" t="s">
        <v>299</v>
      </c>
      <c r="AN822" t="s">
        <v>925</v>
      </c>
      <c r="AO822" t="s">
        <v>926</v>
      </c>
      <c r="AP822" t="s">
        <v>927</v>
      </c>
      <c r="AQ822" t="s">
        <v>74</v>
      </c>
      <c r="AR822" t="s">
        <v>928</v>
      </c>
      <c r="AS822" t="s">
        <v>929</v>
      </c>
      <c r="AT822" t="s">
        <v>3551</v>
      </c>
      <c r="AU822">
        <v>2023</v>
      </c>
      <c r="AV822">
        <v>294</v>
      </c>
      <c r="AW822" t="s">
        <v>74</v>
      </c>
      <c r="AX822" t="s">
        <v>74</v>
      </c>
      <c r="AY822" t="s">
        <v>74</v>
      </c>
      <c r="AZ822" t="s">
        <v>74</v>
      </c>
      <c r="BA822" t="s">
        <v>74</v>
      </c>
      <c r="BB822" t="s">
        <v>74</v>
      </c>
      <c r="BC822" t="s">
        <v>74</v>
      </c>
      <c r="BD822">
        <v>113630</v>
      </c>
      <c r="BE822" t="s">
        <v>15754</v>
      </c>
      <c r="BF822" t="str">
        <f>HYPERLINK("http://dx.doi.org/10.1016/j.rse.2023.113630","http://dx.doi.org/10.1016/j.rse.2023.113630")</f>
        <v>http://dx.doi.org/10.1016/j.rse.2023.113630</v>
      </c>
      <c r="BG822" t="s">
        <v>74</v>
      </c>
      <c r="BH822" t="s">
        <v>15114</v>
      </c>
      <c r="BI822">
        <v>16</v>
      </c>
      <c r="BJ822" t="s">
        <v>933</v>
      </c>
      <c r="BK822" t="s">
        <v>104</v>
      </c>
      <c r="BL822" t="s">
        <v>934</v>
      </c>
      <c r="BM822" t="s">
        <v>15755</v>
      </c>
      <c r="BN822" t="s">
        <v>74</v>
      </c>
      <c r="BO822" t="s">
        <v>1128</v>
      </c>
      <c r="BP822" t="s">
        <v>74</v>
      </c>
      <c r="BQ822" t="s">
        <v>74</v>
      </c>
      <c r="BR822" t="s">
        <v>107</v>
      </c>
      <c r="BS822" t="s">
        <v>15756</v>
      </c>
      <c r="BT822" t="str">
        <f>HYPERLINK("https%3A%2F%2Fwww.webofscience.com%2Fwos%2Fwoscc%2Ffull-record%2FWOS:001010823000001","View Full Record in Web of Science")</f>
        <v>View Full Record in Web of Science</v>
      </c>
    </row>
    <row r="823" spans="1:72" x14ac:dyDescent="0.15">
      <c r="A823" t="s">
        <v>72</v>
      </c>
      <c r="B823" t="s">
        <v>15757</v>
      </c>
      <c r="C823" t="s">
        <v>74</v>
      </c>
      <c r="D823" t="s">
        <v>74</v>
      </c>
      <c r="E823" t="s">
        <v>74</v>
      </c>
      <c r="F823" t="s">
        <v>15758</v>
      </c>
      <c r="G823" t="s">
        <v>74</v>
      </c>
      <c r="H823" t="s">
        <v>74</v>
      </c>
      <c r="I823" t="s">
        <v>15759</v>
      </c>
      <c r="J823" t="s">
        <v>7957</v>
      </c>
      <c r="K823" t="s">
        <v>74</v>
      </c>
      <c r="L823" t="s">
        <v>74</v>
      </c>
      <c r="M823" t="s">
        <v>78</v>
      </c>
      <c r="N823" t="s">
        <v>79</v>
      </c>
      <c r="O823" t="s">
        <v>74</v>
      </c>
      <c r="P823" t="s">
        <v>74</v>
      </c>
      <c r="Q823" t="s">
        <v>74</v>
      </c>
      <c r="R823" t="s">
        <v>74</v>
      </c>
      <c r="S823" t="s">
        <v>74</v>
      </c>
      <c r="T823" t="s">
        <v>15760</v>
      </c>
      <c r="U823" t="s">
        <v>15761</v>
      </c>
      <c r="V823" t="s">
        <v>15762</v>
      </c>
      <c r="W823" t="s">
        <v>15763</v>
      </c>
      <c r="X823" t="s">
        <v>15764</v>
      </c>
      <c r="Y823" t="s">
        <v>15765</v>
      </c>
      <c r="Z823" t="s">
        <v>15766</v>
      </c>
      <c r="AA823" t="s">
        <v>15767</v>
      </c>
      <c r="AB823" t="s">
        <v>15768</v>
      </c>
      <c r="AC823" t="s">
        <v>15769</v>
      </c>
      <c r="AD823" t="s">
        <v>15770</v>
      </c>
      <c r="AE823" t="s">
        <v>15771</v>
      </c>
      <c r="AF823" t="s">
        <v>74</v>
      </c>
      <c r="AG823">
        <v>85</v>
      </c>
      <c r="AH823">
        <v>3</v>
      </c>
      <c r="AI823">
        <v>3</v>
      </c>
      <c r="AJ823">
        <v>2</v>
      </c>
      <c r="AK823">
        <v>3</v>
      </c>
      <c r="AL823" t="s">
        <v>1803</v>
      </c>
      <c r="AM823" t="s">
        <v>1804</v>
      </c>
      <c r="AN823" t="s">
        <v>1805</v>
      </c>
      <c r="AO823" t="s">
        <v>7967</v>
      </c>
      <c r="AP823" t="s">
        <v>7968</v>
      </c>
      <c r="AQ823" t="s">
        <v>74</v>
      </c>
      <c r="AR823" t="s">
        <v>7969</v>
      </c>
      <c r="AS823" t="s">
        <v>7970</v>
      </c>
      <c r="AT823" t="s">
        <v>1810</v>
      </c>
      <c r="AU823">
        <v>2023</v>
      </c>
      <c r="AV823">
        <v>69</v>
      </c>
      <c r="AW823">
        <v>277</v>
      </c>
      <c r="AX823" t="s">
        <v>74</v>
      </c>
      <c r="AY823" t="s">
        <v>74</v>
      </c>
      <c r="AZ823" t="s">
        <v>74</v>
      </c>
      <c r="BA823" t="s">
        <v>74</v>
      </c>
      <c r="BB823">
        <v>1419</v>
      </c>
      <c r="BC823">
        <v>1433</v>
      </c>
      <c r="BD823" t="s">
        <v>15772</v>
      </c>
      <c r="BE823" t="s">
        <v>15773</v>
      </c>
      <c r="BF823" t="str">
        <f>HYPERLINK("http://dx.doi.org/10.1017/jog.2023.30","http://dx.doi.org/10.1017/jog.2023.30")</f>
        <v>http://dx.doi.org/10.1017/jog.2023.30</v>
      </c>
      <c r="BG823" t="s">
        <v>74</v>
      </c>
      <c r="BH823" t="s">
        <v>15114</v>
      </c>
      <c r="BI823">
        <v>15</v>
      </c>
      <c r="BJ823" t="s">
        <v>1783</v>
      </c>
      <c r="BK823" t="s">
        <v>104</v>
      </c>
      <c r="BL823" t="s">
        <v>1784</v>
      </c>
      <c r="BM823" t="s">
        <v>14708</v>
      </c>
      <c r="BN823" t="s">
        <v>74</v>
      </c>
      <c r="BO823" t="s">
        <v>7265</v>
      </c>
      <c r="BP823" t="s">
        <v>74</v>
      </c>
      <c r="BQ823" t="s">
        <v>74</v>
      </c>
      <c r="BR823" t="s">
        <v>107</v>
      </c>
      <c r="BS823" t="s">
        <v>15774</v>
      </c>
      <c r="BT823" t="str">
        <f>HYPERLINK("https%3A%2F%2Fwww.webofscience.com%2Fwos%2Fwoscc%2Ffull-record%2FWOS:001007714000001","View Full Record in Web of Science")</f>
        <v>View Full Record in Web of Science</v>
      </c>
    </row>
    <row r="824" spans="1:72" x14ac:dyDescent="0.15">
      <c r="A824" t="s">
        <v>72</v>
      </c>
      <c r="B824" t="s">
        <v>15775</v>
      </c>
      <c r="C824" t="s">
        <v>74</v>
      </c>
      <c r="D824" t="s">
        <v>74</v>
      </c>
      <c r="E824" t="s">
        <v>74</v>
      </c>
      <c r="F824" t="s">
        <v>15776</v>
      </c>
      <c r="G824" t="s">
        <v>74</v>
      </c>
      <c r="H824" t="s">
        <v>74</v>
      </c>
      <c r="I824" t="s">
        <v>15777</v>
      </c>
      <c r="J824" t="s">
        <v>3107</v>
      </c>
      <c r="K824" t="s">
        <v>74</v>
      </c>
      <c r="L824" t="s">
        <v>74</v>
      </c>
      <c r="M824" t="s">
        <v>78</v>
      </c>
      <c r="N824" t="s">
        <v>79</v>
      </c>
      <c r="O824" t="s">
        <v>74</v>
      </c>
      <c r="P824" t="s">
        <v>74</v>
      </c>
      <c r="Q824" t="s">
        <v>74</v>
      </c>
      <c r="R824" t="s">
        <v>74</v>
      </c>
      <c r="S824" t="s">
        <v>74</v>
      </c>
      <c r="T824" t="s">
        <v>74</v>
      </c>
      <c r="U824" t="s">
        <v>15778</v>
      </c>
      <c r="V824" t="s">
        <v>15779</v>
      </c>
      <c r="W824" t="s">
        <v>15780</v>
      </c>
      <c r="X824" t="s">
        <v>15781</v>
      </c>
      <c r="Y824" t="s">
        <v>15782</v>
      </c>
      <c r="Z824" t="s">
        <v>15783</v>
      </c>
      <c r="AA824" t="s">
        <v>15784</v>
      </c>
      <c r="AB824" t="s">
        <v>15785</v>
      </c>
      <c r="AC824" t="s">
        <v>15786</v>
      </c>
      <c r="AD824" t="s">
        <v>15787</v>
      </c>
      <c r="AE824" t="s">
        <v>15788</v>
      </c>
      <c r="AF824" t="s">
        <v>74</v>
      </c>
      <c r="AG824">
        <v>57</v>
      </c>
      <c r="AH824">
        <v>0</v>
      </c>
      <c r="AI824">
        <v>0</v>
      </c>
      <c r="AJ824">
        <v>0</v>
      </c>
      <c r="AK824">
        <v>3</v>
      </c>
      <c r="AL824" t="s">
        <v>460</v>
      </c>
      <c r="AM824" t="s">
        <v>461</v>
      </c>
      <c r="AN824" t="s">
        <v>462</v>
      </c>
      <c r="AO824" t="s">
        <v>3119</v>
      </c>
      <c r="AP824" t="s">
        <v>3120</v>
      </c>
      <c r="AQ824" t="s">
        <v>74</v>
      </c>
      <c r="AR824" t="s">
        <v>3121</v>
      </c>
      <c r="AS824" t="s">
        <v>3122</v>
      </c>
      <c r="AT824" t="s">
        <v>8990</v>
      </c>
      <c r="AU824">
        <v>2023</v>
      </c>
      <c r="AV824">
        <v>58</v>
      </c>
      <c r="AW824">
        <v>6</v>
      </c>
      <c r="AX824" t="s">
        <v>74</v>
      </c>
      <c r="AY824" t="s">
        <v>74</v>
      </c>
      <c r="AZ824" t="s">
        <v>74</v>
      </c>
      <c r="BA824" t="s">
        <v>74</v>
      </c>
      <c r="BB824">
        <v>815</v>
      </c>
      <c r="BC824">
        <v>833</v>
      </c>
      <c r="BD824" t="s">
        <v>74</v>
      </c>
      <c r="BE824" t="s">
        <v>15789</v>
      </c>
      <c r="BF824" t="str">
        <f>HYPERLINK("http://dx.doi.org/10.1111/maps.13991","http://dx.doi.org/10.1111/maps.13991")</f>
        <v>http://dx.doi.org/10.1111/maps.13991</v>
      </c>
      <c r="BG824" t="s">
        <v>74</v>
      </c>
      <c r="BH824" t="s">
        <v>15114</v>
      </c>
      <c r="BI824">
        <v>19</v>
      </c>
      <c r="BJ824" t="s">
        <v>597</v>
      </c>
      <c r="BK824" t="s">
        <v>104</v>
      </c>
      <c r="BL824" t="s">
        <v>597</v>
      </c>
      <c r="BM824" t="s">
        <v>15790</v>
      </c>
      <c r="BN824" t="s">
        <v>74</v>
      </c>
      <c r="BO824" t="s">
        <v>74</v>
      </c>
      <c r="BP824" t="s">
        <v>74</v>
      </c>
      <c r="BQ824" t="s">
        <v>74</v>
      </c>
      <c r="BR824" t="s">
        <v>107</v>
      </c>
      <c r="BS824" t="s">
        <v>15791</v>
      </c>
      <c r="BT824" t="str">
        <f>HYPERLINK("https%3A%2F%2Fwww.webofscience.com%2Fwos%2Fwoscc%2Ffull-record%2FWOS:000994561700001","View Full Record in Web of Science")</f>
        <v>View Full Record in Web of Science</v>
      </c>
    </row>
    <row r="825" spans="1:72" x14ac:dyDescent="0.15">
      <c r="A825" t="s">
        <v>72</v>
      </c>
      <c r="B825" t="s">
        <v>15792</v>
      </c>
      <c r="C825" t="s">
        <v>74</v>
      </c>
      <c r="D825" t="s">
        <v>74</v>
      </c>
      <c r="E825" t="s">
        <v>74</v>
      </c>
      <c r="F825" t="s">
        <v>15793</v>
      </c>
      <c r="G825" t="s">
        <v>74</v>
      </c>
      <c r="H825" t="s">
        <v>74</v>
      </c>
      <c r="I825" t="s">
        <v>15794</v>
      </c>
      <c r="J825" t="s">
        <v>2353</v>
      </c>
      <c r="K825" t="s">
        <v>74</v>
      </c>
      <c r="L825" t="s">
        <v>74</v>
      </c>
      <c r="M825" t="s">
        <v>78</v>
      </c>
      <c r="N825" t="s">
        <v>869</v>
      </c>
      <c r="O825" t="s">
        <v>74</v>
      </c>
      <c r="P825" t="s">
        <v>74</v>
      </c>
      <c r="Q825" t="s">
        <v>74</v>
      </c>
      <c r="R825" t="s">
        <v>74</v>
      </c>
      <c r="S825" t="s">
        <v>74</v>
      </c>
      <c r="T825" t="s">
        <v>74</v>
      </c>
      <c r="U825" t="s">
        <v>74</v>
      </c>
      <c r="V825" t="s">
        <v>15795</v>
      </c>
      <c r="W825" t="s">
        <v>15796</v>
      </c>
      <c r="X825" t="s">
        <v>15797</v>
      </c>
      <c r="Y825" t="s">
        <v>15798</v>
      </c>
      <c r="Z825" t="s">
        <v>15799</v>
      </c>
      <c r="AA825" t="s">
        <v>74</v>
      </c>
      <c r="AB825" t="s">
        <v>15800</v>
      </c>
      <c r="AC825" t="s">
        <v>74</v>
      </c>
      <c r="AD825" t="s">
        <v>74</v>
      </c>
      <c r="AE825" t="s">
        <v>74</v>
      </c>
      <c r="AF825" t="s">
        <v>74</v>
      </c>
      <c r="AG825">
        <v>12</v>
      </c>
      <c r="AH825">
        <v>0</v>
      </c>
      <c r="AI825">
        <v>0</v>
      </c>
      <c r="AJ825">
        <v>1</v>
      </c>
      <c r="AK825">
        <v>4</v>
      </c>
      <c r="AL825" t="s">
        <v>146</v>
      </c>
      <c r="AM825" t="s">
        <v>147</v>
      </c>
      <c r="AN825" t="s">
        <v>148</v>
      </c>
      <c r="AO825" t="s">
        <v>2365</v>
      </c>
      <c r="AP825" t="s">
        <v>2366</v>
      </c>
      <c r="AQ825" t="s">
        <v>74</v>
      </c>
      <c r="AR825" t="s">
        <v>2367</v>
      </c>
      <c r="AS825" t="s">
        <v>2368</v>
      </c>
      <c r="AT825" t="s">
        <v>8990</v>
      </c>
      <c r="AU825">
        <v>2023</v>
      </c>
      <c r="AV825">
        <v>13</v>
      </c>
      <c r="AW825">
        <v>6</v>
      </c>
      <c r="AX825" t="s">
        <v>74</v>
      </c>
      <c r="AY825" t="s">
        <v>74</v>
      </c>
      <c r="AZ825" t="s">
        <v>74</v>
      </c>
      <c r="BA825" t="s">
        <v>74</v>
      </c>
      <c r="BB825">
        <v>507</v>
      </c>
      <c r="BC825">
        <v>508</v>
      </c>
      <c r="BD825" t="s">
        <v>74</v>
      </c>
      <c r="BE825" t="s">
        <v>15801</v>
      </c>
      <c r="BF825" t="str">
        <f>HYPERLINK("http://dx.doi.org/10.1038/s41558-023-01662-z","http://dx.doi.org/10.1038/s41558-023-01662-z")</f>
        <v>http://dx.doi.org/10.1038/s41558-023-01662-z</v>
      </c>
      <c r="BG825" t="s">
        <v>74</v>
      </c>
      <c r="BH825" t="s">
        <v>15114</v>
      </c>
      <c r="BI825">
        <v>2</v>
      </c>
      <c r="BJ825" t="s">
        <v>2371</v>
      </c>
      <c r="BK825" t="s">
        <v>881</v>
      </c>
      <c r="BL825" t="s">
        <v>2372</v>
      </c>
      <c r="BM825" t="s">
        <v>15802</v>
      </c>
      <c r="BN825" t="s">
        <v>74</v>
      </c>
      <c r="BO825" t="s">
        <v>418</v>
      </c>
      <c r="BP825" t="s">
        <v>74</v>
      </c>
      <c r="BQ825" t="s">
        <v>74</v>
      </c>
      <c r="BR825" t="s">
        <v>107</v>
      </c>
      <c r="BS825" t="s">
        <v>15803</v>
      </c>
      <c r="BT825" t="str">
        <f>HYPERLINK("https%3A%2F%2Fwww.webofscience.com%2Fwos%2Fwoscc%2Ffull-record%2FWOS:000995255800003","View Full Record in Web of Science")</f>
        <v>View Full Record in Web of Science</v>
      </c>
    </row>
    <row r="826" spans="1:72" x14ac:dyDescent="0.15">
      <c r="A826" t="s">
        <v>72</v>
      </c>
      <c r="B826" t="s">
        <v>15804</v>
      </c>
      <c r="C826" t="s">
        <v>74</v>
      </c>
      <c r="D826" t="s">
        <v>74</v>
      </c>
      <c r="E826" t="s">
        <v>74</v>
      </c>
      <c r="F826" t="s">
        <v>15805</v>
      </c>
      <c r="G826" t="s">
        <v>74</v>
      </c>
      <c r="H826" t="s">
        <v>74</v>
      </c>
      <c r="I826" t="s">
        <v>15806</v>
      </c>
      <c r="J826" t="s">
        <v>2353</v>
      </c>
      <c r="K826" t="s">
        <v>74</v>
      </c>
      <c r="L826" t="s">
        <v>74</v>
      </c>
      <c r="M826" t="s">
        <v>78</v>
      </c>
      <c r="N826" t="s">
        <v>79</v>
      </c>
      <c r="O826" t="s">
        <v>74</v>
      </c>
      <c r="P826" t="s">
        <v>74</v>
      </c>
      <c r="Q826" t="s">
        <v>74</v>
      </c>
      <c r="R826" t="s">
        <v>74</v>
      </c>
      <c r="S826" t="s">
        <v>74</v>
      </c>
      <c r="T826" t="s">
        <v>74</v>
      </c>
      <c r="U826" t="s">
        <v>15807</v>
      </c>
      <c r="V826" t="s">
        <v>15808</v>
      </c>
      <c r="W826" t="s">
        <v>15809</v>
      </c>
      <c r="X826" t="s">
        <v>15810</v>
      </c>
      <c r="Y826" t="s">
        <v>15811</v>
      </c>
      <c r="Z826" t="s">
        <v>15812</v>
      </c>
      <c r="AA826" t="s">
        <v>15813</v>
      </c>
      <c r="AB826" t="s">
        <v>15814</v>
      </c>
      <c r="AC826" t="s">
        <v>15815</v>
      </c>
      <c r="AD826" t="s">
        <v>15816</v>
      </c>
      <c r="AE826" t="s">
        <v>15817</v>
      </c>
      <c r="AF826" t="s">
        <v>74</v>
      </c>
      <c r="AG826">
        <v>55</v>
      </c>
      <c r="AH826">
        <v>10</v>
      </c>
      <c r="AI826">
        <v>11</v>
      </c>
      <c r="AJ826">
        <v>10</v>
      </c>
      <c r="AK826">
        <v>42</v>
      </c>
      <c r="AL826" t="s">
        <v>146</v>
      </c>
      <c r="AM826" t="s">
        <v>147</v>
      </c>
      <c r="AN826" t="s">
        <v>148</v>
      </c>
      <c r="AO826" t="s">
        <v>2365</v>
      </c>
      <c r="AP826" t="s">
        <v>2366</v>
      </c>
      <c r="AQ826" t="s">
        <v>74</v>
      </c>
      <c r="AR826" t="s">
        <v>2367</v>
      </c>
      <c r="AS826" t="s">
        <v>2368</v>
      </c>
      <c r="AT826" t="s">
        <v>8990</v>
      </c>
      <c r="AU826">
        <v>2023</v>
      </c>
      <c r="AV826">
        <v>13</v>
      </c>
      <c r="AW826">
        <v>6</v>
      </c>
      <c r="AX826" t="s">
        <v>74</v>
      </c>
      <c r="AY826" t="s">
        <v>74</v>
      </c>
      <c r="AZ826" t="s">
        <v>74</v>
      </c>
      <c r="BA826" t="s">
        <v>74</v>
      </c>
      <c r="BB826">
        <v>537</v>
      </c>
      <c r="BC826" t="s">
        <v>153</v>
      </c>
      <c r="BD826" t="s">
        <v>74</v>
      </c>
      <c r="BE826" t="s">
        <v>15818</v>
      </c>
      <c r="BF826" t="str">
        <f>HYPERLINK("http://dx.doi.org/10.1038/s41558-023-01667-8","http://dx.doi.org/10.1038/s41558-023-01667-8")</f>
        <v>http://dx.doi.org/10.1038/s41558-023-01667-8</v>
      </c>
      <c r="BG826" t="s">
        <v>74</v>
      </c>
      <c r="BH826" t="s">
        <v>15114</v>
      </c>
      <c r="BI826">
        <v>20</v>
      </c>
      <c r="BJ826" t="s">
        <v>2371</v>
      </c>
      <c r="BK826" t="s">
        <v>881</v>
      </c>
      <c r="BL826" t="s">
        <v>2372</v>
      </c>
      <c r="BM826" t="s">
        <v>15802</v>
      </c>
      <c r="BN826" t="s">
        <v>74</v>
      </c>
      <c r="BO826" t="s">
        <v>549</v>
      </c>
      <c r="BP826" t="s">
        <v>74</v>
      </c>
      <c r="BQ826" t="s">
        <v>74</v>
      </c>
      <c r="BR826" t="s">
        <v>107</v>
      </c>
      <c r="BS826" t="s">
        <v>15819</v>
      </c>
      <c r="BT826" t="str">
        <f>HYPERLINK("https%3A%2F%2Fwww.webofscience.com%2Fwos%2Fwoscc%2Ffull-record%2FWOS:000995255800005","View Full Record in Web of Science")</f>
        <v>View Full Record in Web of Science</v>
      </c>
    </row>
    <row r="827" spans="1:72" x14ac:dyDescent="0.15">
      <c r="A827" t="s">
        <v>72</v>
      </c>
      <c r="B827" t="s">
        <v>15820</v>
      </c>
      <c r="C827" t="s">
        <v>74</v>
      </c>
      <c r="D827" t="s">
        <v>74</v>
      </c>
      <c r="E827" t="s">
        <v>74</v>
      </c>
      <c r="F827" t="s">
        <v>15821</v>
      </c>
      <c r="G827" t="s">
        <v>74</v>
      </c>
      <c r="H827" t="s">
        <v>74</v>
      </c>
      <c r="I827" t="s">
        <v>15822</v>
      </c>
      <c r="J827" t="s">
        <v>13264</v>
      </c>
      <c r="K827" t="s">
        <v>74</v>
      </c>
      <c r="L827" t="s">
        <v>74</v>
      </c>
      <c r="M827" t="s">
        <v>78</v>
      </c>
      <c r="N827" t="s">
        <v>79</v>
      </c>
      <c r="O827" t="s">
        <v>74</v>
      </c>
      <c r="P827" t="s">
        <v>74</v>
      </c>
      <c r="Q827" t="s">
        <v>74</v>
      </c>
      <c r="R827" t="s">
        <v>74</v>
      </c>
      <c r="S827" t="s">
        <v>74</v>
      </c>
      <c r="T827" t="s">
        <v>15823</v>
      </c>
      <c r="U827" t="s">
        <v>15824</v>
      </c>
      <c r="V827" t="s">
        <v>15825</v>
      </c>
      <c r="W827" t="s">
        <v>15826</v>
      </c>
      <c r="X827" t="s">
        <v>15827</v>
      </c>
      <c r="Y827" t="s">
        <v>15828</v>
      </c>
      <c r="Z827" t="s">
        <v>15829</v>
      </c>
      <c r="AA827" t="s">
        <v>15830</v>
      </c>
      <c r="AB827" t="s">
        <v>15831</v>
      </c>
      <c r="AC827" t="s">
        <v>15832</v>
      </c>
      <c r="AD827" t="s">
        <v>15833</v>
      </c>
      <c r="AE827" t="s">
        <v>15834</v>
      </c>
      <c r="AF827" t="s">
        <v>74</v>
      </c>
      <c r="AG827">
        <v>48</v>
      </c>
      <c r="AH827">
        <v>1</v>
      </c>
      <c r="AI827">
        <v>1</v>
      </c>
      <c r="AJ827">
        <v>1</v>
      </c>
      <c r="AK827">
        <v>2</v>
      </c>
      <c r="AL827" t="s">
        <v>11533</v>
      </c>
      <c r="AM827" t="s">
        <v>589</v>
      </c>
      <c r="AN827" t="s">
        <v>11534</v>
      </c>
      <c r="AO827" t="s">
        <v>13275</v>
      </c>
      <c r="AP827" t="s">
        <v>74</v>
      </c>
      <c r="AQ827" t="s">
        <v>74</v>
      </c>
      <c r="AR827" t="s">
        <v>13276</v>
      </c>
      <c r="AS827" t="s">
        <v>13277</v>
      </c>
      <c r="AT827" t="s">
        <v>8990</v>
      </c>
      <c r="AU827">
        <v>2023</v>
      </c>
      <c r="AV827">
        <v>11</v>
      </c>
      <c r="AW827">
        <v>3</v>
      </c>
      <c r="AX827" t="s">
        <v>74</v>
      </c>
      <c r="AY827" t="s">
        <v>74</v>
      </c>
      <c r="AZ827" t="s">
        <v>74</v>
      </c>
      <c r="BA827" t="s">
        <v>74</v>
      </c>
      <c r="BB827" t="s">
        <v>74</v>
      </c>
      <c r="BC827" t="s">
        <v>74</v>
      </c>
      <c r="BD827" t="s">
        <v>74</v>
      </c>
      <c r="BE827" t="s">
        <v>15835</v>
      </c>
      <c r="BF827" t="str">
        <f>HYPERLINK("http://dx.doi.org/10.1128/spectrum.03302-22","http://dx.doi.org/10.1128/spectrum.03302-22")</f>
        <v>http://dx.doi.org/10.1128/spectrum.03302-22</v>
      </c>
      <c r="BG827" t="s">
        <v>74</v>
      </c>
      <c r="BH827" t="s">
        <v>15114</v>
      </c>
      <c r="BI827">
        <v>14</v>
      </c>
      <c r="BJ827" t="s">
        <v>702</v>
      </c>
      <c r="BK827" t="s">
        <v>104</v>
      </c>
      <c r="BL827" t="s">
        <v>702</v>
      </c>
      <c r="BM827" t="s">
        <v>15836</v>
      </c>
      <c r="BN827">
        <v>37227283</v>
      </c>
      <c r="BO827" t="s">
        <v>821</v>
      </c>
      <c r="BP827" t="s">
        <v>74</v>
      </c>
      <c r="BQ827" t="s">
        <v>74</v>
      </c>
      <c r="BR827" t="s">
        <v>107</v>
      </c>
      <c r="BS827" t="s">
        <v>15837</v>
      </c>
      <c r="BT827" t="str">
        <f>HYPERLINK("https%3A%2F%2Fwww.webofscience.com%2Fwos%2Fwoscc%2Ffull-record%2FWOS:000994548400001","View Full Record in Web of Science")</f>
        <v>View Full Record in Web of Science</v>
      </c>
    </row>
    <row r="828" spans="1:72" x14ac:dyDescent="0.15">
      <c r="A828" t="s">
        <v>72</v>
      </c>
      <c r="B828" t="s">
        <v>15838</v>
      </c>
      <c r="C828" t="s">
        <v>74</v>
      </c>
      <c r="D828" t="s">
        <v>74</v>
      </c>
      <c r="E828" t="s">
        <v>74</v>
      </c>
      <c r="F828" t="s">
        <v>15839</v>
      </c>
      <c r="G828" t="s">
        <v>74</v>
      </c>
      <c r="H828" t="s">
        <v>74</v>
      </c>
      <c r="I828" t="s">
        <v>15840</v>
      </c>
      <c r="J828" t="s">
        <v>15841</v>
      </c>
      <c r="K828" t="s">
        <v>74</v>
      </c>
      <c r="L828" t="s">
        <v>74</v>
      </c>
      <c r="M828" t="s">
        <v>78</v>
      </c>
      <c r="N828" t="s">
        <v>79</v>
      </c>
      <c r="O828" t="s">
        <v>74</v>
      </c>
      <c r="P828" t="s">
        <v>74</v>
      </c>
      <c r="Q828" t="s">
        <v>74</v>
      </c>
      <c r="R828" t="s">
        <v>74</v>
      </c>
      <c r="S828" t="s">
        <v>74</v>
      </c>
      <c r="T828" t="s">
        <v>15842</v>
      </c>
      <c r="U828" t="s">
        <v>15843</v>
      </c>
      <c r="V828" t="s">
        <v>15844</v>
      </c>
      <c r="W828" t="s">
        <v>15845</v>
      </c>
      <c r="X828" t="s">
        <v>15846</v>
      </c>
      <c r="Y828" t="s">
        <v>15847</v>
      </c>
      <c r="Z828" t="s">
        <v>15848</v>
      </c>
      <c r="AA828" t="s">
        <v>74</v>
      </c>
      <c r="AB828" t="s">
        <v>15849</v>
      </c>
      <c r="AC828" t="s">
        <v>15850</v>
      </c>
      <c r="AD828" t="s">
        <v>15851</v>
      </c>
      <c r="AE828" t="s">
        <v>15852</v>
      </c>
      <c r="AF828" t="s">
        <v>74</v>
      </c>
      <c r="AG828">
        <v>86</v>
      </c>
      <c r="AH828">
        <v>1</v>
      </c>
      <c r="AI828">
        <v>1</v>
      </c>
      <c r="AJ828">
        <v>7</v>
      </c>
      <c r="AK828">
        <v>14</v>
      </c>
      <c r="AL828" t="s">
        <v>298</v>
      </c>
      <c r="AM828" t="s">
        <v>3791</v>
      </c>
      <c r="AN828" t="s">
        <v>3792</v>
      </c>
      <c r="AO828" t="s">
        <v>15853</v>
      </c>
      <c r="AP828" t="s">
        <v>15854</v>
      </c>
      <c r="AQ828" t="s">
        <v>74</v>
      </c>
      <c r="AR828" t="s">
        <v>15855</v>
      </c>
      <c r="AS828" t="s">
        <v>15856</v>
      </c>
      <c r="AT828" t="s">
        <v>3612</v>
      </c>
      <c r="AU828">
        <v>2023</v>
      </c>
      <c r="AV828">
        <v>116</v>
      </c>
      <c r="AW828">
        <v>7</v>
      </c>
      <c r="AX828" t="s">
        <v>74</v>
      </c>
      <c r="AY828" t="s">
        <v>74</v>
      </c>
      <c r="AZ828" t="s">
        <v>74</v>
      </c>
      <c r="BA828" t="s">
        <v>74</v>
      </c>
      <c r="BB828">
        <v>721</v>
      </c>
      <c r="BC828">
        <v>738</v>
      </c>
      <c r="BD828" t="s">
        <v>74</v>
      </c>
      <c r="BE828" t="s">
        <v>15857</v>
      </c>
      <c r="BF828" t="str">
        <f>HYPERLINK("http://dx.doi.org/10.1007/s10482-023-01840-1","http://dx.doi.org/10.1007/s10482-023-01840-1")</f>
        <v>http://dx.doi.org/10.1007/s10482-023-01840-1</v>
      </c>
      <c r="BG828" t="s">
        <v>74</v>
      </c>
      <c r="BH828" t="s">
        <v>15114</v>
      </c>
      <c r="BI828">
        <v>18</v>
      </c>
      <c r="BJ828" t="s">
        <v>702</v>
      </c>
      <c r="BK828" t="s">
        <v>104</v>
      </c>
      <c r="BL828" t="s">
        <v>702</v>
      </c>
      <c r="BM828" t="s">
        <v>15858</v>
      </c>
      <c r="BN828">
        <v>37227602</v>
      </c>
      <c r="BO828" t="s">
        <v>74</v>
      </c>
      <c r="BP828" t="s">
        <v>74</v>
      </c>
      <c r="BQ828" t="s">
        <v>74</v>
      </c>
      <c r="BR828" t="s">
        <v>107</v>
      </c>
      <c r="BS828" t="s">
        <v>15859</v>
      </c>
      <c r="BT828" t="str">
        <f>HYPERLINK("https%3A%2F%2Fwww.webofscience.com%2Fwos%2Fwoscc%2Ffull-record%2FWOS:000994744800003","View Full Record in Web of Science")</f>
        <v>View Full Record in Web of Science</v>
      </c>
    </row>
    <row r="829" spans="1:72" x14ac:dyDescent="0.15">
      <c r="A829" t="s">
        <v>72</v>
      </c>
      <c r="B829" t="s">
        <v>15860</v>
      </c>
      <c r="C829" t="s">
        <v>74</v>
      </c>
      <c r="D829" t="s">
        <v>74</v>
      </c>
      <c r="E829" t="s">
        <v>74</v>
      </c>
      <c r="F829" t="s">
        <v>15861</v>
      </c>
      <c r="G829" t="s">
        <v>74</v>
      </c>
      <c r="H829" t="s">
        <v>74</v>
      </c>
      <c r="I829" t="s">
        <v>15862</v>
      </c>
      <c r="J829" t="s">
        <v>15863</v>
      </c>
      <c r="K829" t="s">
        <v>74</v>
      </c>
      <c r="L829" t="s">
        <v>74</v>
      </c>
      <c r="M829" t="s">
        <v>78</v>
      </c>
      <c r="N829" t="s">
        <v>79</v>
      </c>
      <c r="O829" t="s">
        <v>74</v>
      </c>
      <c r="P829" t="s">
        <v>74</v>
      </c>
      <c r="Q829" t="s">
        <v>74</v>
      </c>
      <c r="R829" t="s">
        <v>74</v>
      </c>
      <c r="S829" t="s">
        <v>74</v>
      </c>
      <c r="T829" t="s">
        <v>15864</v>
      </c>
      <c r="U829" t="s">
        <v>15865</v>
      </c>
      <c r="V829" t="s">
        <v>15866</v>
      </c>
      <c r="W829" t="s">
        <v>15867</v>
      </c>
      <c r="X829" t="s">
        <v>1718</v>
      </c>
      <c r="Y829" t="s">
        <v>15868</v>
      </c>
      <c r="Z829" t="s">
        <v>15869</v>
      </c>
      <c r="AA829" t="s">
        <v>8411</v>
      </c>
      <c r="AB829" t="s">
        <v>74</v>
      </c>
      <c r="AC829" t="s">
        <v>15870</v>
      </c>
      <c r="AD829" t="s">
        <v>15871</v>
      </c>
      <c r="AE829" t="s">
        <v>15872</v>
      </c>
      <c r="AF829" t="s">
        <v>74</v>
      </c>
      <c r="AG829">
        <v>40</v>
      </c>
      <c r="AH829">
        <v>3</v>
      </c>
      <c r="AI829">
        <v>3</v>
      </c>
      <c r="AJ829">
        <v>15</v>
      </c>
      <c r="AK829">
        <v>28</v>
      </c>
      <c r="AL829" t="s">
        <v>172</v>
      </c>
      <c r="AM829" t="s">
        <v>173</v>
      </c>
      <c r="AN829" t="s">
        <v>174</v>
      </c>
      <c r="AO829" t="s">
        <v>15873</v>
      </c>
      <c r="AP829" t="s">
        <v>15874</v>
      </c>
      <c r="AQ829" t="s">
        <v>74</v>
      </c>
      <c r="AR829" t="s">
        <v>15875</v>
      </c>
      <c r="AS829" t="s">
        <v>15876</v>
      </c>
      <c r="AT829" t="s">
        <v>8990</v>
      </c>
      <c r="AU829">
        <v>2023</v>
      </c>
      <c r="AV829">
        <v>53</v>
      </c>
      <c r="AW829" t="s">
        <v>74</v>
      </c>
      <c r="AX829" t="s">
        <v>74</v>
      </c>
      <c r="AY829" t="s">
        <v>74</v>
      </c>
      <c r="AZ829" t="s">
        <v>74</v>
      </c>
      <c r="BA829" t="s">
        <v>74</v>
      </c>
      <c r="BB829" t="s">
        <v>74</v>
      </c>
      <c r="BC829" t="s">
        <v>74</v>
      </c>
      <c r="BD829">
        <v>102762</v>
      </c>
      <c r="BE829" t="s">
        <v>15877</v>
      </c>
      <c r="BF829" t="str">
        <f>HYPERLINK("http://dx.doi.org/10.1016/j.fbio.2023.102762","http://dx.doi.org/10.1016/j.fbio.2023.102762")</f>
        <v>http://dx.doi.org/10.1016/j.fbio.2023.102762</v>
      </c>
      <c r="BG829" t="s">
        <v>74</v>
      </c>
      <c r="BH829" t="s">
        <v>15114</v>
      </c>
      <c r="BI829">
        <v>10</v>
      </c>
      <c r="BJ829" t="s">
        <v>13945</v>
      </c>
      <c r="BK829" t="s">
        <v>104</v>
      </c>
      <c r="BL829" t="s">
        <v>13945</v>
      </c>
      <c r="BM829" t="s">
        <v>15878</v>
      </c>
      <c r="BN829" t="s">
        <v>74</v>
      </c>
      <c r="BO829" t="s">
        <v>74</v>
      </c>
      <c r="BP829" t="s">
        <v>74</v>
      </c>
      <c r="BQ829" t="s">
        <v>74</v>
      </c>
      <c r="BR829" t="s">
        <v>107</v>
      </c>
      <c r="BS829" t="s">
        <v>15879</v>
      </c>
      <c r="BT829" t="str">
        <f>HYPERLINK("https%3A%2F%2Fwww.webofscience.com%2Fwos%2Fwoscc%2Ffull-record%2FWOS:001009848400001","View Full Record in Web of Science")</f>
        <v>View Full Record in Web of Science</v>
      </c>
    </row>
    <row r="830" spans="1:72" x14ac:dyDescent="0.15">
      <c r="A830" t="s">
        <v>72</v>
      </c>
      <c r="B830" t="s">
        <v>15880</v>
      </c>
      <c r="C830" t="s">
        <v>74</v>
      </c>
      <c r="D830" t="s">
        <v>74</v>
      </c>
      <c r="E830" t="s">
        <v>74</v>
      </c>
      <c r="F830" t="s">
        <v>15881</v>
      </c>
      <c r="G830" t="s">
        <v>74</v>
      </c>
      <c r="H830" t="s">
        <v>74</v>
      </c>
      <c r="I830" t="s">
        <v>15882</v>
      </c>
      <c r="J830" t="s">
        <v>983</v>
      </c>
      <c r="K830" t="s">
        <v>74</v>
      </c>
      <c r="L830" t="s">
        <v>74</v>
      </c>
      <c r="M830" t="s">
        <v>78</v>
      </c>
      <c r="N830" t="s">
        <v>79</v>
      </c>
      <c r="O830" t="s">
        <v>74</v>
      </c>
      <c r="P830" t="s">
        <v>74</v>
      </c>
      <c r="Q830" t="s">
        <v>74</v>
      </c>
      <c r="R830" t="s">
        <v>74</v>
      </c>
      <c r="S830" t="s">
        <v>74</v>
      </c>
      <c r="T830" t="s">
        <v>15883</v>
      </c>
      <c r="U830" t="s">
        <v>15884</v>
      </c>
      <c r="V830" t="s">
        <v>15885</v>
      </c>
      <c r="W830" t="s">
        <v>15886</v>
      </c>
      <c r="X830" t="s">
        <v>15887</v>
      </c>
      <c r="Y830" t="s">
        <v>15888</v>
      </c>
      <c r="Z830" t="s">
        <v>15889</v>
      </c>
      <c r="AA830" t="s">
        <v>15890</v>
      </c>
      <c r="AB830" t="s">
        <v>15891</v>
      </c>
      <c r="AC830" t="s">
        <v>15892</v>
      </c>
      <c r="AD830" t="s">
        <v>15893</v>
      </c>
      <c r="AE830" t="s">
        <v>15894</v>
      </c>
      <c r="AF830" t="s">
        <v>74</v>
      </c>
      <c r="AG830">
        <v>79</v>
      </c>
      <c r="AH830">
        <v>1</v>
      </c>
      <c r="AI830">
        <v>1</v>
      </c>
      <c r="AJ830">
        <v>5</v>
      </c>
      <c r="AK830">
        <v>11</v>
      </c>
      <c r="AL830" t="s">
        <v>994</v>
      </c>
      <c r="AM830" t="s">
        <v>995</v>
      </c>
      <c r="AN830" t="s">
        <v>996</v>
      </c>
      <c r="AO830" t="s">
        <v>74</v>
      </c>
      <c r="AP830" t="s">
        <v>997</v>
      </c>
      <c r="AQ830" t="s">
        <v>74</v>
      </c>
      <c r="AR830" t="s">
        <v>998</v>
      </c>
      <c r="AS830" t="s">
        <v>999</v>
      </c>
      <c r="AT830" t="s">
        <v>15895</v>
      </c>
      <c r="AU830">
        <v>2023</v>
      </c>
      <c r="AV830">
        <v>10</v>
      </c>
      <c r="AW830" t="s">
        <v>74</v>
      </c>
      <c r="AX830" t="s">
        <v>74</v>
      </c>
      <c r="AY830" t="s">
        <v>74</v>
      </c>
      <c r="AZ830" t="s">
        <v>74</v>
      </c>
      <c r="BA830" t="s">
        <v>74</v>
      </c>
      <c r="BB830" t="s">
        <v>74</v>
      </c>
      <c r="BC830" t="s">
        <v>74</v>
      </c>
      <c r="BD830">
        <v>1192959</v>
      </c>
      <c r="BE830" t="s">
        <v>15896</v>
      </c>
      <c r="BF830" t="str">
        <f>HYPERLINK("http://dx.doi.org/10.3389/fmars.2023.1192959","http://dx.doi.org/10.3389/fmars.2023.1192959")</f>
        <v>http://dx.doi.org/10.3389/fmars.2023.1192959</v>
      </c>
      <c r="BG830" t="s">
        <v>74</v>
      </c>
      <c r="BH830" t="s">
        <v>74</v>
      </c>
      <c r="BI830">
        <v>16</v>
      </c>
      <c r="BJ830" t="s">
        <v>1001</v>
      </c>
      <c r="BK830" t="s">
        <v>104</v>
      </c>
      <c r="BL830" t="s">
        <v>1002</v>
      </c>
      <c r="BM830" t="s">
        <v>15897</v>
      </c>
      <c r="BN830" t="s">
        <v>74</v>
      </c>
      <c r="BO830" t="s">
        <v>206</v>
      </c>
      <c r="BP830" t="s">
        <v>74</v>
      </c>
      <c r="BQ830" t="s">
        <v>74</v>
      </c>
      <c r="BR830" t="s">
        <v>107</v>
      </c>
      <c r="BS830" t="s">
        <v>15898</v>
      </c>
      <c r="BT830" t="str">
        <f>HYPERLINK("https%3A%2F%2Fwww.webofscience.com%2Fwos%2Fwoscc%2Ffull-record%2FWOS:001002654100001","View Full Record in Web of Science")</f>
        <v>View Full Record in Web of Science</v>
      </c>
    </row>
    <row r="831" spans="1:72" x14ac:dyDescent="0.15">
      <c r="A831" t="s">
        <v>72</v>
      </c>
      <c r="B831" t="s">
        <v>15899</v>
      </c>
      <c r="C831" t="s">
        <v>74</v>
      </c>
      <c r="D831" t="s">
        <v>74</v>
      </c>
      <c r="E831" t="s">
        <v>74</v>
      </c>
      <c r="F831" t="s">
        <v>15900</v>
      </c>
      <c r="G831" t="s">
        <v>74</v>
      </c>
      <c r="H831" t="s">
        <v>74</v>
      </c>
      <c r="I831" t="s">
        <v>15901</v>
      </c>
      <c r="J831" t="s">
        <v>15902</v>
      </c>
      <c r="K831" t="s">
        <v>74</v>
      </c>
      <c r="L831" t="s">
        <v>74</v>
      </c>
      <c r="M831" t="s">
        <v>78</v>
      </c>
      <c r="N831" t="s">
        <v>79</v>
      </c>
      <c r="O831" t="s">
        <v>74</v>
      </c>
      <c r="P831" t="s">
        <v>74</v>
      </c>
      <c r="Q831" t="s">
        <v>74</v>
      </c>
      <c r="R831" t="s">
        <v>74</v>
      </c>
      <c r="S831" t="s">
        <v>74</v>
      </c>
      <c r="T831" t="s">
        <v>15903</v>
      </c>
      <c r="U831" t="s">
        <v>15904</v>
      </c>
      <c r="V831" t="s">
        <v>15905</v>
      </c>
      <c r="W831" t="s">
        <v>15906</v>
      </c>
      <c r="X831" t="s">
        <v>15907</v>
      </c>
      <c r="Y831" t="s">
        <v>15908</v>
      </c>
      <c r="Z831" t="s">
        <v>15909</v>
      </c>
      <c r="AA831" t="s">
        <v>74</v>
      </c>
      <c r="AB831" t="s">
        <v>74</v>
      </c>
      <c r="AC831" t="s">
        <v>74</v>
      </c>
      <c r="AD831" t="s">
        <v>74</v>
      </c>
      <c r="AE831" t="s">
        <v>74</v>
      </c>
      <c r="AF831" t="s">
        <v>74</v>
      </c>
      <c r="AG831">
        <v>86</v>
      </c>
      <c r="AH831">
        <v>0</v>
      </c>
      <c r="AI831">
        <v>0</v>
      </c>
      <c r="AJ831">
        <v>1</v>
      </c>
      <c r="AK831">
        <v>2</v>
      </c>
      <c r="AL831" t="s">
        <v>7633</v>
      </c>
      <c r="AM831" t="s">
        <v>2763</v>
      </c>
      <c r="AN831" t="s">
        <v>7634</v>
      </c>
      <c r="AO831" t="s">
        <v>15910</v>
      </c>
      <c r="AP831" t="s">
        <v>15911</v>
      </c>
      <c r="AQ831" t="s">
        <v>74</v>
      </c>
      <c r="AR831" t="s">
        <v>15912</v>
      </c>
      <c r="AS831" t="s">
        <v>15913</v>
      </c>
      <c r="AT831" t="s">
        <v>15914</v>
      </c>
      <c r="AU831">
        <v>2023</v>
      </c>
      <c r="AV831">
        <v>77</v>
      </c>
      <c r="AW831">
        <v>3</v>
      </c>
      <c r="AX831" t="s">
        <v>74</v>
      </c>
      <c r="AY831" t="s">
        <v>74</v>
      </c>
      <c r="AZ831" t="s">
        <v>74</v>
      </c>
      <c r="BA831" t="s">
        <v>74</v>
      </c>
      <c r="BB831">
        <v>299</v>
      </c>
      <c r="BC831">
        <v>316</v>
      </c>
      <c r="BD831" t="s">
        <v>74</v>
      </c>
      <c r="BE831" t="s">
        <v>15915</v>
      </c>
      <c r="BF831" t="str">
        <f>HYPERLINK("http://dx.doi.org/10.1080/10357718.2023.2216139","http://dx.doi.org/10.1080/10357718.2023.2216139")</f>
        <v>http://dx.doi.org/10.1080/10357718.2023.2216139</v>
      </c>
      <c r="BG831" t="s">
        <v>74</v>
      </c>
      <c r="BH831" t="s">
        <v>15114</v>
      </c>
      <c r="BI831">
        <v>18</v>
      </c>
      <c r="BJ831" t="s">
        <v>15916</v>
      </c>
      <c r="BK831" t="s">
        <v>6861</v>
      </c>
      <c r="BL831" t="s">
        <v>15916</v>
      </c>
      <c r="BM831" t="s">
        <v>15917</v>
      </c>
      <c r="BN831" t="s">
        <v>74</v>
      </c>
      <c r="BO831" t="s">
        <v>549</v>
      </c>
      <c r="BP831" t="s">
        <v>74</v>
      </c>
      <c r="BQ831" t="s">
        <v>74</v>
      </c>
      <c r="BR831" t="s">
        <v>107</v>
      </c>
      <c r="BS831" t="s">
        <v>15918</v>
      </c>
      <c r="BT831" t="str">
        <f>HYPERLINK("https%3A%2F%2Fwww.webofscience.com%2Fwos%2Fwoscc%2Ffull-record%2FWOS:000994689200001","View Full Record in Web of Science")</f>
        <v>View Full Record in Web of Science</v>
      </c>
    </row>
    <row r="832" spans="1:72" x14ac:dyDescent="0.15">
      <c r="A832" t="s">
        <v>72</v>
      </c>
      <c r="B832" t="s">
        <v>15919</v>
      </c>
      <c r="C832" t="s">
        <v>74</v>
      </c>
      <c r="D832" t="s">
        <v>74</v>
      </c>
      <c r="E832" t="s">
        <v>74</v>
      </c>
      <c r="F832" t="s">
        <v>15920</v>
      </c>
      <c r="G832" t="s">
        <v>74</v>
      </c>
      <c r="H832" t="s">
        <v>74</v>
      </c>
      <c r="I832" t="s">
        <v>15921</v>
      </c>
      <c r="J832" t="s">
        <v>3756</v>
      </c>
      <c r="K832" t="s">
        <v>74</v>
      </c>
      <c r="L832" t="s">
        <v>74</v>
      </c>
      <c r="M832" t="s">
        <v>78</v>
      </c>
      <c r="N832" t="s">
        <v>79</v>
      </c>
      <c r="O832" t="s">
        <v>74</v>
      </c>
      <c r="P832" t="s">
        <v>74</v>
      </c>
      <c r="Q832" t="s">
        <v>74</v>
      </c>
      <c r="R832" t="s">
        <v>74</v>
      </c>
      <c r="S832" t="s">
        <v>74</v>
      </c>
      <c r="T832" t="s">
        <v>15922</v>
      </c>
      <c r="U832" t="s">
        <v>15923</v>
      </c>
      <c r="V832" t="s">
        <v>15924</v>
      </c>
      <c r="W832" t="s">
        <v>15925</v>
      </c>
      <c r="X832" t="s">
        <v>15926</v>
      </c>
      <c r="Y832" t="s">
        <v>15927</v>
      </c>
      <c r="Z832" t="s">
        <v>15928</v>
      </c>
      <c r="AA832" t="s">
        <v>74</v>
      </c>
      <c r="AB832" t="s">
        <v>74</v>
      </c>
      <c r="AC832" t="s">
        <v>74</v>
      </c>
      <c r="AD832" t="s">
        <v>74</v>
      </c>
      <c r="AE832" t="s">
        <v>74</v>
      </c>
      <c r="AF832" t="s">
        <v>74</v>
      </c>
      <c r="AG832">
        <v>68</v>
      </c>
      <c r="AH832">
        <v>0</v>
      </c>
      <c r="AI832">
        <v>0</v>
      </c>
      <c r="AJ832">
        <v>1</v>
      </c>
      <c r="AK832">
        <v>3</v>
      </c>
      <c r="AL832" t="s">
        <v>298</v>
      </c>
      <c r="AM832" t="s">
        <v>299</v>
      </c>
      <c r="AN832" t="s">
        <v>300</v>
      </c>
      <c r="AO832" t="s">
        <v>3767</v>
      </c>
      <c r="AP832" t="s">
        <v>3768</v>
      </c>
      <c r="AQ832" t="s">
        <v>74</v>
      </c>
      <c r="AR832" t="s">
        <v>3769</v>
      </c>
      <c r="AS832" t="s">
        <v>3770</v>
      </c>
      <c r="AT832" t="s">
        <v>3612</v>
      </c>
      <c r="AU832">
        <v>2023</v>
      </c>
      <c r="AV832">
        <v>46</v>
      </c>
      <c r="AW832">
        <v>7</v>
      </c>
      <c r="AX832" t="s">
        <v>74</v>
      </c>
      <c r="AY832" t="s">
        <v>74</v>
      </c>
      <c r="AZ832" t="s">
        <v>74</v>
      </c>
      <c r="BA832" t="s">
        <v>74</v>
      </c>
      <c r="BB832">
        <v>639</v>
      </c>
      <c r="BC832">
        <v>653</v>
      </c>
      <c r="BD832" t="s">
        <v>74</v>
      </c>
      <c r="BE832" t="s">
        <v>15929</v>
      </c>
      <c r="BF832" t="str">
        <f>HYPERLINK("http://dx.doi.org/10.1007/s00300-023-03153-5","http://dx.doi.org/10.1007/s00300-023-03153-5")</f>
        <v>http://dx.doi.org/10.1007/s00300-023-03153-5</v>
      </c>
      <c r="BG832" t="s">
        <v>74</v>
      </c>
      <c r="BH832" t="s">
        <v>15114</v>
      </c>
      <c r="BI832">
        <v>15</v>
      </c>
      <c r="BJ832" t="s">
        <v>3772</v>
      </c>
      <c r="BK832" t="s">
        <v>104</v>
      </c>
      <c r="BL832" t="s">
        <v>1905</v>
      </c>
      <c r="BM832" t="s">
        <v>13347</v>
      </c>
      <c r="BN832" t="s">
        <v>74</v>
      </c>
      <c r="BO832" t="s">
        <v>74</v>
      </c>
      <c r="BP832" t="s">
        <v>74</v>
      </c>
      <c r="BQ832" t="s">
        <v>74</v>
      </c>
      <c r="BR832" t="s">
        <v>107</v>
      </c>
      <c r="BS832" t="s">
        <v>15930</v>
      </c>
      <c r="BT832" t="str">
        <f>HYPERLINK("https%3A%2F%2Fwww.webofscience.com%2Fwos%2Fwoscc%2Ffull-record%2FWOS:000992756600001","View Full Record in Web of Science")</f>
        <v>View Full Record in Web of Science</v>
      </c>
    </row>
    <row r="833" spans="1:72" x14ac:dyDescent="0.15">
      <c r="A833" t="s">
        <v>72</v>
      </c>
      <c r="B833" t="s">
        <v>15931</v>
      </c>
      <c r="C833" t="s">
        <v>74</v>
      </c>
      <c r="D833" t="s">
        <v>74</v>
      </c>
      <c r="E833" t="s">
        <v>74</v>
      </c>
      <c r="F833" t="s">
        <v>15932</v>
      </c>
      <c r="G833" t="s">
        <v>74</v>
      </c>
      <c r="H833" t="s">
        <v>74</v>
      </c>
      <c r="I833" t="s">
        <v>15933</v>
      </c>
      <c r="J833" t="s">
        <v>2650</v>
      </c>
      <c r="K833" t="s">
        <v>74</v>
      </c>
      <c r="L833" t="s">
        <v>74</v>
      </c>
      <c r="M833" t="s">
        <v>78</v>
      </c>
      <c r="N833" t="s">
        <v>79</v>
      </c>
      <c r="O833" t="s">
        <v>74</v>
      </c>
      <c r="P833" t="s">
        <v>74</v>
      </c>
      <c r="Q833" t="s">
        <v>74</v>
      </c>
      <c r="R833" t="s">
        <v>74</v>
      </c>
      <c r="S833" t="s">
        <v>74</v>
      </c>
      <c r="T833" t="s">
        <v>15934</v>
      </c>
      <c r="U833" t="s">
        <v>15935</v>
      </c>
      <c r="V833" t="s">
        <v>15936</v>
      </c>
      <c r="W833" t="s">
        <v>15937</v>
      </c>
      <c r="X833" t="s">
        <v>15938</v>
      </c>
      <c r="Y833" t="s">
        <v>15939</v>
      </c>
      <c r="Z833" t="s">
        <v>15940</v>
      </c>
      <c r="AA833" t="s">
        <v>15941</v>
      </c>
      <c r="AB833" t="s">
        <v>15942</v>
      </c>
      <c r="AC833" t="s">
        <v>15943</v>
      </c>
      <c r="AD833" t="s">
        <v>15944</v>
      </c>
      <c r="AE833" t="s">
        <v>15945</v>
      </c>
      <c r="AF833" t="s">
        <v>74</v>
      </c>
      <c r="AG833">
        <v>62</v>
      </c>
      <c r="AH833">
        <v>0</v>
      </c>
      <c r="AI833">
        <v>0</v>
      </c>
      <c r="AJ833">
        <v>1</v>
      </c>
      <c r="AK833">
        <v>1</v>
      </c>
      <c r="AL833" t="s">
        <v>172</v>
      </c>
      <c r="AM833" t="s">
        <v>173</v>
      </c>
      <c r="AN833" t="s">
        <v>174</v>
      </c>
      <c r="AO833" t="s">
        <v>2662</v>
      </c>
      <c r="AP833" t="s">
        <v>2663</v>
      </c>
      <c r="AQ833" t="s">
        <v>74</v>
      </c>
      <c r="AR833" t="s">
        <v>2664</v>
      </c>
      <c r="AS833" t="s">
        <v>2665</v>
      </c>
      <c r="AT833" t="s">
        <v>1859</v>
      </c>
      <c r="AU833">
        <v>2024</v>
      </c>
      <c r="AV833">
        <v>241</v>
      </c>
      <c r="AW833" t="s">
        <v>74</v>
      </c>
      <c r="AX833" t="s">
        <v>74</v>
      </c>
      <c r="AY833" t="s">
        <v>74</v>
      </c>
      <c r="AZ833" t="s">
        <v>74</v>
      </c>
      <c r="BA833" t="s">
        <v>74</v>
      </c>
      <c r="BB833" t="s">
        <v>74</v>
      </c>
      <c r="BC833" t="s">
        <v>74</v>
      </c>
      <c r="BD833">
        <v>103909</v>
      </c>
      <c r="BE833" t="s">
        <v>15946</v>
      </c>
      <c r="BF833" t="str">
        <f>HYPERLINK("http://dx.doi.org/10.1016/j.jmarsys.2023.103909","http://dx.doi.org/10.1016/j.jmarsys.2023.103909")</f>
        <v>http://dx.doi.org/10.1016/j.jmarsys.2023.103909</v>
      </c>
      <c r="BG833" t="s">
        <v>74</v>
      </c>
      <c r="BH833" t="s">
        <v>15114</v>
      </c>
      <c r="BI833">
        <v>10</v>
      </c>
      <c r="BJ833" t="s">
        <v>2667</v>
      </c>
      <c r="BK833" t="s">
        <v>104</v>
      </c>
      <c r="BL833" t="s">
        <v>2668</v>
      </c>
      <c r="BM833" t="s">
        <v>15947</v>
      </c>
      <c r="BN833" t="s">
        <v>74</v>
      </c>
      <c r="BO833" t="s">
        <v>74</v>
      </c>
      <c r="BP833" t="s">
        <v>74</v>
      </c>
      <c r="BQ833" t="s">
        <v>74</v>
      </c>
      <c r="BR833" t="s">
        <v>107</v>
      </c>
      <c r="BS833" t="s">
        <v>15948</v>
      </c>
      <c r="BT833" t="str">
        <f>HYPERLINK("https%3A%2F%2Fwww.webofscience.com%2Fwos%2Fwoscc%2Ffull-record%2FWOS:001011072200001","View Full Record in Web of Science")</f>
        <v>View Full Record in Web of Science</v>
      </c>
    </row>
    <row r="834" spans="1:72" x14ac:dyDescent="0.15">
      <c r="A834" t="s">
        <v>72</v>
      </c>
      <c r="B834" t="s">
        <v>15949</v>
      </c>
      <c r="C834" t="s">
        <v>74</v>
      </c>
      <c r="D834" t="s">
        <v>74</v>
      </c>
      <c r="E834" t="s">
        <v>74</v>
      </c>
      <c r="F834" t="s">
        <v>15950</v>
      </c>
      <c r="G834" t="s">
        <v>74</v>
      </c>
      <c r="H834" t="s">
        <v>74</v>
      </c>
      <c r="I834" t="s">
        <v>15951</v>
      </c>
      <c r="J834" t="s">
        <v>3286</v>
      </c>
      <c r="K834" t="s">
        <v>74</v>
      </c>
      <c r="L834" t="s">
        <v>74</v>
      </c>
      <c r="M834" t="s">
        <v>78</v>
      </c>
      <c r="N834" t="s">
        <v>79</v>
      </c>
      <c r="O834" t="s">
        <v>74</v>
      </c>
      <c r="P834" t="s">
        <v>74</v>
      </c>
      <c r="Q834" t="s">
        <v>74</v>
      </c>
      <c r="R834" t="s">
        <v>74</v>
      </c>
      <c r="S834" t="s">
        <v>74</v>
      </c>
      <c r="T834" t="s">
        <v>74</v>
      </c>
      <c r="U834" t="s">
        <v>15952</v>
      </c>
      <c r="V834" t="s">
        <v>15953</v>
      </c>
      <c r="W834" t="s">
        <v>15954</v>
      </c>
      <c r="X834" t="s">
        <v>15955</v>
      </c>
      <c r="Y834" t="s">
        <v>15956</v>
      </c>
      <c r="Z834" t="s">
        <v>15957</v>
      </c>
      <c r="AA834" t="s">
        <v>15958</v>
      </c>
      <c r="AB834" t="s">
        <v>15959</v>
      </c>
      <c r="AC834" t="s">
        <v>15960</v>
      </c>
      <c r="AD834" t="s">
        <v>15961</v>
      </c>
      <c r="AE834" t="s">
        <v>15962</v>
      </c>
      <c r="AF834" t="s">
        <v>74</v>
      </c>
      <c r="AG834">
        <v>147</v>
      </c>
      <c r="AH834">
        <v>4</v>
      </c>
      <c r="AI834">
        <v>5</v>
      </c>
      <c r="AJ834">
        <v>6</v>
      </c>
      <c r="AK834">
        <v>15</v>
      </c>
      <c r="AL834" t="s">
        <v>1775</v>
      </c>
      <c r="AM834" t="s">
        <v>1776</v>
      </c>
      <c r="AN834" t="s">
        <v>1777</v>
      </c>
      <c r="AO834" t="s">
        <v>3298</v>
      </c>
      <c r="AP834" t="s">
        <v>3299</v>
      </c>
      <c r="AQ834" t="s">
        <v>74</v>
      </c>
      <c r="AR834" t="s">
        <v>3300</v>
      </c>
      <c r="AS834" t="s">
        <v>3301</v>
      </c>
      <c r="AT834" t="s">
        <v>15963</v>
      </c>
      <c r="AU834">
        <v>2023</v>
      </c>
      <c r="AV834">
        <v>23</v>
      </c>
      <c r="AW834">
        <v>10</v>
      </c>
      <c r="AX834" t="s">
        <v>74</v>
      </c>
      <c r="AY834" t="s">
        <v>74</v>
      </c>
      <c r="AZ834" t="s">
        <v>74</v>
      </c>
      <c r="BA834" t="s">
        <v>74</v>
      </c>
      <c r="BB834">
        <v>5735</v>
      </c>
      <c r="BC834">
        <v>5762</v>
      </c>
      <c r="BD834" t="s">
        <v>74</v>
      </c>
      <c r="BE834" t="s">
        <v>15964</v>
      </c>
      <c r="BF834" t="str">
        <f>HYPERLINK("http://dx.doi.org/10.5194/acp-23-5735-2023","http://dx.doi.org/10.5194/acp-23-5735-2023")</f>
        <v>http://dx.doi.org/10.5194/acp-23-5735-2023</v>
      </c>
      <c r="BG834" t="s">
        <v>74</v>
      </c>
      <c r="BH834" t="s">
        <v>74</v>
      </c>
      <c r="BI834">
        <v>28</v>
      </c>
      <c r="BJ834" t="s">
        <v>3303</v>
      </c>
      <c r="BK834" t="s">
        <v>104</v>
      </c>
      <c r="BL834" t="s">
        <v>2372</v>
      </c>
      <c r="BM834" t="s">
        <v>15965</v>
      </c>
      <c r="BN834" t="s">
        <v>74</v>
      </c>
      <c r="BO834" t="s">
        <v>3243</v>
      </c>
      <c r="BP834" t="s">
        <v>74</v>
      </c>
      <c r="BQ834" t="s">
        <v>74</v>
      </c>
      <c r="BR834" t="s">
        <v>107</v>
      </c>
      <c r="BS834" t="s">
        <v>15966</v>
      </c>
      <c r="BT834" t="str">
        <f>HYPERLINK("https%3A%2F%2Fwww.webofscience.com%2Fwos%2Fwoscc%2Ffull-record%2FWOS:000993739900001","View Full Record in Web of Science")</f>
        <v>View Full Record in Web of Science</v>
      </c>
    </row>
    <row r="835" spans="1:72" x14ac:dyDescent="0.15">
      <c r="A835" t="s">
        <v>72</v>
      </c>
      <c r="B835" t="s">
        <v>15967</v>
      </c>
      <c r="C835" t="s">
        <v>74</v>
      </c>
      <c r="D835" t="s">
        <v>74</v>
      </c>
      <c r="E835" t="s">
        <v>74</v>
      </c>
      <c r="F835" t="s">
        <v>15968</v>
      </c>
      <c r="G835" t="s">
        <v>74</v>
      </c>
      <c r="H835" t="s">
        <v>74</v>
      </c>
      <c r="I835" t="s">
        <v>15969</v>
      </c>
      <c r="J835" t="s">
        <v>15970</v>
      </c>
      <c r="K835" t="s">
        <v>74</v>
      </c>
      <c r="L835" t="s">
        <v>74</v>
      </c>
      <c r="M835" t="s">
        <v>78</v>
      </c>
      <c r="N835" t="s">
        <v>79</v>
      </c>
      <c r="O835" t="s">
        <v>74</v>
      </c>
      <c r="P835" t="s">
        <v>74</v>
      </c>
      <c r="Q835" t="s">
        <v>74</v>
      </c>
      <c r="R835" t="s">
        <v>74</v>
      </c>
      <c r="S835" t="s">
        <v>74</v>
      </c>
      <c r="T835" t="s">
        <v>15971</v>
      </c>
      <c r="U835" t="s">
        <v>15972</v>
      </c>
      <c r="V835" t="s">
        <v>15973</v>
      </c>
      <c r="W835" t="s">
        <v>15974</v>
      </c>
      <c r="X835" t="s">
        <v>15975</v>
      </c>
      <c r="Y835" t="s">
        <v>15976</v>
      </c>
      <c r="Z835" t="s">
        <v>15977</v>
      </c>
      <c r="AA835" t="s">
        <v>74</v>
      </c>
      <c r="AB835" t="s">
        <v>15978</v>
      </c>
      <c r="AC835" t="s">
        <v>15979</v>
      </c>
      <c r="AD835" t="s">
        <v>15980</v>
      </c>
      <c r="AE835" t="s">
        <v>15981</v>
      </c>
      <c r="AF835" t="s">
        <v>74</v>
      </c>
      <c r="AG835">
        <v>75</v>
      </c>
      <c r="AH835">
        <v>0</v>
      </c>
      <c r="AI835">
        <v>0</v>
      </c>
      <c r="AJ835">
        <v>0</v>
      </c>
      <c r="AK835">
        <v>4</v>
      </c>
      <c r="AL835" t="s">
        <v>460</v>
      </c>
      <c r="AM835" t="s">
        <v>461</v>
      </c>
      <c r="AN835" t="s">
        <v>462</v>
      </c>
      <c r="AO835" t="s">
        <v>15982</v>
      </c>
      <c r="AP835" t="s">
        <v>15983</v>
      </c>
      <c r="AQ835" t="s">
        <v>74</v>
      </c>
      <c r="AR835" t="s">
        <v>15984</v>
      </c>
      <c r="AS835" t="s">
        <v>15985</v>
      </c>
      <c r="AT835" t="s">
        <v>97</v>
      </c>
      <c r="AU835">
        <v>2023</v>
      </c>
      <c r="AV835">
        <v>2023</v>
      </c>
      <c r="AW835" t="s">
        <v>415</v>
      </c>
      <c r="AX835" t="s">
        <v>74</v>
      </c>
      <c r="AY835" t="s">
        <v>74</v>
      </c>
      <c r="AZ835" t="s">
        <v>74</v>
      </c>
      <c r="BA835" t="s">
        <v>74</v>
      </c>
      <c r="BB835" t="s">
        <v>74</v>
      </c>
      <c r="BC835" t="s">
        <v>74</v>
      </c>
      <c r="BD835" t="s">
        <v>15986</v>
      </c>
      <c r="BE835" t="s">
        <v>15987</v>
      </c>
      <c r="BF835" t="str">
        <f>HYPERLINK("http://dx.doi.org/10.1111/jav.03056","http://dx.doi.org/10.1111/jav.03056")</f>
        <v>http://dx.doi.org/10.1111/jav.03056</v>
      </c>
      <c r="BG835" t="s">
        <v>74</v>
      </c>
      <c r="BH835" t="s">
        <v>15114</v>
      </c>
      <c r="BI835">
        <v>12</v>
      </c>
      <c r="BJ835" t="s">
        <v>8227</v>
      </c>
      <c r="BK835" t="s">
        <v>104</v>
      </c>
      <c r="BL835" t="s">
        <v>620</v>
      </c>
      <c r="BM835" t="s">
        <v>15988</v>
      </c>
      <c r="BN835" t="s">
        <v>74</v>
      </c>
      <c r="BO835" t="s">
        <v>206</v>
      </c>
      <c r="BP835" t="s">
        <v>74</v>
      </c>
      <c r="BQ835" t="s">
        <v>74</v>
      </c>
      <c r="BR835" t="s">
        <v>107</v>
      </c>
      <c r="BS835" t="s">
        <v>15989</v>
      </c>
      <c r="BT835" t="str">
        <f>HYPERLINK("https%3A%2F%2Fwww.webofscience.com%2Fwos%2Fwoscc%2Ffull-record%2FWOS:000992495700001","View Full Record in Web of Science")</f>
        <v>View Full Record in Web of Science</v>
      </c>
    </row>
    <row r="836" spans="1:72" x14ac:dyDescent="0.15">
      <c r="A836" t="s">
        <v>72</v>
      </c>
      <c r="B836" t="s">
        <v>15990</v>
      </c>
      <c r="C836" t="s">
        <v>74</v>
      </c>
      <c r="D836" t="s">
        <v>74</v>
      </c>
      <c r="E836" t="s">
        <v>74</v>
      </c>
      <c r="F836" t="s">
        <v>15991</v>
      </c>
      <c r="G836" t="s">
        <v>74</v>
      </c>
      <c r="H836" t="s">
        <v>74</v>
      </c>
      <c r="I836" t="s">
        <v>15992</v>
      </c>
      <c r="J836" t="s">
        <v>15993</v>
      </c>
      <c r="K836" t="s">
        <v>74</v>
      </c>
      <c r="L836" t="s">
        <v>74</v>
      </c>
      <c r="M836" t="s">
        <v>78</v>
      </c>
      <c r="N836" t="s">
        <v>79</v>
      </c>
      <c r="O836" t="s">
        <v>74</v>
      </c>
      <c r="P836" t="s">
        <v>74</v>
      </c>
      <c r="Q836" t="s">
        <v>74</v>
      </c>
      <c r="R836" t="s">
        <v>74</v>
      </c>
      <c r="S836" t="s">
        <v>74</v>
      </c>
      <c r="T836" t="s">
        <v>15994</v>
      </c>
      <c r="U836" t="s">
        <v>15995</v>
      </c>
      <c r="V836" t="s">
        <v>15996</v>
      </c>
      <c r="W836" t="s">
        <v>15997</v>
      </c>
      <c r="X836" t="s">
        <v>15998</v>
      </c>
      <c r="Y836" t="s">
        <v>15999</v>
      </c>
      <c r="Z836" t="s">
        <v>16000</v>
      </c>
      <c r="AA836" t="s">
        <v>16001</v>
      </c>
      <c r="AB836" t="s">
        <v>16002</v>
      </c>
      <c r="AC836" t="s">
        <v>16003</v>
      </c>
      <c r="AD836" t="s">
        <v>16004</v>
      </c>
      <c r="AE836" t="s">
        <v>16005</v>
      </c>
      <c r="AF836" t="s">
        <v>74</v>
      </c>
      <c r="AG836">
        <v>106</v>
      </c>
      <c r="AH836">
        <v>1</v>
      </c>
      <c r="AI836">
        <v>1</v>
      </c>
      <c r="AJ836">
        <v>1</v>
      </c>
      <c r="AK836">
        <v>7</v>
      </c>
      <c r="AL836" t="s">
        <v>11131</v>
      </c>
      <c r="AM836" t="s">
        <v>1138</v>
      </c>
      <c r="AN836" t="s">
        <v>11132</v>
      </c>
      <c r="AO836" t="s">
        <v>16006</v>
      </c>
      <c r="AP836" t="s">
        <v>74</v>
      </c>
      <c r="AQ836" t="s">
        <v>74</v>
      </c>
      <c r="AR836" t="s">
        <v>16007</v>
      </c>
      <c r="AS836" t="s">
        <v>16008</v>
      </c>
      <c r="AT836" t="s">
        <v>1859</v>
      </c>
      <c r="AU836">
        <v>2024</v>
      </c>
      <c r="AV836">
        <v>57</v>
      </c>
      <c r="AW836">
        <v>1</v>
      </c>
      <c r="AX836" t="s">
        <v>74</v>
      </c>
      <c r="AY836" t="s">
        <v>74</v>
      </c>
      <c r="AZ836" t="s">
        <v>74</v>
      </c>
      <c r="BA836" t="s">
        <v>74</v>
      </c>
      <c r="BB836">
        <v>1</v>
      </c>
      <c r="BC836">
        <v>23</v>
      </c>
      <c r="BD836" t="s">
        <v>74</v>
      </c>
      <c r="BE836" t="s">
        <v>16009</v>
      </c>
      <c r="BF836" t="str">
        <f>HYPERLINK("http://dx.doi.org/10.1127/nos/2023/0751","http://dx.doi.org/10.1127/nos/2023/0751")</f>
        <v>http://dx.doi.org/10.1127/nos/2023/0751</v>
      </c>
      <c r="BG836" t="s">
        <v>74</v>
      </c>
      <c r="BH836" t="s">
        <v>15114</v>
      </c>
      <c r="BI836">
        <v>23</v>
      </c>
      <c r="BJ836" t="s">
        <v>156</v>
      </c>
      <c r="BK836" t="s">
        <v>104</v>
      </c>
      <c r="BL836" t="s">
        <v>156</v>
      </c>
      <c r="BM836" t="s">
        <v>16010</v>
      </c>
      <c r="BN836" t="s">
        <v>74</v>
      </c>
      <c r="BO836" t="s">
        <v>1641</v>
      </c>
      <c r="BP836" t="s">
        <v>74</v>
      </c>
      <c r="BQ836" t="s">
        <v>74</v>
      </c>
      <c r="BR836" t="s">
        <v>107</v>
      </c>
      <c r="BS836" t="s">
        <v>16011</v>
      </c>
      <c r="BT836" t="str">
        <f>HYPERLINK("https%3A%2F%2Fwww.webofscience.com%2Fwos%2Fwoscc%2Ffull-record%2FWOS:000988420700001","View Full Record in Web of Science")</f>
        <v>View Full Record in Web of Science</v>
      </c>
    </row>
    <row r="837" spans="1:72" x14ac:dyDescent="0.15">
      <c r="A837" t="s">
        <v>72</v>
      </c>
      <c r="B837" t="s">
        <v>16012</v>
      </c>
      <c r="C837" t="s">
        <v>74</v>
      </c>
      <c r="D837" t="s">
        <v>74</v>
      </c>
      <c r="E837" t="s">
        <v>74</v>
      </c>
      <c r="F837" t="s">
        <v>16013</v>
      </c>
      <c r="G837" t="s">
        <v>74</v>
      </c>
      <c r="H837" t="s">
        <v>74</v>
      </c>
      <c r="I837" t="s">
        <v>16014</v>
      </c>
      <c r="J837" t="s">
        <v>16015</v>
      </c>
      <c r="K837" t="s">
        <v>74</v>
      </c>
      <c r="L837" t="s">
        <v>74</v>
      </c>
      <c r="M837" t="s">
        <v>78</v>
      </c>
      <c r="N837" t="s">
        <v>79</v>
      </c>
      <c r="O837" t="s">
        <v>74</v>
      </c>
      <c r="P837" t="s">
        <v>74</v>
      </c>
      <c r="Q837" t="s">
        <v>74</v>
      </c>
      <c r="R837" t="s">
        <v>74</v>
      </c>
      <c r="S837" t="s">
        <v>74</v>
      </c>
      <c r="T837" t="s">
        <v>16016</v>
      </c>
      <c r="U837" t="s">
        <v>74</v>
      </c>
      <c r="V837" t="s">
        <v>16017</v>
      </c>
      <c r="W837" t="s">
        <v>16018</v>
      </c>
      <c r="X837" t="s">
        <v>16019</v>
      </c>
      <c r="Y837" t="s">
        <v>16020</v>
      </c>
      <c r="Z837" t="s">
        <v>16021</v>
      </c>
      <c r="AA837" t="s">
        <v>16022</v>
      </c>
      <c r="AB837" t="s">
        <v>16023</v>
      </c>
      <c r="AC837" t="s">
        <v>16024</v>
      </c>
      <c r="AD837" t="s">
        <v>16025</v>
      </c>
      <c r="AE837" t="s">
        <v>16026</v>
      </c>
      <c r="AF837" t="s">
        <v>74</v>
      </c>
      <c r="AG837">
        <v>8</v>
      </c>
      <c r="AH837">
        <v>0</v>
      </c>
      <c r="AI837">
        <v>0</v>
      </c>
      <c r="AJ837">
        <v>0</v>
      </c>
      <c r="AK837">
        <v>1</v>
      </c>
      <c r="AL837" t="s">
        <v>16027</v>
      </c>
      <c r="AM837" t="s">
        <v>299</v>
      </c>
      <c r="AN837" t="s">
        <v>16028</v>
      </c>
      <c r="AO837" t="s">
        <v>16029</v>
      </c>
      <c r="AP837" t="s">
        <v>16030</v>
      </c>
      <c r="AQ837" t="s">
        <v>74</v>
      </c>
      <c r="AR837" t="s">
        <v>16031</v>
      </c>
      <c r="AS837" t="s">
        <v>16032</v>
      </c>
      <c r="AT837" t="s">
        <v>8990</v>
      </c>
      <c r="AU837">
        <v>2023</v>
      </c>
      <c r="AV837">
        <v>211</v>
      </c>
      <c r="AW837" t="s">
        <v>16033</v>
      </c>
      <c r="AX837" t="s">
        <v>74</v>
      </c>
      <c r="AY837" t="s">
        <v>74</v>
      </c>
      <c r="AZ837" t="s">
        <v>99</v>
      </c>
      <c r="BA837" t="s">
        <v>74</v>
      </c>
      <c r="BB837">
        <v>366</v>
      </c>
      <c r="BC837">
        <v>374</v>
      </c>
      <c r="BD837" t="s">
        <v>74</v>
      </c>
      <c r="BE837" t="s">
        <v>16034</v>
      </c>
      <c r="BF837" t="str">
        <f>HYPERLINK("http://dx.doi.org/10.1007/s10909-023-02967-1","http://dx.doi.org/10.1007/s10909-023-02967-1")</f>
        <v>http://dx.doi.org/10.1007/s10909-023-02967-1</v>
      </c>
      <c r="BG837" t="s">
        <v>74</v>
      </c>
      <c r="BH837" t="s">
        <v>15114</v>
      </c>
      <c r="BI837">
        <v>9</v>
      </c>
      <c r="BJ837" t="s">
        <v>16035</v>
      </c>
      <c r="BK837" t="s">
        <v>104</v>
      </c>
      <c r="BL837" t="s">
        <v>7779</v>
      </c>
      <c r="BM837" t="s">
        <v>16036</v>
      </c>
      <c r="BN837" t="s">
        <v>74</v>
      </c>
      <c r="BO837" t="s">
        <v>418</v>
      </c>
      <c r="BP837" t="s">
        <v>74</v>
      </c>
      <c r="BQ837" t="s">
        <v>74</v>
      </c>
      <c r="BR837" t="s">
        <v>107</v>
      </c>
      <c r="BS837" t="s">
        <v>16037</v>
      </c>
      <c r="BT837" t="str">
        <f>HYPERLINK("https%3A%2F%2Fwww.webofscience.com%2Fwos%2Fwoscc%2Ffull-record%2FWOS:000992348500001","View Full Record in Web of Science")</f>
        <v>View Full Record in Web of Science</v>
      </c>
    </row>
    <row r="838" spans="1:72" x14ac:dyDescent="0.15">
      <c r="A838" t="s">
        <v>72</v>
      </c>
      <c r="B838" t="s">
        <v>16038</v>
      </c>
      <c r="C838" t="s">
        <v>74</v>
      </c>
      <c r="D838" t="s">
        <v>74</v>
      </c>
      <c r="E838" t="s">
        <v>74</v>
      </c>
      <c r="F838" t="s">
        <v>16039</v>
      </c>
      <c r="G838" t="s">
        <v>74</v>
      </c>
      <c r="H838" t="s">
        <v>74</v>
      </c>
      <c r="I838" t="s">
        <v>16040</v>
      </c>
      <c r="J838" t="s">
        <v>16041</v>
      </c>
      <c r="K838" t="s">
        <v>74</v>
      </c>
      <c r="L838" t="s">
        <v>74</v>
      </c>
      <c r="M838" t="s">
        <v>78</v>
      </c>
      <c r="N838" t="s">
        <v>79</v>
      </c>
      <c r="O838" t="s">
        <v>74</v>
      </c>
      <c r="P838" t="s">
        <v>74</v>
      </c>
      <c r="Q838" t="s">
        <v>74</v>
      </c>
      <c r="R838" t="s">
        <v>74</v>
      </c>
      <c r="S838" t="s">
        <v>74</v>
      </c>
      <c r="T838" t="s">
        <v>16042</v>
      </c>
      <c r="U838" t="s">
        <v>16043</v>
      </c>
      <c r="V838" t="s">
        <v>16044</v>
      </c>
      <c r="W838" t="s">
        <v>16045</v>
      </c>
      <c r="X838" t="s">
        <v>16046</v>
      </c>
      <c r="Y838" t="s">
        <v>16047</v>
      </c>
      <c r="Z838" t="s">
        <v>16048</v>
      </c>
      <c r="AA838" t="s">
        <v>74</v>
      </c>
      <c r="AB838" t="s">
        <v>16049</v>
      </c>
      <c r="AC838" t="s">
        <v>16050</v>
      </c>
      <c r="AD838" t="s">
        <v>16051</v>
      </c>
      <c r="AE838" t="s">
        <v>16052</v>
      </c>
      <c r="AF838" t="s">
        <v>74</v>
      </c>
      <c r="AG838">
        <v>49</v>
      </c>
      <c r="AH838">
        <v>2</v>
      </c>
      <c r="AI838">
        <v>2</v>
      </c>
      <c r="AJ838">
        <v>3</v>
      </c>
      <c r="AK838">
        <v>10</v>
      </c>
      <c r="AL838" t="s">
        <v>3672</v>
      </c>
      <c r="AM838" t="s">
        <v>538</v>
      </c>
      <c r="AN838" t="s">
        <v>3673</v>
      </c>
      <c r="AO838" t="s">
        <v>16053</v>
      </c>
      <c r="AP838" t="s">
        <v>16054</v>
      </c>
      <c r="AQ838" t="s">
        <v>74</v>
      </c>
      <c r="AR838" t="s">
        <v>16055</v>
      </c>
      <c r="AS838" t="s">
        <v>16056</v>
      </c>
      <c r="AT838" t="s">
        <v>4689</v>
      </c>
      <c r="AU838">
        <v>2023</v>
      </c>
      <c r="AV838">
        <v>264</v>
      </c>
      <c r="AW838" t="s">
        <v>74</v>
      </c>
      <c r="AX838" t="s">
        <v>74</v>
      </c>
      <c r="AY838" t="s">
        <v>74</v>
      </c>
      <c r="AZ838" t="s">
        <v>74</v>
      </c>
      <c r="BA838" t="s">
        <v>74</v>
      </c>
      <c r="BB838" t="s">
        <v>74</v>
      </c>
      <c r="BC838" t="s">
        <v>74</v>
      </c>
      <c r="BD838">
        <v>107206</v>
      </c>
      <c r="BE838" t="s">
        <v>16057</v>
      </c>
      <c r="BF838" t="str">
        <f>HYPERLINK("http://dx.doi.org/10.1016/j.jenvrad.2023.107206","http://dx.doi.org/10.1016/j.jenvrad.2023.107206")</f>
        <v>http://dx.doi.org/10.1016/j.jenvrad.2023.107206</v>
      </c>
      <c r="BG838" t="s">
        <v>74</v>
      </c>
      <c r="BH838" t="s">
        <v>15114</v>
      </c>
      <c r="BI838">
        <v>8</v>
      </c>
      <c r="BJ838" t="s">
        <v>2050</v>
      </c>
      <c r="BK838" t="s">
        <v>104</v>
      </c>
      <c r="BL838" t="s">
        <v>1535</v>
      </c>
      <c r="BM838" t="s">
        <v>16058</v>
      </c>
      <c r="BN838">
        <v>37224721</v>
      </c>
      <c r="BO838" t="s">
        <v>1217</v>
      </c>
      <c r="BP838" t="s">
        <v>74</v>
      </c>
      <c r="BQ838" t="s">
        <v>74</v>
      </c>
      <c r="BR838" t="s">
        <v>107</v>
      </c>
      <c r="BS838" t="s">
        <v>16059</v>
      </c>
      <c r="BT838" t="str">
        <f>HYPERLINK("https%3A%2F%2Fwww.webofscience.com%2Fwos%2Fwoscc%2Ffull-record%2FWOS:001011969800001","View Full Record in Web of Science")</f>
        <v>View Full Record in Web of Science</v>
      </c>
    </row>
    <row r="839" spans="1:72" x14ac:dyDescent="0.15">
      <c r="A839" t="s">
        <v>72</v>
      </c>
      <c r="B839" t="s">
        <v>16060</v>
      </c>
      <c r="C839" t="s">
        <v>74</v>
      </c>
      <c r="D839" t="s">
        <v>74</v>
      </c>
      <c r="E839" t="s">
        <v>74</v>
      </c>
      <c r="F839" t="s">
        <v>16061</v>
      </c>
      <c r="G839" t="s">
        <v>74</v>
      </c>
      <c r="H839" t="s">
        <v>74</v>
      </c>
      <c r="I839" t="s">
        <v>16062</v>
      </c>
      <c r="J839" t="s">
        <v>4187</v>
      </c>
      <c r="K839" t="s">
        <v>74</v>
      </c>
      <c r="L839" t="s">
        <v>74</v>
      </c>
      <c r="M839" t="s">
        <v>78</v>
      </c>
      <c r="N839" t="s">
        <v>79</v>
      </c>
      <c r="O839" t="s">
        <v>74</v>
      </c>
      <c r="P839" t="s">
        <v>74</v>
      </c>
      <c r="Q839" t="s">
        <v>74</v>
      </c>
      <c r="R839" t="s">
        <v>74</v>
      </c>
      <c r="S839" t="s">
        <v>74</v>
      </c>
      <c r="T839" t="s">
        <v>16063</v>
      </c>
      <c r="U839" t="s">
        <v>16064</v>
      </c>
      <c r="V839" t="s">
        <v>16065</v>
      </c>
      <c r="W839" t="s">
        <v>16066</v>
      </c>
      <c r="X839" t="s">
        <v>16067</v>
      </c>
      <c r="Y839" t="s">
        <v>16068</v>
      </c>
      <c r="Z839" t="s">
        <v>16069</v>
      </c>
      <c r="AA839" t="s">
        <v>74</v>
      </c>
      <c r="AB839" t="s">
        <v>74</v>
      </c>
      <c r="AC839" t="s">
        <v>16070</v>
      </c>
      <c r="AD839" t="s">
        <v>1232</v>
      </c>
      <c r="AE839" t="s">
        <v>16071</v>
      </c>
      <c r="AF839" t="s">
        <v>74</v>
      </c>
      <c r="AG839">
        <v>58</v>
      </c>
      <c r="AH839">
        <v>0</v>
      </c>
      <c r="AI839">
        <v>0</v>
      </c>
      <c r="AJ839">
        <v>1</v>
      </c>
      <c r="AK839">
        <v>2</v>
      </c>
      <c r="AL839" t="s">
        <v>172</v>
      </c>
      <c r="AM839" t="s">
        <v>173</v>
      </c>
      <c r="AN839" t="s">
        <v>174</v>
      </c>
      <c r="AO839" t="s">
        <v>4198</v>
      </c>
      <c r="AP839" t="s">
        <v>74</v>
      </c>
      <c r="AQ839" t="s">
        <v>74</v>
      </c>
      <c r="AR839" t="s">
        <v>4199</v>
      </c>
      <c r="AS839" t="s">
        <v>4200</v>
      </c>
      <c r="AT839" t="s">
        <v>3612</v>
      </c>
      <c r="AU839">
        <v>2023</v>
      </c>
      <c r="AV839">
        <v>11</v>
      </c>
      <c r="AW839" t="s">
        <v>74</v>
      </c>
      <c r="AX839" t="s">
        <v>74</v>
      </c>
      <c r="AY839" t="s">
        <v>74</v>
      </c>
      <c r="AZ839" t="s">
        <v>74</v>
      </c>
      <c r="BA839" t="s">
        <v>74</v>
      </c>
      <c r="BB839" t="s">
        <v>74</v>
      </c>
      <c r="BC839" t="s">
        <v>74</v>
      </c>
      <c r="BD839">
        <v>100089</v>
      </c>
      <c r="BE839" t="s">
        <v>16072</v>
      </c>
      <c r="BF839" t="str">
        <f>HYPERLINK("http://dx.doi.org/10.1016/j.qsa.2023.100089","http://dx.doi.org/10.1016/j.qsa.2023.100089")</f>
        <v>http://dx.doi.org/10.1016/j.qsa.2023.100089</v>
      </c>
      <c r="BG839" t="s">
        <v>74</v>
      </c>
      <c r="BH839" t="s">
        <v>15114</v>
      </c>
      <c r="BI839">
        <v>10</v>
      </c>
      <c r="BJ839" t="s">
        <v>1783</v>
      </c>
      <c r="BK839" t="s">
        <v>518</v>
      </c>
      <c r="BL839" t="s">
        <v>1784</v>
      </c>
      <c r="BM839" t="s">
        <v>16073</v>
      </c>
      <c r="BN839" t="s">
        <v>74</v>
      </c>
      <c r="BO839" t="s">
        <v>206</v>
      </c>
      <c r="BP839" t="s">
        <v>74</v>
      </c>
      <c r="BQ839" t="s">
        <v>74</v>
      </c>
      <c r="BR839" t="s">
        <v>107</v>
      </c>
      <c r="BS839" t="s">
        <v>16074</v>
      </c>
      <c r="BT839" t="str">
        <f>HYPERLINK("https%3A%2F%2Fwww.webofscience.com%2Fwos%2Fwoscc%2Ffull-record%2FWOS:001011899300001","View Full Record in Web of Science")</f>
        <v>View Full Record in Web of Science</v>
      </c>
    </row>
    <row r="840" spans="1:72" x14ac:dyDescent="0.15">
      <c r="A840" t="s">
        <v>72</v>
      </c>
      <c r="B840" t="s">
        <v>16075</v>
      </c>
      <c r="C840" t="s">
        <v>74</v>
      </c>
      <c r="D840" t="s">
        <v>74</v>
      </c>
      <c r="E840" t="s">
        <v>74</v>
      </c>
      <c r="F840" t="s">
        <v>16076</v>
      </c>
      <c r="G840" t="s">
        <v>74</v>
      </c>
      <c r="H840" t="s">
        <v>74</v>
      </c>
      <c r="I840" t="s">
        <v>16077</v>
      </c>
      <c r="J840" t="s">
        <v>3286</v>
      </c>
      <c r="K840" t="s">
        <v>74</v>
      </c>
      <c r="L840" t="s">
        <v>74</v>
      </c>
      <c r="M840" t="s">
        <v>78</v>
      </c>
      <c r="N840" t="s">
        <v>79</v>
      </c>
      <c r="O840" t="s">
        <v>74</v>
      </c>
      <c r="P840" t="s">
        <v>74</v>
      </c>
      <c r="Q840" t="s">
        <v>74</v>
      </c>
      <c r="R840" t="s">
        <v>74</v>
      </c>
      <c r="S840" t="s">
        <v>74</v>
      </c>
      <c r="T840" t="s">
        <v>74</v>
      </c>
      <c r="U840" t="s">
        <v>16078</v>
      </c>
      <c r="V840" t="s">
        <v>16079</v>
      </c>
      <c r="W840" t="s">
        <v>16080</v>
      </c>
      <c r="X840" t="s">
        <v>16081</v>
      </c>
      <c r="Y840" t="s">
        <v>16082</v>
      </c>
      <c r="Z840" t="s">
        <v>16083</v>
      </c>
      <c r="AA840" t="s">
        <v>16084</v>
      </c>
      <c r="AB840" t="s">
        <v>16085</v>
      </c>
      <c r="AC840" t="s">
        <v>16086</v>
      </c>
      <c r="AD840" t="s">
        <v>16087</v>
      </c>
      <c r="AE840" t="s">
        <v>16088</v>
      </c>
      <c r="AF840" t="s">
        <v>74</v>
      </c>
      <c r="AG840">
        <v>101</v>
      </c>
      <c r="AH840">
        <v>1</v>
      </c>
      <c r="AI840">
        <v>1</v>
      </c>
      <c r="AJ840">
        <v>11</v>
      </c>
      <c r="AK840">
        <v>19</v>
      </c>
      <c r="AL840" t="s">
        <v>1775</v>
      </c>
      <c r="AM840" t="s">
        <v>1776</v>
      </c>
      <c r="AN840" t="s">
        <v>1777</v>
      </c>
      <c r="AO840" t="s">
        <v>3298</v>
      </c>
      <c r="AP840" t="s">
        <v>3299</v>
      </c>
      <c r="AQ840" t="s">
        <v>74</v>
      </c>
      <c r="AR840" t="s">
        <v>3300</v>
      </c>
      <c r="AS840" t="s">
        <v>3301</v>
      </c>
      <c r="AT840" t="s">
        <v>16089</v>
      </c>
      <c r="AU840">
        <v>2023</v>
      </c>
      <c r="AV840">
        <v>23</v>
      </c>
      <c r="AW840">
        <v>10</v>
      </c>
      <c r="AX840" t="s">
        <v>74</v>
      </c>
      <c r="AY840" t="s">
        <v>74</v>
      </c>
      <c r="AZ840" t="s">
        <v>74</v>
      </c>
      <c r="BA840" t="s">
        <v>74</v>
      </c>
      <c r="BB840">
        <v>5605</v>
      </c>
      <c r="BC840">
        <v>5622</v>
      </c>
      <c r="BD840" t="s">
        <v>74</v>
      </c>
      <c r="BE840" t="s">
        <v>16090</v>
      </c>
      <c r="BF840" t="str">
        <f>HYPERLINK("http://dx.doi.org/10.5194/acp-23-5605-2023","http://dx.doi.org/10.5194/acp-23-5605-2023")</f>
        <v>http://dx.doi.org/10.5194/acp-23-5605-2023</v>
      </c>
      <c r="BG840" t="s">
        <v>74</v>
      </c>
      <c r="BH840" t="s">
        <v>74</v>
      </c>
      <c r="BI840">
        <v>18</v>
      </c>
      <c r="BJ840" t="s">
        <v>3303</v>
      </c>
      <c r="BK840" t="s">
        <v>104</v>
      </c>
      <c r="BL840" t="s">
        <v>2372</v>
      </c>
      <c r="BM840" t="s">
        <v>16091</v>
      </c>
      <c r="BN840" t="s">
        <v>74</v>
      </c>
      <c r="BO840" t="s">
        <v>771</v>
      </c>
      <c r="BP840" t="s">
        <v>74</v>
      </c>
      <c r="BQ840" t="s">
        <v>74</v>
      </c>
      <c r="BR840" t="s">
        <v>107</v>
      </c>
      <c r="BS840" t="s">
        <v>16092</v>
      </c>
      <c r="BT840" t="str">
        <f>HYPERLINK("https%3A%2F%2Fwww.webofscience.com%2Fwos%2Fwoscc%2Ffull-record%2FWOS:000993306100001","View Full Record in Web of Science")</f>
        <v>View Full Record in Web of Science</v>
      </c>
    </row>
    <row r="841" spans="1:72" x14ac:dyDescent="0.15">
      <c r="A841" t="s">
        <v>72</v>
      </c>
      <c r="B841" t="s">
        <v>16093</v>
      </c>
      <c r="C841" t="s">
        <v>74</v>
      </c>
      <c r="D841" t="s">
        <v>74</v>
      </c>
      <c r="E841" t="s">
        <v>74</v>
      </c>
      <c r="F841" t="s">
        <v>16094</v>
      </c>
      <c r="G841" t="s">
        <v>74</v>
      </c>
      <c r="H841" t="s">
        <v>74</v>
      </c>
      <c r="I841" t="s">
        <v>16095</v>
      </c>
      <c r="J841" t="s">
        <v>16096</v>
      </c>
      <c r="K841" t="s">
        <v>74</v>
      </c>
      <c r="L841" t="s">
        <v>74</v>
      </c>
      <c r="M841" t="s">
        <v>78</v>
      </c>
      <c r="N841" t="s">
        <v>79</v>
      </c>
      <c r="O841" t="s">
        <v>74</v>
      </c>
      <c r="P841" t="s">
        <v>74</v>
      </c>
      <c r="Q841" t="s">
        <v>74</v>
      </c>
      <c r="R841" t="s">
        <v>74</v>
      </c>
      <c r="S841" t="s">
        <v>74</v>
      </c>
      <c r="T841" t="s">
        <v>16097</v>
      </c>
      <c r="U841" t="s">
        <v>16098</v>
      </c>
      <c r="V841" t="s">
        <v>16099</v>
      </c>
      <c r="W841" t="s">
        <v>16100</v>
      </c>
      <c r="X841" t="s">
        <v>16101</v>
      </c>
      <c r="Y841" t="s">
        <v>16102</v>
      </c>
      <c r="Z841" t="s">
        <v>16103</v>
      </c>
      <c r="AA841" t="s">
        <v>16104</v>
      </c>
      <c r="AB841" t="s">
        <v>16105</v>
      </c>
      <c r="AC841" t="s">
        <v>16106</v>
      </c>
      <c r="AD841" t="s">
        <v>16107</v>
      </c>
      <c r="AE841" t="s">
        <v>16108</v>
      </c>
      <c r="AF841" t="s">
        <v>74</v>
      </c>
      <c r="AG841">
        <v>108</v>
      </c>
      <c r="AH841">
        <v>3</v>
      </c>
      <c r="AI841">
        <v>3</v>
      </c>
      <c r="AJ841">
        <v>6</v>
      </c>
      <c r="AK841">
        <v>11</v>
      </c>
      <c r="AL841" t="s">
        <v>2305</v>
      </c>
      <c r="AM841" t="s">
        <v>538</v>
      </c>
      <c r="AN841" t="s">
        <v>2306</v>
      </c>
      <c r="AO841" t="s">
        <v>16109</v>
      </c>
      <c r="AP841" t="s">
        <v>16110</v>
      </c>
      <c r="AQ841" t="s">
        <v>74</v>
      </c>
      <c r="AR841" t="s">
        <v>16111</v>
      </c>
      <c r="AS841" t="s">
        <v>16112</v>
      </c>
      <c r="AT841" t="s">
        <v>4689</v>
      </c>
      <c r="AU841">
        <v>2023</v>
      </c>
      <c r="AV841">
        <v>210</v>
      </c>
      <c r="AW841" t="s">
        <v>74</v>
      </c>
      <c r="AX841" t="s">
        <v>74</v>
      </c>
      <c r="AY841" t="s">
        <v>74</v>
      </c>
      <c r="AZ841" t="s">
        <v>74</v>
      </c>
      <c r="BA841" t="s">
        <v>74</v>
      </c>
      <c r="BB841" t="s">
        <v>74</v>
      </c>
      <c r="BC841" t="s">
        <v>74</v>
      </c>
      <c r="BD841">
        <v>105296</v>
      </c>
      <c r="BE841" t="s">
        <v>16113</v>
      </c>
      <c r="BF841" t="str">
        <f>HYPERLINK("http://dx.doi.org/10.1016/j.dsr2.2023.105296","http://dx.doi.org/10.1016/j.dsr2.2023.105296")</f>
        <v>http://dx.doi.org/10.1016/j.dsr2.2023.105296</v>
      </c>
      <c r="BG841" t="s">
        <v>74</v>
      </c>
      <c r="BH841" t="s">
        <v>15114</v>
      </c>
      <c r="BI841">
        <v>15</v>
      </c>
      <c r="BJ841" t="s">
        <v>306</v>
      </c>
      <c r="BK841" t="s">
        <v>104</v>
      </c>
      <c r="BL841" t="s">
        <v>306</v>
      </c>
      <c r="BM841" t="s">
        <v>16114</v>
      </c>
      <c r="BN841" t="s">
        <v>74</v>
      </c>
      <c r="BO841" t="s">
        <v>599</v>
      </c>
      <c r="BP841" t="s">
        <v>74</v>
      </c>
      <c r="BQ841" t="s">
        <v>74</v>
      </c>
      <c r="BR841" t="s">
        <v>107</v>
      </c>
      <c r="BS841" t="s">
        <v>16115</v>
      </c>
      <c r="BT841" t="str">
        <f>HYPERLINK("https%3A%2F%2Fwww.webofscience.com%2Fwos%2Fwoscc%2Ffull-record%2FWOS:001009818200001","View Full Record in Web of Science")</f>
        <v>View Full Record in Web of Science</v>
      </c>
    </row>
    <row r="842" spans="1:72" x14ac:dyDescent="0.15">
      <c r="A842" t="s">
        <v>72</v>
      </c>
      <c r="B842" t="s">
        <v>16116</v>
      </c>
      <c r="C842" t="s">
        <v>74</v>
      </c>
      <c r="D842" t="s">
        <v>74</v>
      </c>
      <c r="E842" t="s">
        <v>74</v>
      </c>
      <c r="F842" t="s">
        <v>16117</v>
      </c>
      <c r="G842" t="s">
        <v>74</v>
      </c>
      <c r="H842" t="s">
        <v>74</v>
      </c>
      <c r="I842" t="s">
        <v>16118</v>
      </c>
      <c r="J842" t="s">
        <v>3286</v>
      </c>
      <c r="K842" t="s">
        <v>74</v>
      </c>
      <c r="L842" t="s">
        <v>74</v>
      </c>
      <c r="M842" t="s">
        <v>78</v>
      </c>
      <c r="N842" t="s">
        <v>79</v>
      </c>
      <c r="O842" t="s">
        <v>74</v>
      </c>
      <c r="P842" t="s">
        <v>74</v>
      </c>
      <c r="Q842" t="s">
        <v>74</v>
      </c>
      <c r="R842" t="s">
        <v>74</v>
      </c>
      <c r="S842" t="s">
        <v>74</v>
      </c>
      <c r="T842" t="s">
        <v>74</v>
      </c>
      <c r="U842" t="s">
        <v>16119</v>
      </c>
      <c r="V842" t="s">
        <v>16120</v>
      </c>
      <c r="W842" t="s">
        <v>16121</v>
      </c>
      <c r="X842" t="s">
        <v>16122</v>
      </c>
      <c r="Y842" t="s">
        <v>16123</v>
      </c>
      <c r="Z842" t="s">
        <v>16124</v>
      </c>
      <c r="AA842" t="s">
        <v>16125</v>
      </c>
      <c r="AB842" t="s">
        <v>16126</v>
      </c>
      <c r="AC842" t="s">
        <v>16127</v>
      </c>
      <c r="AD842" t="s">
        <v>16128</v>
      </c>
      <c r="AE842" t="s">
        <v>16129</v>
      </c>
      <c r="AF842" t="s">
        <v>74</v>
      </c>
      <c r="AG842">
        <v>62</v>
      </c>
      <c r="AH842">
        <v>6</v>
      </c>
      <c r="AI842">
        <v>6</v>
      </c>
      <c r="AJ842">
        <v>29</v>
      </c>
      <c r="AK842">
        <v>46</v>
      </c>
      <c r="AL842" t="s">
        <v>1775</v>
      </c>
      <c r="AM842" t="s">
        <v>1776</v>
      </c>
      <c r="AN842" t="s">
        <v>1777</v>
      </c>
      <c r="AO842" t="s">
        <v>3298</v>
      </c>
      <c r="AP842" t="s">
        <v>3299</v>
      </c>
      <c r="AQ842" t="s">
        <v>74</v>
      </c>
      <c r="AR842" t="s">
        <v>3300</v>
      </c>
      <c r="AS842" t="s">
        <v>3301</v>
      </c>
      <c r="AT842" t="s">
        <v>16089</v>
      </c>
      <c r="AU842">
        <v>2023</v>
      </c>
      <c r="AV842">
        <v>23</v>
      </c>
      <c r="AW842">
        <v>10</v>
      </c>
      <c r="AX842" t="s">
        <v>74</v>
      </c>
      <c r="AY842" t="s">
        <v>74</v>
      </c>
      <c r="AZ842" t="s">
        <v>74</v>
      </c>
      <c r="BA842" t="s">
        <v>74</v>
      </c>
      <c r="BB842">
        <v>5679</v>
      </c>
      <c r="BC842">
        <v>5697</v>
      </c>
      <c r="BD842" t="s">
        <v>74</v>
      </c>
      <c r="BE842" t="s">
        <v>16130</v>
      </c>
      <c r="BF842" t="str">
        <f>HYPERLINK("http://dx.doi.org/10.5194/acp-23-5679-2023","http://dx.doi.org/10.5194/acp-23-5679-2023")</f>
        <v>http://dx.doi.org/10.5194/acp-23-5679-2023</v>
      </c>
      <c r="BG842" t="s">
        <v>74</v>
      </c>
      <c r="BH842" t="s">
        <v>74</v>
      </c>
      <c r="BI842">
        <v>19</v>
      </c>
      <c r="BJ842" t="s">
        <v>3303</v>
      </c>
      <c r="BK842" t="s">
        <v>104</v>
      </c>
      <c r="BL842" t="s">
        <v>2372</v>
      </c>
      <c r="BM842" t="s">
        <v>16131</v>
      </c>
      <c r="BN842" t="s">
        <v>74</v>
      </c>
      <c r="BO842" t="s">
        <v>7579</v>
      </c>
      <c r="BP842" t="s">
        <v>74</v>
      </c>
      <c r="BQ842" t="s">
        <v>74</v>
      </c>
      <c r="BR842" t="s">
        <v>107</v>
      </c>
      <c r="BS842" t="s">
        <v>16132</v>
      </c>
      <c r="BT842" t="str">
        <f>HYPERLINK("https%3A%2F%2Fwww.webofscience.com%2Fwos%2Fwoscc%2Ffull-record%2FWOS:000996547900001","View Full Record in Web of Science")</f>
        <v>View Full Record in Web of Science</v>
      </c>
    </row>
    <row r="843" spans="1:72" x14ac:dyDescent="0.15">
      <c r="A843" t="s">
        <v>72</v>
      </c>
      <c r="B843" t="s">
        <v>16133</v>
      </c>
      <c r="C843" t="s">
        <v>74</v>
      </c>
      <c r="D843" t="s">
        <v>74</v>
      </c>
      <c r="E843" t="s">
        <v>74</v>
      </c>
      <c r="F843" t="s">
        <v>16134</v>
      </c>
      <c r="G843" t="s">
        <v>74</v>
      </c>
      <c r="H843" t="s">
        <v>74</v>
      </c>
      <c r="I843" t="s">
        <v>16135</v>
      </c>
      <c r="J843" t="s">
        <v>5379</v>
      </c>
      <c r="K843" t="s">
        <v>74</v>
      </c>
      <c r="L843" t="s">
        <v>74</v>
      </c>
      <c r="M843" t="s">
        <v>78</v>
      </c>
      <c r="N843" t="s">
        <v>79</v>
      </c>
      <c r="O843" t="s">
        <v>74</v>
      </c>
      <c r="P843" t="s">
        <v>74</v>
      </c>
      <c r="Q843" t="s">
        <v>74</v>
      </c>
      <c r="R843" t="s">
        <v>74</v>
      </c>
      <c r="S843" t="s">
        <v>74</v>
      </c>
      <c r="T843" t="s">
        <v>16136</v>
      </c>
      <c r="U843" t="s">
        <v>16137</v>
      </c>
      <c r="V843" t="s">
        <v>16138</v>
      </c>
      <c r="W843" t="s">
        <v>16139</v>
      </c>
      <c r="X843" t="s">
        <v>16140</v>
      </c>
      <c r="Y843" t="s">
        <v>16141</v>
      </c>
      <c r="Z843" t="s">
        <v>16142</v>
      </c>
      <c r="AA843" t="s">
        <v>16143</v>
      </c>
      <c r="AB843" t="s">
        <v>16144</v>
      </c>
      <c r="AC843" t="s">
        <v>16145</v>
      </c>
      <c r="AD843" t="s">
        <v>16146</v>
      </c>
      <c r="AE843" t="s">
        <v>16147</v>
      </c>
      <c r="AF843" t="s">
        <v>74</v>
      </c>
      <c r="AG843">
        <v>44</v>
      </c>
      <c r="AH843">
        <v>1</v>
      </c>
      <c r="AI843">
        <v>1</v>
      </c>
      <c r="AJ843">
        <v>4</v>
      </c>
      <c r="AK843">
        <v>8</v>
      </c>
      <c r="AL843" t="s">
        <v>369</v>
      </c>
      <c r="AM843" t="s">
        <v>370</v>
      </c>
      <c r="AN843" t="s">
        <v>371</v>
      </c>
      <c r="AO843" t="s">
        <v>74</v>
      </c>
      <c r="AP843" t="s">
        <v>5389</v>
      </c>
      <c r="AQ843" t="s">
        <v>74</v>
      </c>
      <c r="AR843" t="s">
        <v>5390</v>
      </c>
      <c r="AS843" t="s">
        <v>5391</v>
      </c>
      <c r="AT843" t="s">
        <v>16089</v>
      </c>
      <c r="AU843">
        <v>2023</v>
      </c>
      <c r="AV843">
        <v>11</v>
      </c>
      <c r="AW843">
        <v>5</v>
      </c>
      <c r="AX843" t="s">
        <v>74</v>
      </c>
      <c r="AY843" t="s">
        <v>74</v>
      </c>
      <c r="AZ843" t="s">
        <v>74</v>
      </c>
      <c r="BA843" t="s">
        <v>74</v>
      </c>
      <c r="BB843" t="s">
        <v>74</v>
      </c>
      <c r="BC843" t="s">
        <v>74</v>
      </c>
      <c r="BD843">
        <v>1088</v>
      </c>
      <c r="BE843" t="s">
        <v>16148</v>
      </c>
      <c r="BF843" t="str">
        <f>HYPERLINK("http://dx.doi.org/10.3390/jmse11051088","http://dx.doi.org/10.3390/jmse11051088")</f>
        <v>http://dx.doi.org/10.3390/jmse11051088</v>
      </c>
      <c r="BG843" t="s">
        <v>74</v>
      </c>
      <c r="BH843" t="s">
        <v>74</v>
      </c>
      <c r="BI843">
        <v>20</v>
      </c>
      <c r="BJ843" t="s">
        <v>5393</v>
      </c>
      <c r="BK843" t="s">
        <v>104</v>
      </c>
      <c r="BL843" t="s">
        <v>5394</v>
      </c>
      <c r="BM843" t="s">
        <v>16149</v>
      </c>
      <c r="BN843" t="s">
        <v>74</v>
      </c>
      <c r="BO843" t="s">
        <v>206</v>
      </c>
      <c r="BP843" t="s">
        <v>74</v>
      </c>
      <c r="BQ843" t="s">
        <v>74</v>
      </c>
      <c r="BR843" t="s">
        <v>107</v>
      </c>
      <c r="BS843" t="s">
        <v>16150</v>
      </c>
      <c r="BT843" t="str">
        <f>HYPERLINK("https%3A%2F%2Fwww.webofscience.com%2Fwos%2Fwoscc%2Ffull-record%2FWOS:000996817800001","View Full Record in Web of Science")</f>
        <v>View Full Record in Web of Science</v>
      </c>
    </row>
    <row r="844" spans="1:72" x14ac:dyDescent="0.15">
      <c r="A844" t="s">
        <v>72</v>
      </c>
      <c r="B844" t="s">
        <v>16151</v>
      </c>
      <c r="C844" t="s">
        <v>74</v>
      </c>
      <c r="D844" t="s">
        <v>74</v>
      </c>
      <c r="E844" t="s">
        <v>74</v>
      </c>
      <c r="F844" t="s">
        <v>16152</v>
      </c>
      <c r="G844" t="s">
        <v>74</v>
      </c>
      <c r="H844" t="s">
        <v>74</v>
      </c>
      <c r="I844" t="s">
        <v>16153</v>
      </c>
      <c r="J844" t="s">
        <v>5290</v>
      </c>
      <c r="K844" t="s">
        <v>74</v>
      </c>
      <c r="L844" t="s">
        <v>74</v>
      </c>
      <c r="M844" t="s">
        <v>78</v>
      </c>
      <c r="N844" t="s">
        <v>79</v>
      </c>
      <c r="O844" t="s">
        <v>74</v>
      </c>
      <c r="P844" t="s">
        <v>74</v>
      </c>
      <c r="Q844" t="s">
        <v>74</v>
      </c>
      <c r="R844" t="s">
        <v>74</v>
      </c>
      <c r="S844" t="s">
        <v>74</v>
      </c>
      <c r="T844" t="s">
        <v>16154</v>
      </c>
      <c r="U844" t="s">
        <v>16155</v>
      </c>
      <c r="V844" t="s">
        <v>16156</v>
      </c>
      <c r="W844" t="s">
        <v>16157</v>
      </c>
      <c r="X844" t="s">
        <v>16158</v>
      </c>
      <c r="Y844" t="s">
        <v>16159</v>
      </c>
      <c r="Z844" t="s">
        <v>16160</v>
      </c>
      <c r="AA844" t="s">
        <v>16161</v>
      </c>
      <c r="AB844" t="s">
        <v>16162</v>
      </c>
      <c r="AC844" t="s">
        <v>16163</v>
      </c>
      <c r="AD844" t="s">
        <v>16164</v>
      </c>
      <c r="AE844" t="s">
        <v>16165</v>
      </c>
      <c r="AF844" t="s">
        <v>74</v>
      </c>
      <c r="AG844">
        <v>24</v>
      </c>
      <c r="AH844">
        <v>0</v>
      </c>
      <c r="AI844">
        <v>0</v>
      </c>
      <c r="AJ844">
        <v>6</v>
      </c>
      <c r="AK844">
        <v>18</v>
      </c>
      <c r="AL844" t="s">
        <v>369</v>
      </c>
      <c r="AM844" t="s">
        <v>370</v>
      </c>
      <c r="AN844" t="s">
        <v>371</v>
      </c>
      <c r="AO844" t="s">
        <v>74</v>
      </c>
      <c r="AP844" t="s">
        <v>5300</v>
      </c>
      <c r="AQ844" t="s">
        <v>74</v>
      </c>
      <c r="AR844" t="s">
        <v>5301</v>
      </c>
      <c r="AS844" t="s">
        <v>5302</v>
      </c>
      <c r="AT844" t="s">
        <v>16089</v>
      </c>
      <c r="AU844">
        <v>2023</v>
      </c>
      <c r="AV844">
        <v>14</v>
      </c>
      <c r="AW844">
        <v>5</v>
      </c>
      <c r="AX844" t="s">
        <v>74</v>
      </c>
      <c r="AY844" t="s">
        <v>74</v>
      </c>
      <c r="AZ844" t="s">
        <v>74</v>
      </c>
      <c r="BA844" t="s">
        <v>74</v>
      </c>
      <c r="BB844" t="s">
        <v>74</v>
      </c>
      <c r="BC844" t="s">
        <v>74</v>
      </c>
      <c r="BD844">
        <v>901</v>
      </c>
      <c r="BE844" t="s">
        <v>16166</v>
      </c>
      <c r="BF844" t="str">
        <f>HYPERLINK("http://dx.doi.org/10.3390/atmos14050901","http://dx.doi.org/10.3390/atmos14050901")</f>
        <v>http://dx.doi.org/10.3390/atmos14050901</v>
      </c>
      <c r="BG844" t="s">
        <v>74</v>
      </c>
      <c r="BH844" t="s">
        <v>74</v>
      </c>
      <c r="BI844">
        <v>16</v>
      </c>
      <c r="BJ844" t="s">
        <v>3303</v>
      </c>
      <c r="BK844" t="s">
        <v>104</v>
      </c>
      <c r="BL844" t="s">
        <v>2372</v>
      </c>
      <c r="BM844" t="s">
        <v>16167</v>
      </c>
      <c r="BN844" t="s">
        <v>74</v>
      </c>
      <c r="BO844" t="s">
        <v>206</v>
      </c>
      <c r="BP844" t="s">
        <v>74</v>
      </c>
      <c r="BQ844" t="s">
        <v>74</v>
      </c>
      <c r="BR844" t="s">
        <v>107</v>
      </c>
      <c r="BS844" t="s">
        <v>16168</v>
      </c>
      <c r="BT844" t="str">
        <f>HYPERLINK("https%3A%2F%2Fwww.webofscience.com%2Fwos%2Fwoscc%2Ffull-record%2FWOS:000995630500001","View Full Record in Web of Science")</f>
        <v>View Full Record in Web of Science</v>
      </c>
    </row>
    <row r="845" spans="1:72" x14ac:dyDescent="0.15">
      <c r="A845" t="s">
        <v>72</v>
      </c>
      <c r="B845" t="s">
        <v>16169</v>
      </c>
      <c r="C845" t="s">
        <v>74</v>
      </c>
      <c r="D845" t="s">
        <v>74</v>
      </c>
      <c r="E845" t="s">
        <v>74</v>
      </c>
      <c r="F845" t="s">
        <v>16170</v>
      </c>
      <c r="G845" t="s">
        <v>74</v>
      </c>
      <c r="H845" t="s">
        <v>74</v>
      </c>
      <c r="I845" t="s">
        <v>16171</v>
      </c>
      <c r="J845" t="s">
        <v>8663</v>
      </c>
      <c r="K845" t="s">
        <v>74</v>
      </c>
      <c r="L845" t="s">
        <v>74</v>
      </c>
      <c r="M845" t="s">
        <v>78</v>
      </c>
      <c r="N845" t="s">
        <v>79</v>
      </c>
      <c r="O845" t="s">
        <v>74</v>
      </c>
      <c r="P845" t="s">
        <v>74</v>
      </c>
      <c r="Q845" t="s">
        <v>74</v>
      </c>
      <c r="R845" t="s">
        <v>74</v>
      </c>
      <c r="S845" t="s">
        <v>74</v>
      </c>
      <c r="T845" t="s">
        <v>74</v>
      </c>
      <c r="U845" t="s">
        <v>16172</v>
      </c>
      <c r="V845" t="s">
        <v>16173</v>
      </c>
      <c r="W845" t="s">
        <v>16174</v>
      </c>
      <c r="X845" t="s">
        <v>16175</v>
      </c>
      <c r="Y845" t="s">
        <v>16176</v>
      </c>
      <c r="Z845" t="s">
        <v>16177</v>
      </c>
      <c r="AA845" t="s">
        <v>16178</v>
      </c>
      <c r="AB845" t="s">
        <v>16179</v>
      </c>
      <c r="AC845" t="s">
        <v>16180</v>
      </c>
      <c r="AD845" t="s">
        <v>16181</v>
      </c>
      <c r="AE845" t="s">
        <v>16182</v>
      </c>
      <c r="AF845" t="s">
        <v>74</v>
      </c>
      <c r="AG845">
        <v>54</v>
      </c>
      <c r="AH845">
        <v>1</v>
      </c>
      <c r="AI845">
        <v>1</v>
      </c>
      <c r="AJ845">
        <v>0</v>
      </c>
      <c r="AK845">
        <v>2</v>
      </c>
      <c r="AL845" t="s">
        <v>1775</v>
      </c>
      <c r="AM845" t="s">
        <v>1776</v>
      </c>
      <c r="AN845" t="s">
        <v>1777</v>
      </c>
      <c r="AO845" t="s">
        <v>8675</v>
      </c>
      <c r="AP845" t="s">
        <v>8676</v>
      </c>
      <c r="AQ845" t="s">
        <v>74</v>
      </c>
      <c r="AR845" t="s">
        <v>8677</v>
      </c>
      <c r="AS845" t="s">
        <v>8678</v>
      </c>
      <c r="AT845" t="s">
        <v>16089</v>
      </c>
      <c r="AU845">
        <v>2023</v>
      </c>
      <c r="AV845">
        <v>19</v>
      </c>
      <c r="AW845">
        <v>3</v>
      </c>
      <c r="AX845" t="s">
        <v>74</v>
      </c>
      <c r="AY845" t="s">
        <v>74</v>
      </c>
      <c r="AZ845" t="s">
        <v>74</v>
      </c>
      <c r="BA845" t="s">
        <v>74</v>
      </c>
      <c r="BB845">
        <v>671</v>
      </c>
      <c r="BC845">
        <v>683</v>
      </c>
      <c r="BD845" t="s">
        <v>74</v>
      </c>
      <c r="BE845" t="s">
        <v>16183</v>
      </c>
      <c r="BF845" t="str">
        <f>HYPERLINK("http://dx.doi.org/10.5194/os-19-671-2023","http://dx.doi.org/10.5194/os-19-671-2023")</f>
        <v>http://dx.doi.org/10.5194/os-19-671-2023</v>
      </c>
      <c r="BG845" t="s">
        <v>74</v>
      </c>
      <c r="BH845" t="s">
        <v>74</v>
      </c>
      <c r="BI845">
        <v>13</v>
      </c>
      <c r="BJ845" t="s">
        <v>4321</v>
      </c>
      <c r="BK845" t="s">
        <v>104</v>
      </c>
      <c r="BL845" t="s">
        <v>4321</v>
      </c>
      <c r="BM845" t="s">
        <v>16184</v>
      </c>
      <c r="BN845" t="s">
        <v>74</v>
      </c>
      <c r="BO845" t="s">
        <v>206</v>
      </c>
      <c r="BP845" t="s">
        <v>74</v>
      </c>
      <c r="BQ845" t="s">
        <v>74</v>
      </c>
      <c r="BR845" t="s">
        <v>107</v>
      </c>
      <c r="BS845" t="s">
        <v>16185</v>
      </c>
      <c r="BT845" t="str">
        <f>HYPERLINK("https%3A%2F%2Fwww.webofscience.com%2Fwos%2Fwoscc%2Ffull-record%2FWOS:000993409300001","View Full Record in Web of Science")</f>
        <v>View Full Record in Web of Science</v>
      </c>
    </row>
    <row r="846" spans="1:72" x14ac:dyDescent="0.15">
      <c r="A846" t="s">
        <v>72</v>
      </c>
      <c r="B846" t="s">
        <v>5135</v>
      </c>
      <c r="C846" t="s">
        <v>74</v>
      </c>
      <c r="D846" t="s">
        <v>74</v>
      </c>
      <c r="E846" t="s">
        <v>74</v>
      </c>
      <c r="F846" t="s">
        <v>16186</v>
      </c>
      <c r="G846" t="s">
        <v>74</v>
      </c>
      <c r="H846" t="s">
        <v>74</v>
      </c>
      <c r="I846" t="s">
        <v>16187</v>
      </c>
      <c r="J846" t="s">
        <v>961</v>
      </c>
      <c r="K846" t="s">
        <v>74</v>
      </c>
      <c r="L846" t="s">
        <v>74</v>
      </c>
      <c r="M846" t="s">
        <v>78</v>
      </c>
      <c r="N846" t="s">
        <v>79</v>
      </c>
      <c r="O846" t="s">
        <v>74</v>
      </c>
      <c r="P846" t="s">
        <v>74</v>
      </c>
      <c r="Q846" t="s">
        <v>74</v>
      </c>
      <c r="R846" t="s">
        <v>74</v>
      </c>
      <c r="S846" t="s">
        <v>74</v>
      </c>
      <c r="T846" t="s">
        <v>16188</v>
      </c>
      <c r="U846" t="s">
        <v>16189</v>
      </c>
      <c r="V846" t="s">
        <v>16190</v>
      </c>
      <c r="W846" t="s">
        <v>16191</v>
      </c>
      <c r="X846" t="s">
        <v>5142</v>
      </c>
      <c r="Y846" t="s">
        <v>16192</v>
      </c>
      <c r="Z846" t="s">
        <v>5144</v>
      </c>
      <c r="AA846" t="s">
        <v>5145</v>
      </c>
      <c r="AB846" t="s">
        <v>16193</v>
      </c>
      <c r="AC846" t="s">
        <v>16194</v>
      </c>
      <c r="AD846" t="s">
        <v>16195</v>
      </c>
      <c r="AE846" t="s">
        <v>16196</v>
      </c>
      <c r="AF846" t="s">
        <v>74</v>
      </c>
      <c r="AG846">
        <v>95</v>
      </c>
      <c r="AH846">
        <v>2</v>
      </c>
      <c r="AI846">
        <v>2</v>
      </c>
      <c r="AJ846">
        <v>1</v>
      </c>
      <c r="AK846">
        <v>3</v>
      </c>
      <c r="AL846" t="s">
        <v>369</v>
      </c>
      <c r="AM846" t="s">
        <v>370</v>
      </c>
      <c r="AN846" t="s">
        <v>371</v>
      </c>
      <c r="AO846" t="s">
        <v>74</v>
      </c>
      <c r="AP846" t="s">
        <v>972</v>
      </c>
      <c r="AQ846" t="s">
        <v>74</v>
      </c>
      <c r="AR846" t="s">
        <v>973</v>
      </c>
      <c r="AS846" t="s">
        <v>974</v>
      </c>
      <c r="AT846" t="s">
        <v>16197</v>
      </c>
      <c r="AU846">
        <v>2023</v>
      </c>
      <c r="AV846">
        <v>15</v>
      </c>
      <c r="AW846">
        <v>10</v>
      </c>
      <c r="AX846" t="s">
        <v>74</v>
      </c>
      <c r="AY846" t="s">
        <v>74</v>
      </c>
      <c r="AZ846" t="s">
        <v>74</v>
      </c>
      <c r="BA846" t="s">
        <v>74</v>
      </c>
      <c r="BB846" t="s">
        <v>74</v>
      </c>
      <c r="BC846" t="s">
        <v>74</v>
      </c>
      <c r="BD846">
        <v>1948</v>
      </c>
      <c r="BE846" t="s">
        <v>16198</v>
      </c>
      <c r="BF846" t="str">
        <f>HYPERLINK("http://dx.doi.org/10.3390/w15101948","http://dx.doi.org/10.3390/w15101948")</f>
        <v>http://dx.doi.org/10.3390/w15101948</v>
      </c>
      <c r="BG846" t="s">
        <v>74</v>
      </c>
      <c r="BH846" t="s">
        <v>74</v>
      </c>
      <c r="BI846">
        <v>19</v>
      </c>
      <c r="BJ846" t="s">
        <v>976</v>
      </c>
      <c r="BK846" t="s">
        <v>104</v>
      </c>
      <c r="BL846" t="s">
        <v>977</v>
      </c>
      <c r="BM846" t="s">
        <v>16199</v>
      </c>
      <c r="BN846" t="s">
        <v>74</v>
      </c>
      <c r="BO846" t="s">
        <v>206</v>
      </c>
      <c r="BP846" t="s">
        <v>74</v>
      </c>
      <c r="BQ846" t="s">
        <v>74</v>
      </c>
      <c r="BR846" t="s">
        <v>107</v>
      </c>
      <c r="BS846" t="s">
        <v>16200</v>
      </c>
      <c r="BT846" t="str">
        <f>HYPERLINK("https%3A%2F%2Fwww.webofscience.com%2Fwos%2Fwoscc%2Ffull-record%2FWOS:000997728500001","View Full Record in Web of Science")</f>
        <v>View Full Record in Web of Science</v>
      </c>
    </row>
    <row r="847" spans="1:72" x14ac:dyDescent="0.15">
      <c r="A847" t="s">
        <v>72</v>
      </c>
      <c r="B847" t="s">
        <v>16201</v>
      </c>
      <c r="C847" t="s">
        <v>74</v>
      </c>
      <c r="D847" t="s">
        <v>74</v>
      </c>
      <c r="E847" t="s">
        <v>74</v>
      </c>
      <c r="F847" t="s">
        <v>16202</v>
      </c>
      <c r="G847" t="s">
        <v>74</v>
      </c>
      <c r="H847" t="s">
        <v>74</v>
      </c>
      <c r="I847" t="s">
        <v>16203</v>
      </c>
      <c r="J847" t="s">
        <v>3130</v>
      </c>
      <c r="K847" t="s">
        <v>74</v>
      </c>
      <c r="L847" t="s">
        <v>74</v>
      </c>
      <c r="M847" t="s">
        <v>78</v>
      </c>
      <c r="N847" t="s">
        <v>79</v>
      </c>
      <c r="O847" t="s">
        <v>74</v>
      </c>
      <c r="P847" t="s">
        <v>74</v>
      </c>
      <c r="Q847" t="s">
        <v>74</v>
      </c>
      <c r="R847" t="s">
        <v>74</v>
      </c>
      <c r="S847" t="s">
        <v>74</v>
      </c>
      <c r="T847" t="s">
        <v>16204</v>
      </c>
      <c r="U847" t="s">
        <v>16205</v>
      </c>
      <c r="V847" t="s">
        <v>16206</v>
      </c>
      <c r="W847" t="s">
        <v>16207</v>
      </c>
      <c r="X847" t="s">
        <v>16208</v>
      </c>
      <c r="Y847" t="s">
        <v>16209</v>
      </c>
      <c r="Z847" t="s">
        <v>16210</v>
      </c>
      <c r="AA847" t="s">
        <v>16211</v>
      </c>
      <c r="AB847" t="s">
        <v>16212</v>
      </c>
      <c r="AC847" t="s">
        <v>16213</v>
      </c>
      <c r="AD847" t="s">
        <v>16214</v>
      </c>
      <c r="AE847" t="s">
        <v>16215</v>
      </c>
      <c r="AF847" t="s">
        <v>74</v>
      </c>
      <c r="AG847">
        <v>114</v>
      </c>
      <c r="AH847">
        <v>1</v>
      </c>
      <c r="AI847">
        <v>1</v>
      </c>
      <c r="AJ847">
        <v>2</v>
      </c>
      <c r="AK847">
        <v>2</v>
      </c>
      <c r="AL847" t="s">
        <v>460</v>
      </c>
      <c r="AM847" t="s">
        <v>461</v>
      </c>
      <c r="AN847" t="s">
        <v>462</v>
      </c>
      <c r="AO847" t="s">
        <v>3143</v>
      </c>
      <c r="AP847" t="s">
        <v>3144</v>
      </c>
      <c r="AQ847" t="s">
        <v>74</v>
      </c>
      <c r="AR847" t="s">
        <v>3145</v>
      </c>
      <c r="AS847" t="s">
        <v>3146</v>
      </c>
      <c r="AT847" t="s">
        <v>4689</v>
      </c>
      <c r="AU847">
        <v>2023</v>
      </c>
      <c r="AV847">
        <v>59</v>
      </c>
      <c r="AW847">
        <v>4</v>
      </c>
      <c r="AX847" t="s">
        <v>74</v>
      </c>
      <c r="AY847" t="s">
        <v>74</v>
      </c>
      <c r="AZ847" t="s">
        <v>74</v>
      </c>
      <c r="BA847" t="s">
        <v>74</v>
      </c>
      <c r="BB847">
        <v>681</v>
      </c>
      <c r="BC847">
        <v>697</v>
      </c>
      <c r="BD847" t="s">
        <v>74</v>
      </c>
      <c r="BE847" t="s">
        <v>16216</v>
      </c>
      <c r="BF847" t="str">
        <f>HYPERLINK("http://dx.doi.org/10.1111/jpy.13339","http://dx.doi.org/10.1111/jpy.13339")</f>
        <v>http://dx.doi.org/10.1111/jpy.13339</v>
      </c>
      <c r="BG847" t="s">
        <v>74</v>
      </c>
      <c r="BH847" t="s">
        <v>15114</v>
      </c>
      <c r="BI847">
        <v>17</v>
      </c>
      <c r="BJ847" t="s">
        <v>3148</v>
      </c>
      <c r="BK847" t="s">
        <v>104</v>
      </c>
      <c r="BL847" t="s">
        <v>3148</v>
      </c>
      <c r="BM847" t="s">
        <v>8924</v>
      </c>
      <c r="BN847">
        <v>37114881</v>
      </c>
      <c r="BO847" t="s">
        <v>549</v>
      </c>
      <c r="BP847" t="s">
        <v>74</v>
      </c>
      <c r="BQ847" t="s">
        <v>74</v>
      </c>
      <c r="BR847" t="s">
        <v>107</v>
      </c>
      <c r="BS847" t="s">
        <v>16217</v>
      </c>
      <c r="BT847" t="str">
        <f>HYPERLINK("https%3A%2F%2Fwww.webofscience.com%2Fwos%2Fwoscc%2Ffull-record%2FWOS:000993171900001","View Full Record in Web of Science")</f>
        <v>View Full Record in Web of Science</v>
      </c>
    </row>
    <row r="848" spans="1:72" x14ac:dyDescent="0.15">
      <c r="A848" t="s">
        <v>72</v>
      </c>
      <c r="B848" t="s">
        <v>16218</v>
      </c>
      <c r="C848" t="s">
        <v>74</v>
      </c>
      <c r="D848" t="s">
        <v>74</v>
      </c>
      <c r="E848" t="s">
        <v>74</v>
      </c>
      <c r="F848" t="s">
        <v>16219</v>
      </c>
      <c r="G848" t="s">
        <v>74</v>
      </c>
      <c r="H848" t="s">
        <v>74</v>
      </c>
      <c r="I848" t="s">
        <v>16220</v>
      </c>
      <c r="J848" t="s">
        <v>16221</v>
      </c>
      <c r="K848" t="s">
        <v>74</v>
      </c>
      <c r="L848" t="s">
        <v>74</v>
      </c>
      <c r="M848" t="s">
        <v>78</v>
      </c>
      <c r="N848" t="s">
        <v>79</v>
      </c>
      <c r="O848" t="s">
        <v>74</v>
      </c>
      <c r="P848" t="s">
        <v>74</v>
      </c>
      <c r="Q848" t="s">
        <v>74</v>
      </c>
      <c r="R848" t="s">
        <v>74</v>
      </c>
      <c r="S848" t="s">
        <v>74</v>
      </c>
      <c r="T848" t="s">
        <v>16222</v>
      </c>
      <c r="U848" t="s">
        <v>16223</v>
      </c>
      <c r="V848" t="s">
        <v>16224</v>
      </c>
      <c r="W848" t="s">
        <v>16225</v>
      </c>
      <c r="X848" t="s">
        <v>16226</v>
      </c>
      <c r="Y848" t="s">
        <v>16227</v>
      </c>
      <c r="Z848" t="s">
        <v>16228</v>
      </c>
      <c r="AA848" t="s">
        <v>74</v>
      </c>
      <c r="AB848" t="s">
        <v>16229</v>
      </c>
      <c r="AC848" t="s">
        <v>16230</v>
      </c>
      <c r="AD848" t="s">
        <v>16231</v>
      </c>
      <c r="AE848" t="s">
        <v>16232</v>
      </c>
      <c r="AF848" t="s">
        <v>74</v>
      </c>
      <c r="AG848">
        <v>71</v>
      </c>
      <c r="AH848">
        <v>2</v>
      </c>
      <c r="AI848">
        <v>2</v>
      </c>
      <c r="AJ848">
        <v>6</v>
      </c>
      <c r="AK848">
        <v>9</v>
      </c>
      <c r="AL848" t="s">
        <v>172</v>
      </c>
      <c r="AM848" t="s">
        <v>173</v>
      </c>
      <c r="AN848" t="s">
        <v>174</v>
      </c>
      <c r="AO848" t="s">
        <v>16233</v>
      </c>
      <c r="AP848" t="s">
        <v>74</v>
      </c>
      <c r="AQ848" t="s">
        <v>74</v>
      </c>
      <c r="AR848" t="s">
        <v>16234</v>
      </c>
      <c r="AS848" t="s">
        <v>16235</v>
      </c>
      <c r="AT848" t="s">
        <v>8990</v>
      </c>
      <c r="AU848">
        <v>2023</v>
      </c>
      <c r="AV848">
        <v>30</v>
      </c>
      <c r="AW848" t="s">
        <v>74</v>
      </c>
      <c r="AX848" t="s">
        <v>74</v>
      </c>
      <c r="AY848" t="s">
        <v>74</v>
      </c>
      <c r="AZ848" t="s">
        <v>74</v>
      </c>
      <c r="BA848" t="s">
        <v>74</v>
      </c>
      <c r="BB848" t="s">
        <v>74</v>
      </c>
      <c r="BC848" t="s">
        <v>74</v>
      </c>
      <c r="BD848">
        <v>101587</v>
      </c>
      <c r="BE848" t="s">
        <v>16236</v>
      </c>
      <c r="BF848" t="str">
        <f>HYPERLINK("http://dx.doi.org/10.1016/j.aqrep.2023.101587","http://dx.doi.org/10.1016/j.aqrep.2023.101587")</f>
        <v>http://dx.doi.org/10.1016/j.aqrep.2023.101587</v>
      </c>
      <c r="BG848" t="s">
        <v>74</v>
      </c>
      <c r="BH848" t="s">
        <v>15114</v>
      </c>
      <c r="BI848">
        <v>10</v>
      </c>
      <c r="BJ848" t="s">
        <v>4598</v>
      </c>
      <c r="BK848" t="s">
        <v>104</v>
      </c>
      <c r="BL848" t="s">
        <v>4598</v>
      </c>
      <c r="BM848" t="s">
        <v>16237</v>
      </c>
      <c r="BN848" t="s">
        <v>74</v>
      </c>
      <c r="BO848" t="s">
        <v>206</v>
      </c>
      <c r="BP848" t="s">
        <v>74</v>
      </c>
      <c r="BQ848" t="s">
        <v>74</v>
      </c>
      <c r="BR848" t="s">
        <v>107</v>
      </c>
      <c r="BS848" t="s">
        <v>16238</v>
      </c>
      <c r="BT848" t="str">
        <f>HYPERLINK("https%3A%2F%2Fwww.webofscience.com%2Fwos%2Fwoscc%2Ffull-record%2FWOS:001009498900001","View Full Record in Web of Science")</f>
        <v>View Full Record in Web of Science</v>
      </c>
    </row>
    <row r="849" spans="1:72" x14ac:dyDescent="0.15">
      <c r="A849" t="s">
        <v>72</v>
      </c>
      <c r="B849" t="s">
        <v>16239</v>
      </c>
      <c r="C849" t="s">
        <v>74</v>
      </c>
      <c r="D849" t="s">
        <v>74</v>
      </c>
      <c r="E849" t="s">
        <v>74</v>
      </c>
      <c r="F849" t="s">
        <v>16240</v>
      </c>
      <c r="G849" t="s">
        <v>74</v>
      </c>
      <c r="H849" t="s">
        <v>74</v>
      </c>
      <c r="I849" t="s">
        <v>16241</v>
      </c>
      <c r="J849" t="s">
        <v>4066</v>
      </c>
      <c r="K849" t="s">
        <v>74</v>
      </c>
      <c r="L849" t="s">
        <v>74</v>
      </c>
      <c r="M849" t="s">
        <v>78</v>
      </c>
      <c r="N849" t="s">
        <v>424</v>
      </c>
      <c r="O849" t="s">
        <v>74</v>
      </c>
      <c r="P849" t="s">
        <v>74</v>
      </c>
      <c r="Q849" t="s">
        <v>74</v>
      </c>
      <c r="R849" t="s">
        <v>74</v>
      </c>
      <c r="S849" t="s">
        <v>74</v>
      </c>
      <c r="T849" t="s">
        <v>16242</v>
      </c>
      <c r="U849" t="s">
        <v>16243</v>
      </c>
      <c r="V849" t="s">
        <v>16244</v>
      </c>
      <c r="W849" t="s">
        <v>16245</v>
      </c>
      <c r="X849" t="s">
        <v>4502</v>
      </c>
      <c r="Y849" t="s">
        <v>16246</v>
      </c>
      <c r="Z849" t="s">
        <v>16247</v>
      </c>
      <c r="AA849" t="s">
        <v>74</v>
      </c>
      <c r="AB849" t="s">
        <v>74</v>
      </c>
      <c r="AC849" t="s">
        <v>74</v>
      </c>
      <c r="AD849" t="s">
        <v>74</v>
      </c>
      <c r="AE849" t="s">
        <v>74</v>
      </c>
      <c r="AF849" t="s">
        <v>74</v>
      </c>
      <c r="AG849">
        <v>63</v>
      </c>
      <c r="AH849">
        <v>1</v>
      </c>
      <c r="AI849">
        <v>1</v>
      </c>
      <c r="AJ849">
        <v>2</v>
      </c>
      <c r="AK849">
        <v>5</v>
      </c>
      <c r="AL849" t="s">
        <v>2305</v>
      </c>
      <c r="AM849" t="s">
        <v>538</v>
      </c>
      <c r="AN849" t="s">
        <v>2306</v>
      </c>
      <c r="AO849" t="s">
        <v>4078</v>
      </c>
      <c r="AP849" t="s">
        <v>4079</v>
      </c>
      <c r="AQ849" t="s">
        <v>74</v>
      </c>
      <c r="AR849" t="s">
        <v>4080</v>
      </c>
      <c r="AS849" t="s">
        <v>4081</v>
      </c>
      <c r="AT849" t="s">
        <v>3612</v>
      </c>
      <c r="AU849">
        <v>2023</v>
      </c>
      <c r="AV849">
        <v>215</v>
      </c>
      <c r="AW849" t="s">
        <v>74</v>
      </c>
      <c r="AX849" t="s">
        <v>74</v>
      </c>
      <c r="AY849" t="s">
        <v>74</v>
      </c>
      <c r="AZ849" t="s">
        <v>74</v>
      </c>
      <c r="BA849" t="s">
        <v>74</v>
      </c>
      <c r="BB849" t="s">
        <v>74</v>
      </c>
      <c r="BC849" t="s">
        <v>74</v>
      </c>
      <c r="BD849">
        <v>103046</v>
      </c>
      <c r="BE849" t="s">
        <v>16248</v>
      </c>
      <c r="BF849" t="str">
        <f>HYPERLINK("http://dx.doi.org/10.1016/j.pocean.2023.103046","http://dx.doi.org/10.1016/j.pocean.2023.103046")</f>
        <v>http://dx.doi.org/10.1016/j.pocean.2023.103046</v>
      </c>
      <c r="BG849" t="s">
        <v>74</v>
      </c>
      <c r="BH849" t="s">
        <v>15114</v>
      </c>
      <c r="BI849">
        <v>20</v>
      </c>
      <c r="BJ849" t="s">
        <v>306</v>
      </c>
      <c r="BK849" t="s">
        <v>104</v>
      </c>
      <c r="BL849" t="s">
        <v>306</v>
      </c>
      <c r="BM849" t="s">
        <v>16249</v>
      </c>
      <c r="BN849" t="s">
        <v>74</v>
      </c>
      <c r="BO849" t="s">
        <v>549</v>
      </c>
      <c r="BP849" t="s">
        <v>74</v>
      </c>
      <c r="BQ849" t="s">
        <v>74</v>
      </c>
      <c r="BR849" t="s">
        <v>107</v>
      </c>
      <c r="BS849" t="s">
        <v>16250</v>
      </c>
      <c r="BT849" t="str">
        <f>HYPERLINK("https%3A%2F%2Fwww.webofscience.com%2Fwos%2Fwoscc%2Ffull-record%2FWOS:001009495800001","View Full Record in Web of Science")</f>
        <v>View Full Record in Web of Science</v>
      </c>
    </row>
    <row r="850" spans="1:72" x14ac:dyDescent="0.15">
      <c r="A850" t="s">
        <v>72</v>
      </c>
      <c r="B850" t="s">
        <v>16251</v>
      </c>
      <c r="C850" t="s">
        <v>74</v>
      </c>
      <c r="D850" t="s">
        <v>74</v>
      </c>
      <c r="E850" t="s">
        <v>74</v>
      </c>
      <c r="F850" t="s">
        <v>16252</v>
      </c>
      <c r="G850" t="s">
        <v>74</v>
      </c>
      <c r="H850" t="s">
        <v>74</v>
      </c>
      <c r="I850" t="s">
        <v>16253</v>
      </c>
      <c r="J850" t="s">
        <v>3990</v>
      </c>
      <c r="K850" t="s">
        <v>74</v>
      </c>
      <c r="L850" t="s">
        <v>74</v>
      </c>
      <c r="M850" t="s">
        <v>78</v>
      </c>
      <c r="N850" t="s">
        <v>79</v>
      </c>
      <c r="O850" t="s">
        <v>74</v>
      </c>
      <c r="P850" t="s">
        <v>74</v>
      </c>
      <c r="Q850" t="s">
        <v>74</v>
      </c>
      <c r="R850" t="s">
        <v>74</v>
      </c>
      <c r="S850" t="s">
        <v>74</v>
      </c>
      <c r="T850" t="s">
        <v>74</v>
      </c>
      <c r="U850" t="s">
        <v>16254</v>
      </c>
      <c r="V850" t="s">
        <v>16255</v>
      </c>
      <c r="W850" t="s">
        <v>16256</v>
      </c>
      <c r="X850" t="s">
        <v>16257</v>
      </c>
      <c r="Y850" t="s">
        <v>16258</v>
      </c>
      <c r="Z850" t="s">
        <v>16259</v>
      </c>
      <c r="AA850" t="s">
        <v>16260</v>
      </c>
      <c r="AB850" t="s">
        <v>16261</v>
      </c>
      <c r="AC850" t="s">
        <v>16262</v>
      </c>
      <c r="AD850" t="s">
        <v>16263</v>
      </c>
      <c r="AE850" t="s">
        <v>16264</v>
      </c>
      <c r="AF850" t="s">
        <v>74</v>
      </c>
      <c r="AG850">
        <v>135</v>
      </c>
      <c r="AH850">
        <v>2</v>
      </c>
      <c r="AI850">
        <v>2</v>
      </c>
      <c r="AJ850">
        <v>1</v>
      </c>
      <c r="AK850">
        <v>3</v>
      </c>
      <c r="AL850" t="s">
        <v>408</v>
      </c>
      <c r="AM850" t="s">
        <v>409</v>
      </c>
      <c r="AN850" t="s">
        <v>410</v>
      </c>
      <c r="AO850" t="s">
        <v>3997</v>
      </c>
      <c r="AP850" t="s">
        <v>74</v>
      </c>
      <c r="AQ850" t="s">
        <v>74</v>
      </c>
      <c r="AR850" t="s">
        <v>3990</v>
      </c>
      <c r="AS850" t="s">
        <v>3998</v>
      </c>
      <c r="AT850" t="s">
        <v>4689</v>
      </c>
      <c r="AU850">
        <v>2023</v>
      </c>
      <c r="AV850">
        <v>19</v>
      </c>
      <c r="AW850">
        <v>4</v>
      </c>
      <c r="AX850" t="s">
        <v>74</v>
      </c>
      <c r="AY850" t="s">
        <v>74</v>
      </c>
      <c r="AZ850" t="s">
        <v>74</v>
      </c>
      <c r="BA850" t="s">
        <v>74</v>
      </c>
      <c r="BB850">
        <v>975</v>
      </c>
      <c r="BC850">
        <v>1005</v>
      </c>
      <c r="BD850" t="s">
        <v>74</v>
      </c>
      <c r="BE850" t="s">
        <v>16265</v>
      </c>
      <c r="BF850" t="str">
        <f>HYPERLINK("http://dx.doi.org/10.1130/GES02551.1","http://dx.doi.org/10.1130/GES02551.1")</f>
        <v>http://dx.doi.org/10.1130/GES02551.1</v>
      </c>
      <c r="BG850" t="s">
        <v>74</v>
      </c>
      <c r="BH850" t="s">
        <v>15114</v>
      </c>
      <c r="BI850">
        <v>31</v>
      </c>
      <c r="BJ850" t="s">
        <v>155</v>
      </c>
      <c r="BK850" t="s">
        <v>104</v>
      </c>
      <c r="BL850" t="s">
        <v>156</v>
      </c>
      <c r="BM850" t="s">
        <v>16266</v>
      </c>
      <c r="BN850" t="s">
        <v>74</v>
      </c>
      <c r="BO850" t="s">
        <v>771</v>
      </c>
      <c r="BP850" t="s">
        <v>74</v>
      </c>
      <c r="BQ850" t="s">
        <v>74</v>
      </c>
      <c r="BR850" t="s">
        <v>107</v>
      </c>
      <c r="BS850" t="s">
        <v>16267</v>
      </c>
      <c r="BT850" t="str">
        <f>HYPERLINK("https%3A%2F%2Fwww.webofscience.com%2Fwos%2Fwoscc%2Ffull-record%2FWOS:001008880700001","View Full Record in Web of Science")</f>
        <v>View Full Record in Web of Science</v>
      </c>
    </row>
    <row r="851" spans="1:72" x14ac:dyDescent="0.15">
      <c r="A851" t="s">
        <v>72</v>
      </c>
      <c r="B851" t="s">
        <v>16268</v>
      </c>
      <c r="C851" t="s">
        <v>74</v>
      </c>
      <c r="D851" t="s">
        <v>74</v>
      </c>
      <c r="E851" t="s">
        <v>74</v>
      </c>
      <c r="F851" t="s">
        <v>16269</v>
      </c>
      <c r="G851" t="s">
        <v>74</v>
      </c>
      <c r="H851" t="s">
        <v>74</v>
      </c>
      <c r="I851" t="s">
        <v>16270</v>
      </c>
      <c r="J851" t="s">
        <v>16271</v>
      </c>
      <c r="K851" t="s">
        <v>74</v>
      </c>
      <c r="L851" t="s">
        <v>74</v>
      </c>
      <c r="M851" t="s">
        <v>78</v>
      </c>
      <c r="N851" t="s">
        <v>79</v>
      </c>
      <c r="O851" t="s">
        <v>74</v>
      </c>
      <c r="P851" t="s">
        <v>74</v>
      </c>
      <c r="Q851" t="s">
        <v>74</v>
      </c>
      <c r="R851" t="s">
        <v>74</v>
      </c>
      <c r="S851" t="s">
        <v>74</v>
      </c>
      <c r="T851" t="s">
        <v>16272</v>
      </c>
      <c r="U851" t="s">
        <v>16273</v>
      </c>
      <c r="V851" t="s">
        <v>16274</v>
      </c>
      <c r="W851" t="s">
        <v>16275</v>
      </c>
      <c r="X851" t="s">
        <v>16276</v>
      </c>
      <c r="Y851" t="s">
        <v>16277</v>
      </c>
      <c r="Z851" t="s">
        <v>16278</v>
      </c>
      <c r="AA851" t="s">
        <v>74</v>
      </c>
      <c r="AB851" t="s">
        <v>16279</v>
      </c>
      <c r="AC851" t="s">
        <v>16280</v>
      </c>
      <c r="AD851" t="s">
        <v>16281</v>
      </c>
      <c r="AE851" t="s">
        <v>16282</v>
      </c>
      <c r="AF851" t="s">
        <v>74</v>
      </c>
      <c r="AG851">
        <v>44</v>
      </c>
      <c r="AH851">
        <v>3</v>
      </c>
      <c r="AI851">
        <v>3</v>
      </c>
      <c r="AJ851">
        <v>0</v>
      </c>
      <c r="AK851">
        <v>2</v>
      </c>
      <c r="AL851" t="s">
        <v>1803</v>
      </c>
      <c r="AM851" t="s">
        <v>1804</v>
      </c>
      <c r="AN851" t="s">
        <v>1805</v>
      </c>
      <c r="AO851" t="s">
        <v>16283</v>
      </c>
      <c r="AP851" t="s">
        <v>16284</v>
      </c>
      <c r="AQ851" t="s">
        <v>74</v>
      </c>
      <c r="AR851" t="s">
        <v>16285</v>
      </c>
      <c r="AS851" t="s">
        <v>16286</v>
      </c>
      <c r="AT851" t="s">
        <v>16287</v>
      </c>
      <c r="AU851">
        <v>2023</v>
      </c>
      <c r="AV851">
        <v>963</v>
      </c>
      <c r="AW851" t="s">
        <v>74</v>
      </c>
      <c r="AX851" t="s">
        <v>74</v>
      </c>
      <c r="AY851" t="s">
        <v>74</v>
      </c>
      <c r="AZ851" t="s">
        <v>74</v>
      </c>
      <c r="BA851" t="s">
        <v>74</v>
      </c>
      <c r="BB851" t="s">
        <v>74</v>
      </c>
      <c r="BC851" t="s">
        <v>74</v>
      </c>
      <c r="BD851" t="s">
        <v>16288</v>
      </c>
      <c r="BE851" t="s">
        <v>16289</v>
      </c>
      <c r="BF851" t="str">
        <f>HYPERLINK("http://dx.doi.org/10.1017/jfm.2023.347","http://dx.doi.org/10.1017/jfm.2023.347")</f>
        <v>http://dx.doi.org/10.1017/jfm.2023.347</v>
      </c>
      <c r="BG851" t="s">
        <v>74</v>
      </c>
      <c r="BH851" t="s">
        <v>74</v>
      </c>
      <c r="BI851">
        <v>14</v>
      </c>
      <c r="BJ851" t="s">
        <v>16290</v>
      </c>
      <c r="BK851" t="s">
        <v>104</v>
      </c>
      <c r="BL851" t="s">
        <v>16291</v>
      </c>
      <c r="BM851" t="s">
        <v>16292</v>
      </c>
      <c r="BN851" t="s">
        <v>74</v>
      </c>
      <c r="BO851" t="s">
        <v>418</v>
      </c>
      <c r="BP851" t="s">
        <v>74</v>
      </c>
      <c r="BQ851" t="s">
        <v>74</v>
      </c>
      <c r="BR851" t="s">
        <v>107</v>
      </c>
      <c r="BS851" t="s">
        <v>16293</v>
      </c>
      <c r="BT851" t="str">
        <f>HYPERLINK("https%3A%2F%2Fwww.webofscience.com%2Fwos%2Fwoscc%2Ffull-record%2FWOS:000992198500001","View Full Record in Web of Science")</f>
        <v>View Full Record in Web of Science</v>
      </c>
    </row>
    <row r="852" spans="1:72" x14ac:dyDescent="0.15">
      <c r="A852" t="s">
        <v>72</v>
      </c>
      <c r="B852" t="s">
        <v>16294</v>
      </c>
      <c r="C852" t="s">
        <v>74</v>
      </c>
      <c r="D852" t="s">
        <v>74</v>
      </c>
      <c r="E852" t="s">
        <v>74</v>
      </c>
      <c r="F852" t="s">
        <v>16295</v>
      </c>
      <c r="G852" t="s">
        <v>74</v>
      </c>
      <c r="H852" t="s">
        <v>74</v>
      </c>
      <c r="I852" t="s">
        <v>16296</v>
      </c>
      <c r="J852" t="s">
        <v>1031</v>
      </c>
      <c r="K852" t="s">
        <v>74</v>
      </c>
      <c r="L852" t="s">
        <v>74</v>
      </c>
      <c r="M852" t="s">
        <v>78</v>
      </c>
      <c r="N852" t="s">
        <v>79</v>
      </c>
      <c r="O852" t="s">
        <v>74</v>
      </c>
      <c r="P852" t="s">
        <v>74</v>
      </c>
      <c r="Q852" t="s">
        <v>74</v>
      </c>
      <c r="R852" t="s">
        <v>74</v>
      </c>
      <c r="S852" t="s">
        <v>74</v>
      </c>
      <c r="T852" t="s">
        <v>16297</v>
      </c>
      <c r="U852" t="s">
        <v>16298</v>
      </c>
      <c r="V852" t="s">
        <v>16299</v>
      </c>
      <c r="W852" t="s">
        <v>16300</v>
      </c>
      <c r="X852" t="s">
        <v>16301</v>
      </c>
      <c r="Y852" t="s">
        <v>16302</v>
      </c>
      <c r="Z852" t="s">
        <v>16303</v>
      </c>
      <c r="AA852" t="s">
        <v>16304</v>
      </c>
      <c r="AB852" t="s">
        <v>16305</v>
      </c>
      <c r="AC852" t="s">
        <v>16306</v>
      </c>
      <c r="AD852" t="s">
        <v>16307</v>
      </c>
      <c r="AE852" t="s">
        <v>16308</v>
      </c>
      <c r="AF852" t="s">
        <v>74</v>
      </c>
      <c r="AG852">
        <v>63</v>
      </c>
      <c r="AH852">
        <v>1</v>
      </c>
      <c r="AI852">
        <v>2</v>
      </c>
      <c r="AJ852">
        <v>0</v>
      </c>
      <c r="AK852">
        <v>1</v>
      </c>
      <c r="AL852" t="s">
        <v>369</v>
      </c>
      <c r="AM852" t="s">
        <v>370</v>
      </c>
      <c r="AN852" t="s">
        <v>371</v>
      </c>
      <c r="AO852" t="s">
        <v>74</v>
      </c>
      <c r="AP852" t="s">
        <v>1042</v>
      </c>
      <c r="AQ852" t="s">
        <v>74</v>
      </c>
      <c r="AR852" t="s">
        <v>1031</v>
      </c>
      <c r="AS852" t="s">
        <v>1043</v>
      </c>
      <c r="AT852" t="s">
        <v>16287</v>
      </c>
      <c r="AU852">
        <v>2023</v>
      </c>
      <c r="AV852">
        <v>12</v>
      </c>
      <c r="AW852">
        <v>5</v>
      </c>
      <c r="AX852" t="s">
        <v>74</v>
      </c>
      <c r="AY852" t="s">
        <v>74</v>
      </c>
      <c r="AZ852" t="s">
        <v>74</v>
      </c>
      <c r="BA852" t="s">
        <v>74</v>
      </c>
      <c r="BB852" t="s">
        <v>74</v>
      </c>
      <c r="BC852" t="s">
        <v>74</v>
      </c>
      <c r="BD852">
        <v>748</v>
      </c>
      <c r="BE852" t="s">
        <v>16309</v>
      </c>
      <c r="BF852" t="str">
        <f>HYPERLINK("http://dx.doi.org/10.3390/biology12050748","http://dx.doi.org/10.3390/biology12050748")</f>
        <v>http://dx.doi.org/10.3390/biology12050748</v>
      </c>
      <c r="BG852" t="s">
        <v>74</v>
      </c>
      <c r="BH852" t="s">
        <v>74</v>
      </c>
      <c r="BI852">
        <v>12</v>
      </c>
      <c r="BJ852" t="s">
        <v>1045</v>
      </c>
      <c r="BK852" t="s">
        <v>104</v>
      </c>
      <c r="BL852" t="s">
        <v>1046</v>
      </c>
      <c r="BM852" t="s">
        <v>16310</v>
      </c>
      <c r="BN852">
        <v>37237561</v>
      </c>
      <c r="BO852" t="s">
        <v>181</v>
      </c>
      <c r="BP852" t="s">
        <v>74</v>
      </c>
      <c r="BQ852" t="s">
        <v>74</v>
      </c>
      <c r="BR852" t="s">
        <v>107</v>
      </c>
      <c r="BS852" t="s">
        <v>16311</v>
      </c>
      <c r="BT852" t="str">
        <f>HYPERLINK("https%3A%2F%2Fwww.webofscience.com%2Fwos%2Fwoscc%2Ffull-record%2FWOS:000995544600001","View Full Record in Web of Science")</f>
        <v>View Full Record in Web of Science</v>
      </c>
    </row>
    <row r="853" spans="1:72" x14ac:dyDescent="0.15">
      <c r="A853" t="s">
        <v>72</v>
      </c>
      <c r="B853" t="s">
        <v>16312</v>
      </c>
      <c r="C853" t="s">
        <v>74</v>
      </c>
      <c r="D853" t="s">
        <v>74</v>
      </c>
      <c r="E853" t="s">
        <v>74</v>
      </c>
      <c r="F853" t="s">
        <v>16313</v>
      </c>
      <c r="G853" t="s">
        <v>74</v>
      </c>
      <c r="H853" t="s">
        <v>74</v>
      </c>
      <c r="I853" t="s">
        <v>16314</v>
      </c>
      <c r="J853" t="s">
        <v>16315</v>
      </c>
      <c r="K853" t="s">
        <v>74</v>
      </c>
      <c r="L853" t="s">
        <v>74</v>
      </c>
      <c r="M853" t="s">
        <v>78</v>
      </c>
      <c r="N853" t="s">
        <v>79</v>
      </c>
      <c r="O853" t="s">
        <v>74</v>
      </c>
      <c r="P853" t="s">
        <v>74</v>
      </c>
      <c r="Q853" t="s">
        <v>74</v>
      </c>
      <c r="R853" t="s">
        <v>74</v>
      </c>
      <c r="S853" t="s">
        <v>74</v>
      </c>
      <c r="T853" t="s">
        <v>16316</v>
      </c>
      <c r="U853" t="s">
        <v>16317</v>
      </c>
      <c r="V853" t="s">
        <v>16318</v>
      </c>
      <c r="W853" t="s">
        <v>16319</v>
      </c>
      <c r="X853" t="s">
        <v>16320</v>
      </c>
      <c r="Y853" t="s">
        <v>16321</v>
      </c>
      <c r="Z853" t="s">
        <v>16322</v>
      </c>
      <c r="AA853" t="s">
        <v>74</v>
      </c>
      <c r="AB853" t="s">
        <v>16323</v>
      </c>
      <c r="AC853" t="s">
        <v>16324</v>
      </c>
      <c r="AD853" t="s">
        <v>16325</v>
      </c>
      <c r="AE853" t="s">
        <v>16326</v>
      </c>
      <c r="AF853" t="s">
        <v>74</v>
      </c>
      <c r="AG853">
        <v>80</v>
      </c>
      <c r="AH853">
        <v>3</v>
      </c>
      <c r="AI853">
        <v>3</v>
      </c>
      <c r="AJ853">
        <v>5</v>
      </c>
      <c r="AK853">
        <v>6</v>
      </c>
      <c r="AL853" t="s">
        <v>3210</v>
      </c>
      <c r="AM853" t="s">
        <v>615</v>
      </c>
      <c r="AN853" t="s">
        <v>3211</v>
      </c>
      <c r="AO853" t="s">
        <v>16327</v>
      </c>
      <c r="AP853" t="s">
        <v>16328</v>
      </c>
      <c r="AQ853" t="s">
        <v>74</v>
      </c>
      <c r="AR853" t="s">
        <v>16315</v>
      </c>
      <c r="AS853" t="s">
        <v>16329</v>
      </c>
      <c r="AT853" t="s">
        <v>16287</v>
      </c>
      <c r="AU853">
        <v>2023</v>
      </c>
      <c r="AV853" t="s">
        <v>74</v>
      </c>
      <c r="AW853">
        <v>1163</v>
      </c>
      <c r="AX853" t="s">
        <v>74</v>
      </c>
      <c r="AY853" t="s">
        <v>74</v>
      </c>
      <c r="AZ853" t="s">
        <v>74</v>
      </c>
      <c r="BA853" t="s">
        <v>74</v>
      </c>
      <c r="BB853">
        <v>78</v>
      </c>
      <c r="BC853">
        <v>118</v>
      </c>
      <c r="BD853" t="s">
        <v>74</v>
      </c>
      <c r="BE853" t="s">
        <v>16330</v>
      </c>
      <c r="BF853" t="str">
        <f>HYPERLINK("http://dx.doi.org/10.3897/zookeys.1163.100485","http://dx.doi.org/10.3897/zookeys.1163.100485")</f>
        <v>http://dx.doi.org/10.3897/zookeys.1163.100485</v>
      </c>
      <c r="BG853" t="s">
        <v>74</v>
      </c>
      <c r="BH853" t="s">
        <v>74</v>
      </c>
      <c r="BI853">
        <v>41</v>
      </c>
      <c r="BJ853" t="s">
        <v>620</v>
      </c>
      <c r="BK853" t="s">
        <v>104</v>
      </c>
      <c r="BL853" t="s">
        <v>620</v>
      </c>
      <c r="BM853" t="s">
        <v>16331</v>
      </c>
      <c r="BN853">
        <v>37250366</v>
      </c>
      <c r="BO853" t="s">
        <v>181</v>
      </c>
      <c r="BP853" t="s">
        <v>74</v>
      </c>
      <c r="BQ853" t="s">
        <v>74</v>
      </c>
      <c r="BR853" t="s">
        <v>107</v>
      </c>
      <c r="BS853" t="s">
        <v>16332</v>
      </c>
      <c r="BT853" t="str">
        <f>HYPERLINK("https%3A%2F%2Fwww.webofscience.com%2Fwos%2Fwoscc%2Ffull-record%2FWOS:000996270400003","View Full Record in Web of Science")</f>
        <v>View Full Record in Web of Science</v>
      </c>
    </row>
    <row r="854" spans="1:72" x14ac:dyDescent="0.15">
      <c r="A854" t="s">
        <v>72</v>
      </c>
      <c r="B854" t="s">
        <v>16333</v>
      </c>
      <c r="C854" t="s">
        <v>74</v>
      </c>
      <c r="D854" t="s">
        <v>74</v>
      </c>
      <c r="E854" t="s">
        <v>74</v>
      </c>
      <c r="F854" t="s">
        <v>16334</v>
      </c>
      <c r="G854" t="s">
        <v>74</v>
      </c>
      <c r="H854" t="s">
        <v>74</v>
      </c>
      <c r="I854" t="s">
        <v>16335</v>
      </c>
      <c r="J854" t="s">
        <v>3756</v>
      </c>
      <c r="K854" t="s">
        <v>74</v>
      </c>
      <c r="L854" t="s">
        <v>74</v>
      </c>
      <c r="M854" t="s">
        <v>78</v>
      </c>
      <c r="N854" t="s">
        <v>79</v>
      </c>
      <c r="O854" t="s">
        <v>74</v>
      </c>
      <c r="P854" t="s">
        <v>74</v>
      </c>
      <c r="Q854" t="s">
        <v>74</v>
      </c>
      <c r="R854" t="s">
        <v>74</v>
      </c>
      <c r="S854" t="s">
        <v>74</v>
      </c>
      <c r="T854" t="s">
        <v>16336</v>
      </c>
      <c r="U854" t="s">
        <v>16337</v>
      </c>
      <c r="V854" t="s">
        <v>16338</v>
      </c>
      <c r="W854" t="s">
        <v>16339</v>
      </c>
      <c r="X854" t="s">
        <v>16340</v>
      </c>
      <c r="Y854" t="s">
        <v>16341</v>
      </c>
      <c r="Z854" t="s">
        <v>8370</v>
      </c>
      <c r="AA854" t="s">
        <v>74</v>
      </c>
      <c r="AB854" t="s">
        <v>74</v>
      </c>
      <c r="AC854" t="s">
        <v>16342</v>
      </c>
      <c r="AD854" t="s">
        <v>16343</v>
      </c>
      <c r="AE854" t="s">
        <v>16344</v>
      </c>
      <c r="AF854" t="s">
        <v>74</v>
      </c>
      <c r="AG854">
        <v>61</v>
      </c>
      <c r="AH854">
        <v>2</v>
      </c>
      <c r="AI854">
        <v>2</v>
      </c>
      <c r="AJ854">
        <v>6</v>
      </c>
      <c r="AK854">
        <v>9</v>
      </c>
      <c r="AL854" t="s">
        <v>298</v>
      </c>
      <c r="AM854" t="s">
        <v>299</v>
      </c>
      <c r="AN854" t="s">
        <v>300</v>
      </c>
      <c r="AO854" t="s">
        <v>3767</v>
      </c>
      <c r="AP854" t="s">
        <v>3768</v>
      </c>
      <c r="AQ854" t="s">
        <v>74</v>
      </c>
      <c r="AR854" t="s">
        <v>3769</v>
      </c>
      <c r="AS854" t="s">
        <v>3770</v>
      </c>
      <c r="AT854" t="s">
        <v>3612</v>
      </c>
      <c r="AU854">
        <v>2023</v>
      </c>
      <c r="AV854">
        <v>46</v>
      </c>
      <c r="AW854">
        <v>7</v>
      </c>
      <c r="AX854" t="s">
        <v>74</v>
      </c>
      <c r="AY854" t="s">
        <v>74</v>
      </c>
      <c r="AZ854" t="s">
        <v>74</v>
      </c>
      <c r="BA854" t="s">
        <v>74</v>
      </c>
      <c r="BB854">
        <v>623</v>
      </c>
      <c r="BC854">
        <v>637</v>
      </c>
      <c r="BD854" t="s">
        <v>74</v>
      </c>
      <c r="BE854" t="s">
        <v>16345</v>
      </c>
      <c r="BF854" t="str">
        <f>HYPERLINK("http://dx.doi.org/10.1007/s00300-023-03152-6","http://dx.doi.org/10.1007/s00300-023-03152-6")</f>
        <v>http://dx.doi.org/10.1007/s00300-023-03152-6</v>
      </c>
      <c r="BG854" t="s">
        <v>74</v>
      </c>
      <c r="BH854" t="s">
        <v>15114</v>
      </c>
      <c r="BI854">
        <v>15</v>
      </c>
      <c r="BJ854" t="s">
        <v>3772</v>
      </c>
      <c r="BK854" t="s">
        <v>104</v>
      </c>
      <c r="BL854" t="s">
        <v>1905</v>
      </c>
      <c r="BM854" t="s">
        <v>13347</v>
      </c>
      <c r="BN854" t="s">
        <v>74</v>
      </c>
      <c r="BO854" t="s">
        <v>74</v>
      </c>
      <c r="BP854" t="s">
        <v>74</v>
      </c>
      <c r="BQ854" t="s">
        <v>74</v>
      </c>
      <c r="BR854" t="s">
        <v>107</v>
      </c>
      <c r="BS854" t="s">
        <v>16346</v>
      </c>
      <c r="BT854" t="str">
        <f>HYPERLINK("https%3A%2F%2Fwww.webofscience.com%2Fwos%2Fwoscc%2Ffull-record%2FWOS:000990962300001","View Full Record in Web of Science")</f>
        <v>View Full Record in Web of Science</v>
      </c>
    </row>
    <row r="855" spans="1:72" x14ac:dyDescent="0.15">
      <c r="A855" t="s">
        <v>72</v>
      </c>
      <c r="B855" t="s">
        <v>16347</v>
      </c>
      <c r="C855" t="s">
        <v>74</v>
      </c>
      <c r="D855" t="s">
        <v>74</v>
      </c>
      <c r="E855" t="s">
        <v>74</v>
      </c>
      <c r="F855" t="s">
        <v>16348</v>
      </c>
      <c r="G855" t="s">
        <v>74</v>
      </c>
      <c r="H855" t="s">
        <v>74</v>
      </c>
      <c r="I855" t="s">
        <v>16349</v>
      </c>
      <c r="J855" t="s">
        <v>16350</v>
      </c>
      <c r="K855" t="s">
        <v>74</v>
      </c>
      <c r="L855" t="s">
        <v>74</v>
      </c>
      <c r="M855" t="s">
        <v>78</v>
      </c>
      <c r="N855" t="s">
        <v>79</v>
      </c>
      <c r="O855" t="s">
        <v>74</v>
      </c>
      <c r="P855" t="s">
        <v>74</v>
      </c>
      <c r="Q855" t="s">
        <v>74</v>
      </c>
      <c r="R855" t="s">
        <v>74</v>
      </c>
      <c r="S855" t="s">
        <v>74</v>
      </c>
      <c r="T855" t="s">
        <v>16351</v>
      </c>
      <c r="U855" t="s">
        <v>16352</v>
      </c>
      <c r="V855" t="s">
        <v>16353</v>
      </c>
      <c r="W855" t="s">
        <v>16354</v>
      </c>
      <c r="X855" t="s">
        <v>16355</v>
      </c>
      <c r="Y855" t="s">
        <v>16356</v>
      </c>
      <c r="Z855" t="s">
        <v>16357</v>
      </c>
      <c r="AA855" t="s">
        <v>16358</v>
      </c>
      <c r="AB855" t="s">
        <v>16359</v>
      </c>
      <c r="AC855" t="s">
        <v>16360</v>
      </c>
      <c r="AD855" t="s">
        <v>16361</v>
      </c>
      <c r="AE855" t="s">
        <v>16362</v>
      </c>
      <c r="AF855" t="s">
        <v>74</v>
      </c>
      <c r="AG855">
        <v>55</v>
      </c>
      <c r="AH855">
        <v>1</v>
      </c>
      <c r="AI855">
        <v>1</v>
      </c>
      <c r="AJ855">
        <v>0</v>
      </c>
      <c r="AK855">
        <v>0</v>
      </c>
      <c r="AL855" t="s">
        <v>3210</v>
      </c>
      <c r="AM855" t="s">
        <v>615</v>
      </c>
      <c r="AN855" t="s">
        <v>3211</v>
      </c>
      <c r="AO855" t="s">
        <v>74</v>
      </c>
      <c r="AP855" t="s">
        <v>16363</v>
      </c>
      <c r="AQ855" t="s">
        <v>74</v>
      </c>
      <c r="AR855" t="s">
        <v>16364</v>
      </c>
      <c r="AS855" t="s">
        <v>16365</v>
      </c>
      <c r="AT855" t="s">
        <v>16287</v>
      </c>
      <c r="AU855">
        <v>2023</v>
      </c>
      <c r="AV855">
        <v>26</v>
      </c>
      <c r="AW855">
        <v>1</v>
      </c>
      <c r="AX855" t="s">
        <v>74</v>
      </c>
      <c r="AY855" t="s">
        <v>74</v>
      </c>
      <c r="AZ855" t="s">
        <v>74</v>
      </c>
      <c r="BA855" t="s">
        <v>74</v>
      </c>
      <c r="BB855">
        <v>103</v>
      </c>
      <c r="BC855">
        <v>115</v>
      </c>
      <c r="BD855" t="s">
        <v>74</v>
      </c>
      <c r="BE855" t="s">
        <v>16366</v>
      </c>
      <c r="BF855" t="str">
        <f>HYPERLINK("http://dx.doi.org/10.3897/fr.26.102570","http://dx.doi.org/10.3897/fr.26.102570")</f>
        <v>http://dx.doi.org/10.3897/fr.26.102570</v>
      </c>
      <c r="BG855" t="s">
        <v>74</v>
      </c>
      <c r="BH855" t="s">
        <v>74</v>
      </c>
      <c r="BI855">
        <v>13</v>
      </c>
      <c r="BJ855" t="s">
        <v>10082</v>
      </c>
      <c r="BK855" t="s">
        <v>104</v>
      </c>
      <c r="BL855" t="s">
        <v>10082</v>
      </c>
      <c r="BM855" t="s">
        <v>16367</v>
      </c>
      <c r="BN855" t="s">
        <v>74</v>
      </c>
      <c r="BO855" t="s">
        <v>181</v>
      </c>
      <c r="BP855" t="s">
        <v>74</v>
      </c>
      <c r="BQ855" t="s">
        <v>74</v>
      </c>
      <c r="BR855" t="s">
        <v>107</v>
      </c>
      <c r="BS855" t="s">
        <v>16368</v>
      </c>
      <c r="BT855" t="str">
        <f>HYPERLINK("https%3A%2F%2Fwww.webofscience.com%2Fwos%2Fwoscc%2Ffull-record%2FWOS:000989534700001","View Full Record in Web of Science")</f>
        <v>View Full Record in Web of Science</v>
      </c>
    </row>
    <row r="856" spans="1:72" x14ac:dyDescent="0.15">
      <c r="A856" t="s">
        <v>72</v>
      </c>
      <c r="B856" t="s">
        <v>16369</v>
      </c>
      <c r="C856" t="s">
        <v>74</v>
      </c>
      <c r="D856" t="s">
        <v>74</v>
      </c>
      <c r="E856" t="s">
        <v>74</v>
      </c>
      <c r="F856" t="s">
        <v>16370</v>
      </c>
      <c r="G856" t="s">
        <v>74</v>
      </c>
      <c r="H856" t="s">
        <v>74</v>
      </c>
      <c r="I856" t="s">
        <v>16371</v>
      </c>
      <c r="J856" t="s">
        <v>6547</v>
      </c>
      <c r="K856" t="s">
        <v>74</v>
      </c>
      <c r="L856" t="s">
        <v>74</v>
      </c>
      <c r="M856" t="s">
        <v>78</v>
      </c>
      <c r="N856" t="s">
        <v>424</v>
      </c>
      <c r="O856" t="s">
        <v>74</v>
      </c>
      <c r="P856" t="s">
        <v>74</v>
      </c>
      <c r="Q856" t="s">
        <v>74</v>
      </c>
      <c r="R856" t="s">
        <v>74</v>
      </c>
      <c r="S856" t="s">
        <v>74</v>
      </c>
      <c r="T856" t="s">
        <v>16372</v>
      </c>
      <c r="U856" t="s">
        <v>16373</v>
      </c>
      <c r="V856" t="s">
        <v>16374</v>
      </c>
      <c r="W856" t="s">
        <v>16375</v>
      </c>
      <c r="X856" t="s">
        <v>16376</v>
      </c>
      <c r="Y856" t="s">
        <v>16377</v>
      </c>
      <c r="Z856" t="s">
        <v>16378</v>
      </c>
      <c r="AA856" t="s">
        <v>16379</v>
      </c>
      <c r="AB856" t="s">
        <v>16380</v>
      </c>
      <c r="AC856" t="s">
        <v>16381</v>
      </c>
      <c r="AD856" t="s">
        <v>16382</v>
      </c>
      <c r="AE856" t="s">
        <v>16383</v>
      </c>
      <c r="AF856" t="s">
        <v>74</v>
      </c>
      <c r="AG856">
        <v>626</v>
      </c>
      <c r="AH856">
        <v>4</v>
      </c>
      <c r="AI856">
        <v>4</v>
      </c>
      <c r="AJ856">
        <v>19</v>
      </c>
      <c r="AK856">
        <v>29</v>
      </c>
      <c r="AL856" t="s">
        <v>172</v>
      </c>
      <c r="AM856" t="s">
        <v>173</v>
      </c>
      <c r="AN856" t="s">
        <v>174</v>
      </c>
      <c r="AO856" t="s">
        <v>6559</v>
      </c>
      <c r="AP856" t="s">
        <v>6560</v>
      </c>
      <c r="AQ856" t="s">
        <v>74</v>
      </c>
      <c r="AR856" t="s">
        <v>6561</v>
      </c>
      <c r="AS856" t="s">
        <v>6562</v>
      </c>
      <c r="AT856" t="s">
        <v>3612</v>
      </c>
      <c r="AU856">
        <v>2023</v>
      </c>
      <c r="AV856">
        <v>226</v>
      </c>
      <c r="AW856" t="s">
        <v>74</v>
      </c>
      <c r="AX856" t="s">
        <v>74</v>
      </c>
      <c r="AY856" t="s">
        <v>74</v>
      </c>
      <c r="AZ856" t="s">
        <v>74</v>
      </c>
      <c r="BA856" t="s">
        <v>74</v>
      </c>
      <c r="BB856" t="s">
        <v>74</v>
      </c>
      <c r="BC856" t="s">
        <v>74</v>
      </c>
      <c r="BD856">
        <v>104140</v>
      </c>
      <c r="BE856" t="s">
        <v>16384</v>
      </c>
      <c r="BF856" t="str">
        <f>HYPERLINK("http://dx.doi.org/10.1016/j.gloplacha.2023.104140","http://dx.doi.org/10.1016/j.gloplacha.2023.104140")</f>
        <v>http://dx.doi.org/10.1016/j.gloplacha.2023.104140</v>
      </c>
      <c r="BG856" t="s">
        <v>74</v>
      </c>
      <c r="BH856" t="s">
        <v>15114</v>
      </c>
      <c r="BI856">
        <v>42</v>
      </c>
      <c r="BJ856" t="s">
        <v>1783</v>
      </c>
      <c r="BK856" t="s">
        <v>104</v>
      </c>
      <c r="BL856" t="s">
        <v>1784</v>
      </c>
      <c r="BM856" t="s">
        <v>16385</v>
      </c>
      <c r="BN856" t="s">
        <v>74</v>
      </c>
      <c r="BO856" t="s">
        <v>1217</v>
      </c>
      <c r="BP856" t="s">
        <v>74</v>
      </c>
      <c r="BQ856" t="s">
        <v>74</v>
      </c>
      <c r="BR856" t="s">
        <v>107</v>
      </c>
      <c r="BS856" t="s">
        <v>16386</v>
      </c>
      <c r="BT856" t="str">
        <f>HYPERLINK("https%3A%2F%2Fwww.webofscience.com%2Fwos%2Fwoscc%2Ffull-record%2FWOS:001004594000001","View Full Record in Web of Science")</f>
        <v>View Full Record in Web of Science</v>
      </c>
    </row>
    <row r="857" spans="1:72" x14ac:dyDescent="0.15">
      <c r="A857" t="s">
        <v>72</v>
      </c>
      <c r="B857" t="s">
        <v>16387</v>
      </c>
      <c r="C857" t="s">
        <v>74</v>
      </c>
      <c r="D857" t="s">
        <v>74</v>
      </c>
      <c r="E857" t="s">
        <v>74</v>
      </c>
      <c r="F857" t="s">
        <v>16388</v>
      </c>
      <c r="G857" t="s">
        <v>74</v>
      </c>
      <c r="H857" t="s">
        <v>74</v>
      </c>
      <c r="I857" t="s">
        <v>16389</v>
      </c>
      <c r="J857" t="s">
        <v>2031</v>
      </c>
      <c r="K857" t="s">
        <v>74</v>
      </c>
      <c r="L857" t="s">
        <v>74</v>
      </c>
      <c r="M857" t="s">
        <v>78</v>
      </c>
      <c r="N857" t="s">
        <v>79</v>
      </c>
      <c r="O857" t="s">
        <v>74</v>
      </c>
      <c r="P857" t="s">
        <v>74</v>
      </c>
      <c r="Q857" t="s">
        <v>74</v>
      </c>
      <c r="R857" t="s">
        <v>74</v>
      </c>
      <c r="S857" t="s">
        <v>74</v>
      </c>
      <c r="T857" t="s">
        <v>16390</v>
      </c>
      <c r="U857" t="s">
        <v>16391</v>
      </c>
      <c r="V857" t="s">
        <v>16392</v>
      </c>
      <c r="W857" t="s">
        <v>16393</v>
      </c>
      <c r="X857" t="s">
        <v>16394</v>
      </c>
      <c r="Y857" t="s">
        <v>16395</v>
      </c>
      <c r="Z857" t="s">
        <v>16396</v>
      </c>
      <c r="AA857" t="s">
        <v>16397</v>
      </c>
      <c r="AB857" t="s">
        <v>16398</v>
      </c>
      <c r="AC857" t="s">
        <v>16399</v>
      </c>
      <c r="AD857" t="s">
        <v>16399</v>
      </c>
      <c r="AE857" t="s">
        <v>16400</v>
      </c>
      <c r="AF857" t="s">
        <v>74</v>
      </c>
      <c r="AG857">
        <v>63</v>
      </c>
      <c r="AH857">
        <v>0</v>
      </c>
      <c r="AI857">
        <v>0</v>
      </c>
      <c r="AJ857">
        <v>2</v>
      </c>
      <c r="AK857">
        <v>3</v>
      </c>
      <c r="AL857" t="s">
        <v>172</v>
      </c>
      <c r="AM857" t="s">
        <v>173</v>
      </c>
      <c r="AN857" t="s">
        <v>174</v>
      </c>
      <c r="AO857" t="s">
        <v>2044</v>
      </c>
      <c r="AP857" t="s">
        <v>2045</v>
      </c>
      <c r="AQ857" t="s">
        <v>74</v>
      </c>
      <c r="AR857" t="s">
        <v>2046</v>
      </c>
      <c r="AS857" t="s">
        <v>2047</v>
      </c>
      <c r="AT857" t="s">
        <v>16401</v>
      </c>
      <c r="AU857">
        <v>2023</v>
      </c>
      <c r="AV857">
        <v>887</v>
      </c>
      <c r="AW857" t="s">
        <v>74</v>
      </c>
      <c r="AX857" t="s">
        <v>74</v>
      </c>
      <c r="AY857" t="s">
        <v>74</v>
      </c>
      <c r="AZ857" t="s">
        <v>74</v>
      </c>
      <c r="BA857" t="s">
        <v>74</v>
      </c>
      <c r="BB857" t="s">
        <v>74</v>
      </c>
      <c r="BC857" t="s">
        <v>74</v>
      </c>
      <c r="BD857">
        <v>164053</v>
      </c>
      <c r="BE857" t="s">
        <v>16402</v>
      </c>
      <c r="BF857" t="str">
        <f>HYPERLINK("http://dx.doi.org/10.1016/j.scitotenv.2023.164053","http://dx.doi.org/10.1016/j.scitotenv.2023.164053")</f>
        <v>http://dx.doi.org/10.1016/j.scitotenv.2023.164053</v>
      </c>
      <c r="BG857" t="s">
        <v>74</v>
      </c>
      <c r="BH857" t="s">
        <v>15114</v>
      </c>
      <c r="BI857">
        <v>9</v>
      </c>
      <c r="BJ857" t="s">
        <v>2050</v>
      </c>
      <c r="BK857" t="s">
        <v>104</v>
      </c>
      <c r="BL857" t="s">
        <v>1535</v>
      </c>
      <c r="BM857" t="s">
        <v>16403</v>
      </c>
      <c r="BN857">
        <v>37178847</v>
      </c>
      <c r="BO857" t="s">
        <v>1217</v>
      </c>
      <c r="BP857" t="s">
        <v>74</v>
      </c>
      <c r="BQ857" t="s">
        <v>74</v>
      </c>
      <c r="BR857" t="s">
        <v>107</v>
      </c>
      <c r="BS857" t="s">
        <v>16404</v>
      </c>
      <c r="BT857" t="str">
        <f>HYPERLINK("https%3A%2F%2Fwww.webofscience.com%2Fwos%2Fwoscc%2Ffull-record%2FWOS:001003129100001","View Full Record in Web of Science")</f>
        <v>View Full Record in Web of Science</v>
      </c>
    </row>
    <row r="858" spans="1:72" x14ac:dyDescent="0.15">
      <c r="A858" t="s">
        <v>72</v>
      </c>
      <c r="B858" t="s">
        <v>16405</v>
      </c>
      <c r="C858" t="s">
        <v>74</v>
      </c>
      <c r="D858" t="s">
        <v>74</v>
      </c>
      <c r="E858" t="s">
        <v>74</v>
      </c>
      <c r="F858" t="s">
        <v>16406</v>
      </c>
      <c r="G858" t="s">
        <v>74</v>
      </c>
      <c r="H858" t="s">
        <v>74</v>
      </c>
      <c r="I858" t="s">
        <v>16407</v>
      </c>
      <c r="J858" t="s">
        <v>16408</v>
      </c>
      <c r="K858" t="s">
        <v>74</v>
      </c>
      <c r="L858" t="s">
        <v>74</v>
      </c>
      <c r="M858" t="s">
        <v>78</v>
      </c>
      <c r="N858" t="s">
        <v>79</v>
      </c>
      <c r="O858" t="s">
        <v>74</v>
      </c>
      <c r="P858" t="s">
        <v>74</v>
      </c>
      <c r="Q858" t="s">
        <v>74</v>
      </c>
      <c r="R858" t="s">
        <v>74</v>
      </c>
      <c r="S858" t="s">
        <v>74</v>
      </c>
      <c r="T858" t="s">
        <v>16409</v>
      </c>
      <c r="U858" t="s">
        <v>16410</v>
      </c>
      <c r="V858" t="s">
        <v>16411</v>
      </c>
      <c r="W858" t="s">
        <v>16412</v>
      </c>
      <c r="X858" t="s">
        <v>4502</v>
      </c>
      <c r="Y858" t="s">
        <v>6974</v>
      </c>
      <c r="Z858" t="s">
        <v>6975</v>
      </c>
      <c r="AA858" t="s">
        <v>16413</v>
      </c>
      <c r="AB858" t="s">
        <v>16414</v>
      </c>
      <c r="AC858" t="s">
        <v>16415</v>
      </c>
      <c r="AD858" t="s">
        <v>16416</v>
      </c>
      <c r="AE858" t="s">
        <v>16417</v>
      </c>
      <c r="AF858" t="s">
        <v>74</v>
      </c>
      <c r="AG858">
        <v>93</v>
      </c>
      <c r="AH858">
        <v>1</v>
      </c>
      <c r="AI858">
        <v>2</v>
      </c>
      <c r="AJ858">
        <v>2</v>
      </c>
      <c r="AK858">
        <v>3</v>
      </c>
      <c r="AL858" t="s">
        <v>172</v>
      </c>
      <c r="AM858" t="s">
        <v>173</v>
      </c>
      <c r="AN858" t="s">
        <v>174</v>
      </c>
      <c r="AO858" t="s">
        <v>16418</v>
      </c>
      <c r="AP858" t="s">
        <v>16419</v>
      </c>
      <c r="AQ858" t="s">
        <v>74</v>
      </c>
      <c r="AR858" t="s">
        <v>16420</v>
      </c>
      <c r="AS858" t="s">
        <v>16421</v>
      </c>
      <c r="AT858" t="s">
        <v>97</v>
      </c>
      <c r="AU858">
        <v>2023</v>
      </c>
      <c r="AV858">
        <v>265</v>
      </c>
      <c r="AW858" t="s">
        <v>74</v>
      </c>
      <c r="AX858" t="s">
        <v>74</v>
      </c>
      <c r="AY858" t="s">
        <v>74</v>
      </c>
      <c r="AZ858" t="s">
        <v>74</v>
      </c>
      <c r="BA858" t="s">
        <v>74</v>
      </c>
      <c r="BB858" t="s">
        <v>74</v>
      </c>
      <c r="BC858" t="s">
        <v>74</v>
      </c>
      <c r="BD858">
        <v>106742</v>
      </c>
      <c r="BE858" t="s">
        <v>16422</v>
      </c>
      <c r="BF858" t="str">
        <f>HYPERLINK("http://dx.doi.org/10.1016/j.fishres.2023.106742","http://dx.doi.org/10.1016/j.fishres.2023.106742")</f>
        <v>http://dx.doi.org/10.1016/j.fishres.2023.106742</v>
      </c>
      <c r="BG858" t="s">
        <v>74</v>
      </c>
      <c r="BH858" t="s">
        <v>15114</v>
      </c>
      <c r="BI858">
        <v>14</v>
      </c>
      <c r="BJ858" t="s">
        <v>4598</v>
      </c>
      <c r="BK858" t="s">
        <v>104</v>
      </c>
      <c r="BL858" t="s">
        <v>4598</v>
      </c>
      <c r="BM858" t="s">
        <v>16423</v>
      </c>
      <c r="BN858" t="s">
        <v>74</v>
      </c>
      <c r="BO858" t="s">
        <v>74</v>
      </c>
      <c r="BP858" t="s">
        <v>74</v>
      </c>
      <c r="BQ858" t="s">
        <v>74</v>
      </c>
      <c r="BR858" t="s">
        <v>107</v>
      </c>
      <c r="BS858" t="s">
        <v>16424</v>
      </c>
      <c r="BT858" t="str">
        <f>HYPERLINK("https%3A%2F%2Fwww.webofscience.com%2Fwos%2Fwoscc%2Ffull-record%2FWOS:001002394500001","View Full Record in Web of Science")</f>
        <v>View Full Record in Web of Science</v>
      </c>
    </row>
    <row r="859" spans="1:72" x14ac:dyDescent="0.15">
      <c r="A859" t="s">
        <v>72</v>
      </c>
      <c r="B859" t="s">
        <v>16425</v>
      </c>
      <c r="C859" t="s">
        <v>74</v>
      </c>
      <c r="D859" t="s">
        <v>74</v>
      </c>
      <c r="E859" t="s">
        <v>74</v>
      </c>
      <c r="F859" t="s">
        <v>16426</v>
      </c>
      <c r="G859" t="s">
        <v>74</v>
      </c>
      <c r="H859" t="s">
        <v>74</v>
      </c>
      <c r="I859" t="s">
        <v>16427</v>
      </c>
      <c r="J859" t="s">
        <v>16428</v>
      </c>
      <c r="K859" t="s">
        <v>74</v>
      </c>
      <c r="L859" t="s">
        <v>74</v>
      </c>
      <c r="M859" t="s">
        <v>78</v>
      </c>
      <c r="N859" t="s">
        <v>79</v>
      </c>
      <c r="O859" t="s">
        <v>74</v>
      </c>
      <c r="P859" t="s">
        <v>74</v>
      </c>
      <c r="Q859" t="s">
        <v>74</v>
      </c>
      <c r="R859" t="s">
        <v>74</v>
      </c>
      <c r="S859" t="s">
        <v>74</v>
      </c>
      <c r="T859" t="s">
        <v>16429</v>
      </c>
      <c r="U859" t="s">
        <v>16430</v>
      </c>
      <c r="V859" t="s">
        <v>16431</v>
      </c>
      <c r="W859" t="s">
        <v>16432</v>
      </c>
      <c r="X859" t="s">
        <v>16433</v>
      </c>
      <c r="Y859" t="s">
        <v>16434</v>
      </c>
      <c r="Z859" t="s">
        <v>16435</v>
      </c>
      <c r="AA859" t="s">
        <v>16436</v>
      </c>
      <c r="AB859" t="s">
        <v>16437</v>
      </c>
      <c r="AC859" t="s">
        <v>16438</v>
      </c>
      <c r="AD859" t="s">
        <v>16438</v>
      </c>
      <c r="AE859" t="s">
        <v>16439</v>
      </c>
      <c r="AF859" t="s">
        <v>74</v>
      </c>
      <c r="AG859">
        <v>107</v>
      </c>
      <c r="AH859">
        <v>1</v>
      </c>
      <c r="AI859">
        <v>1</v>
      </c>
      <c r="AJ859">
        <v>2</v>
      </c>
      <c r="AK859">
        <v>3</v>
      </c>
      <c r="AL859" t="s">
        <v>10272</v>
      </c>
      <c r="AM859" t="s">
        <v>1528</v>
      </c>
      <c r="AN859" t="s">
        <v>10273</v>
      </c>
      <c r="AO859" t="s">
        <v>16440</v>
      </c>
      <c r="AP859" t="s">
        <v>16441</v>
      </c>
      <c r="AQ859" t="s">
        <v>74</v>
      </c>
      <c r="AR859" t="s">
        <v>16442</v>
      </c>
      <c r="AS859" t="s">
        <v>16443</v>
      </c>
      <c r="AT859" t="s">
        <v>8990</v>
      </c>
      <c r="AU859">
        <v>2023</v>
      </c>
      <c r="AV859">
        <v>200</v>
      </c>
      <c r="AW859" t="s">
        <v>74</v>
      </c>
      <c r="AX859" t="s">
        <v>74</v>
      </c>
      <c r="AY859" t="s">
        <v>74</v>
      </c>
      <c r="AZ859" t="s">
        <v>74</v>
      </c>
      <c r="BA859" t="s">
        <v>74</v>
      </c>
      <c r="BB859">
        <v>183</v>
      </c>
      <c r="BC859">
        <v>197</v>
      </c>
      <c r="BD859" t="s">
        <v>74</v>
      </c>
      <c r="BE859" t="s">
        <v>16444</v>
      </c>
      <c r="BF859" t="str">
        <f>HYPERLINK("http://dx.doi.org/10.1016/j.anbehav.2023.03.006","http://dx.doi.org/10.1016/j.anbehav.2023.03.006")</f>
        <v>http://dx.doi.org/10.1016/j.anbehav.2023.03.006</v>
      </c>
      <c r="BG859" t="s">
        <v>74</v>
      </c>
      <c r="BH859" t="s">
        <v>15114</v>
      </c>
      <c r="BI859">
        <v>15</v>
      </c>
      <c r="BJ859" t="s">
        <v>16445</v>
      </c>
      <c r="BK859" t="s">
        <v>104</v>
      </c>
      <c r="BL859" t="s">
        <v>16445</v>
      </c>
      <c r="BM859" t="s">
        <v>16446</v>
      </c>
      <c r="BN859" t="s">
        <v>74</v>
      </c>
      <c r="BO859" t="s">
        <v>1217</v>
      </c>
      <c r="BP859" t="s">
        <v>74</v>
      </c>
      <c r="BQ859" t="s">
        <v>74</v>
      </c>
      <c r="BR859" t="s">
        <v>107</v>
      </c>
      <c r="BS859" t="s">
        <v>16447</v>
      </c>
      <c r="BT859" t="str">
        <f>HYPERLINK("https%3A%2F%2Fwww.webofscience.com%2Fwos%2Fwoscc%2Ffull-record%2FWOS:001001913800001","View Full Record in Web of Science")</f>
        <v>View Full Record in Web of Science</v>
      </c>
    </row>
    <row r="860" spans="1:72" x14ac:dyDescent="0.15">
      <c r="A860" t="s">
        <v>72</v>
      </c>
      <c r="B860" t="s">
        <v>16448</v>
      </c>
      <c r="C860" t="s">
        <v>74</v>
      </c>
      <c r="D860" t="s">
        <v>74</v>
      </c>
      <c r="E860" t="s">
        <v>74</v>
      </c>
      <c r="F860" t="s">
        <v>16449</v>
      </c>
      <c r="G860" t="s">
        <v>74</v>
      </c>
      <c r="H860" t="s">
        <v>74</v>
      </c>
      <c r="I860" t="s">
        <v>16450</v>
      </c>
      <c r="J860" t="s">
        <v>1820</v>
      </c>
      <c r="K860" t="s">
        <v>74</v>
      </c>
      <c r="L860" t="s">
        <v>74</v>
      </c>
      <c r="M860" t="s">
        <v>78</v>
      </c>
      <c r="N860" t="s">
        <v>79</v>
      </c>
      <c r="O860" t="s">
        <v>74</v>
      </c>
      <c r="P860" t="s">
        <v>74</v>
      </c>
      <c r="Q860" t="s">
        <v>74</v>
      </c>
      <c r="R860" t="s">
        <v>74</v>
      </c>
      <c r="S860" t="s">
        <v>74</v>
      </c>
      <c r="T860" t="s">
        <v>16451</v>
      </c>
      <c r="U860" t="s">
        <v>16452</v>
      </c>
      <c r="V860" t="s">
        <v>16453</v>
      </c>
      <c r="W860" t="s">
        <v>16454</v>
      </c>
      <c r="X860" t="s">
        <v>16455</v>
      </c>
      <c r="Y860" t="s">
        <v>16456</v>
      </c>
      <c r="Z860" t="s">
        <v>16457</v>
      </c>
      <c r="AA860" t="s">
        <v>16458</v>
      </c>
      <c r="AB860" t="s">
        <v>16459</v>
      </c>
      <c r="AC860" t="s">
        <v>16460</v>
      </c>
      <c r="AD860" t="s">
        <v>1123</v>
      </c>
      <c r="AE860" t="s">
        <v>16461</v>
      </c>
      <c r="AF860" t="s">
        <v>74</v>
      </c>
      <c r="AG860">
        <v>60</v>
      </c>
      <c r="AH860">
        <v>1</v>
      </c>
      <c r="AI860">
        <v>1</v>
      </c>
      <c r="AJ860">
        <v>9</v>
      </c>
      <c r="AK860">
        <v>15</v>
      </c>
      <c r="AL860" t="s">
        <v>994</v>
      </c>
      <c r="AM860" t="s">
        <v>995</v>
      </c>
      <c r="AN860" t="s">
        <v>996</v>
      </c>
      <c r="AO860" t="s">
        <v>74</v>
      </c>
      <c r="AP860" t="s">
        <v>1833</v>
      </c>
      <c r="AQ860" t="s">
        <v>74</v>
      </c>
      <c r="AR860" t="s">
        <v>1834</v>
      </c>
      <c r="AS860" t="s">
        <v>1835</v>
      </c>
      <c r="AT860" t="s">
        <v>16462</v>
      </c>
      <c r="AU860">
        <v>2023</v>
      </c>
      <c r="AV860">
        <v>14</v>
      </c>
      <c r="AW860" t="s">
        <v>74</v>
      </c>
      <c r="AX860" t="s">
        <v>74</v>
      </c>
      <c r="AY860" t="s">
        <v>74</v>
      </c>
      <c r="AZ860" t="s">
        <v>74</v>
      </c>
      <c r="BA860" t="s">
        <v>74</v>
      </c>
      <c r="BB860" t="s">
        <v>74</v>
      </c>
      <c r="BC860" t="s">
        <v>74</v>
      </c>
      <c r="BD860">
        <v>1168507</v>
      </c>
      <c r="BE860" t="s">
        <v>16463</v>
      </c>
      <c r="BF860" t="str">
        <f>HYPERLINK("http://dx.doi.org/10.3389/fmicb.2023.1168507","http://dx.doi.org/10.3389/fmicb.2023.1168507")</f>
        <v>http://dx.doi.org/10.3389/fmicb.2023.1168507</v>
      </c>
      <c r="BG860" t="s">
        <v>74</v>
      </c>
      <c r="BH860" t="s">
        <v>74</v>
      </c>
      <c r="BI860">
        <v>16</v>
      </c>
      <c r="BJ860" t="s">
        <v>702</v>
      </c>
      <c r="BK860" t="s">
        <v>104</v>
      </c>
      <c r="BL860" t="s">
        <v>702</v>
      </c>
      <c r="BM860" t="s">
        <v>16464</v>
      </c>
      <c r="BN860">
        <v>37275172</v>
      </c>
      <c r="BO860" t="s">
        <v>181</v>
      </c>
      <c r="BP860" t="s">
        <v>74</v>
      </c>
      <c r="BQ860" t="s">
        <v>74</v>
      </c>
      <c r="BR860" t="s">
        <v>107</v>
      </c>
      <c r="BS860" t="s">
        <v>16465</v>
      </c>
      <c r="BT860" t="str">
        <f>HYPERLINK("https%3A%2F%2Fwww.webofscience.com%2Fwos%2Fwoscc%2Ffull-record%2FWOS:000998393200001","View Full Record in Web of Science")</f>
        <v>View Full Record in Web of Science</v>
      </c>
    </row>
    <row r="861" spans="1:72" x14ac:dyDescent="0.15">
      <c r="A861" t="s">
        <v>72</v>
      </c>
      <c r="B861" t="s">
        <v>16466</v>
      </c>
      <c r="C861" t="s">
        <v>74</v>
      </c>
      <c r="D861" t="s">
        <v>74</v>
      </c>
      <c r="E861" t="s">
        <v>74</v>
      </c>
      <c r="F861" t="s">
        <v>16467</v>
      </c>
      <c r="G861" t="s">
        <v>74</v>
      </c>
      <c r="H861" t="s">
        <v>16468</v>
      </c>
      <c r="I861" t="s">
        <v>16469</v>
      </c>
      <c r="J861" t="s">
        <v>2917</v>
      </c>
      <c r="K861" t="s">
        <v>74</v>
      </c>
      <c r="L861" t="s">
        <v>74</v>
      </c>
      <c r="M861" t="s">
        <v>78</v>
      </c>
      <c r="N861" t="s">
        <v>79</v>
      </c>
      <c r="O861" t="s">
        <v>74</v>
      </c>
      <c r="P861" t="s">
        <v>74</v>
      </c>
      <c r="Q861" t="s">
        <v>74</v>
      </c>
      <c r="R861" t="s">
        <v>74</v>
      </c>
      <c r="S861" t="s">
        <v>74</v>
      </c>
      <c r="T861" t="s">
        <v>74</v>
      </c>
      <c r="U861" t="s">
        <v>16470</v>
      </c>
      <c r="V861" t="s">
        <v>16471</v>
      </c>
      <c r="W861" t="s">
        <v>16472</v>
      </c>
      <c r="X861" t="s">
        <v>16473</v>
      </c>
      <c r="Y861" t="s">
        <v>16474</v>
      </c>
      <c r="Z861" t="s">
        <v>16475</v>
      </c>
      <c r="AA861" t="s">
        <v>2547</v>
      </c>
      <c r="AB861" t="s">
        <v>16476</v>
      </c>
      <c r="AC861" t="s">
        <v>16477</v>
      </c>
      <c r="AD861" t="s">
        <v>16478</v>
      </c>
      <c r="AE861" t="s">
        <v>16479</v>
      </c>
      <c r="AF861" t="s">
        <v>74</v>
      </c>
      <c r="AG861">
        <v>90</v>
      </c>
      <c r="AH861">
        <v>3</v>
      </c>
      <c r="AI861">
        <v>3</v>
      </c>
      <c r="AJ861">
        <v>13</v>
      </c>
      <c r="AK861">
        <v>22</v>
      </c>
      <c r="AL861" t="s">
        <v>146</v>
      </c>
      <c r="AM861" t="s">
        <v>147</v>
      </c>
      <c r="AN861" t="s">
        <v>148</v>
      </c>
      <c r="AO861" t="s">
        <v>74</v>
      </c>
      <c r="AP861" t="s">
        <v>2929</v>
      </c>
      <c r="AQ861" t="s">
        <v>74</v>
      </c>
      <c r="AR861" t="s">
        <v>2930</v>
      </c>
      <c r="AS861" t="s">
        <v>2931</v>
      </c>
      <c r="AT861" t="s">
        <v>16462</v>
      </c>
      <c r="AU861">
        <v>2023</v>
      </c>
      <c r="AV861">
        <v>14</v>
      </c>
      <c r="AW861">
        <v>1</v>
      </c>
      <c r="AX861" t="s">
        <v>74</v>
      </c>
      <c r="AY861" t="s">
        <v>74</v>
      </c>
      <c r="AZ861" t="s">
        <v>74</v>
      </c>
      <c r="BA861" t="s">
        <v>74</v>
      </c>
      <c r="BB861" t="s">
        <v>74</v>
      </c>
      <c r="BC861" t="s">
        <v>74</v>
      </c>
      <c r="BD861">
        <v>2714</v>
      </c>
      <c r="BE861" t="s">
        <v>16480</v>
      </c>
      <c r="BF861" t="str">
        <f>HYPERLINK("http://dx.doi.org/10.1038/s41467-023-38240-y","http://dx.doi.org/10.1038/s41467-023-38240-y")</f>
        <v>http://dx.doi.org/10.1038/s41467-023-38240-y</v>
      </c>
      <c r="BG861" t="s">
        <v>74</v>
      </c>
      <c r="BH861" t="s">
        <v>74</v>
      </c>
      <c r="BI861">
        <v>16</v>
      </c>
      <c r="BJ861" t="s">
        <v>1881</v>
      </c>
      <c r="BK861" t="s">
        <v>104</v>
      </c>
      <c r="BL861" t="s">
        <v>1882</v>
      </c>
      <c r="BM861" t="s">
        <v>16481</v>
      </c>
      <c r="BN861">
        <v>37202379</v>
      </c>
      <c r="BO861" t="s">
        <v>181</v>
      </c>
      <c r="BP861" t="s">
        <v>74</v>
      </c>
      <c r="BQ861" t="s">
        <v>74</v>
      </c>
      <c r="BR861" t="s">
        <v>107</v>
      </c>
      <c r="BS861" t="s">
        <v>16482</v>
      </c>
      <c r="BT861" t="str">
        <f>HYPERLINK("https%3A%2F%2Fwww.webofscience.com%2Fwos%2Fwoscc%2Ffull-record%2FWOS:000995287300003","View Full Record in Web of Science")</f>
        <v>View Full Record in Web of Science</v>
      </c>
    </row>
    <row r="862" spans="1:72" x14ac:dyDescent="0.15">
      <c r="A862" t="s">
        <v>72</v>
      </c>
      <c r="B862" t="s">
        <v>16483</v>
      </c>
      <c r="C862" t="s">
        <v>74</v>
      </c>
      <c r="D862" t="s">
        <v>74</v>
      </c>
      <c r="E862" t="s">
        <v>74</v>
      </c>
      <c r="F862" t="s">
        <v>16484</v>
      </c>
      <c r="G862" t="s">
        <v>74</v>
      </c>
      <c r="H862" t="s">
        <v>74</v>
      </c>
      <c r="I862" t="s">
        <v>16485</v>
      </c>
      <c r="J862" t="s">
        <v>4475</v>
      </c>
      <c r="K862" t="s">
        <v>74</v>
      </c>
      <c r="L862" t="s">
        <v>74</v>
      </c>
      <c r="M862" t="s">
        <v>78</v>
      </c>
      <c r="N862" t="s">
        <v>3197</v>
      </c>
      <c r="O862" t="s">
        <v>74</v>
      </c>
      <c r="P862" t="s">
        <v>74</v>
      </c>
      <c r="Q862" t="s">
        <v>74</v>
      </c>
      <c r="R862" t="s">
        <v>74</v>
      </c>
      <c r="S862" t="s">
        <v>74</v>
      </c>
      <c r="T862" t="s">
        <v>74</v>
      </c>
      <c r="U862" t="s">
        <v>16486</v>
      </c>
      <c r="V862" t="s">
        <v>16487</v>
      </c>
      <c r="W862" t="s">
        <v>16488</v>
      </c>
      <c r="X862" t="s">
        <v>16489</v>
      </c>
      <c r="Y862" t="s">
        <v>16490</v>
      </c>
      <c r="Z862" t="s">
        <v>16491</v>
      </c>
      <c r="AA862" t="s">
        <v>16492</v>
      </c>
      <c r="AB862" t="s">
        <v>16493</v>
      </c>
      <c r="AC862" t="s">
        <v>16494</v>
      </c>
      <c r="AD862" t="s">
        <v>16495</v>
      </c>
      <c r="AE862" t="s">
        <v>16496</v>
      </c>
      <c r="AF862" t="s">
        <v>74</v>
      </c>
      <c r="AG862">
        <v>55</v>
      </c>
      <c r="AH862">
        <v>6</v>
      </c>
      <c r="AI862">
        <v>6</v>
      </c>
      <c r="AJ862">
        <v>2</v>
      </c>
      <c r="AK862">
        <v>7</v>
      </c>
      <c r="AL862" t="s">
        <v>146</v>
      </c>
      <c r="AM862" t="s">
        <v>147</v>
      </c>
      <c r="AN862" t="s">
        <v>148</v>
      </c>
      <c r="AO862" t="s">
        <v>74</v>
      </c>
      <c r="AP862" t="s">
        <v>4487</v>
      </c>
      <c r="AQ862" t="s">
        <v>74</v>
      </c>
      <c r="AR862" t="s">
        <v>4488</v>
      </c>
      <c r="AS862" t="s">
        <v>4489</v>
      </c>
      <c r="AT862" t="s">
        <v>16462</v>
      </c>
      <c r="AU862">
        <v>2023</v>
      </c>
      <c r="AV862">
        <v>10</v>
      </c>
      <c r="AW862">
        <v>1</v>
      </c>
      <c r="AX862" t="s">
        <v>74</v>
      </c>
      <c r="AY862" t="s">
        <v>74</v>
      </c>
      <c r="AZ862" t="s">
        <v>74</v>
      </c>
      <c r="BA862" t="s">
        <v>74</v>
      </c>
      <c r="BB862" t="s">
        <v>74</v>
      </c>
      <c r="BC862" t="s">
        <v>74</v>
      </c>
      <c r="BD862">
        <v>250</v>
      </c>
      <c r="BE862" t="s">
        <v>16497</v>
      </c>
      <c r="BF862" t="str">
        <f>HYPERLINK("http://dx.doi.org/10.1038/s41597-023-02152-9","http://dx.doi.org/10.1038/s41597-023-02152-9")</f>
        <v>http://dx.doi.org/10.1038/s41597-023-02152-9</v>
      </c>
      <c r="BG862" t="s">
        <v>74</v>
      </c>
      <c r="BH862" t="s">
        <v>74</v>
      </c>
      <c r="BI862">
        <v>14</v>
      </c>
      <c r="BJ862" t="s">
        <v>1881</v>
      </c>
      <c r="BK862" t="s">
        <v>104</v>
      </c>
      <c r="BL862" t="s">
        <v>1882</v>
      </c>
      <c r="BM862" t="s">
        <v>16498</v>
      </c>
      <c r="BN862">
        <v>37202393</v>
      </c>
      <c r="BO862" t="s">
        <v>447</v>
      </c>
      <c r="BP862" t="s">
        <v>74</v>
      </c>
      <c r="BQ862" t="s">
        <v>74</v>
      </c>
      <c r="BR862" t="s">
        <v>107</v>
      </c>
      <c r="BS862" t="s">
        <v>16499</v>
      </c>
      <c r="BT862" t="str">
        <f>HYPERLINK("https%3A%2F%2Fwww.webofscience.com%2Fwos%2Fwoscc%2Ffull-record%2FWOS:000992447400003","View Full Record in Web of Science")</f>
        <v>View Full Record in Web of Science</v>
      </c>
    </row>
    <row r="863" spans="1:72" x14ac:dyDescent="0.15">
      <c r="A863" t="s">
        <v>72</v>
      </c>
      <c r="B863" t="s">
        <v>16500</v>
      </c>
      <c r="C863" t="s">
        <v>74</v>
      </c>
      <c r="D863" t="s">
        <v>74</v>
      </c>
      <c r="E863" t="s">
        <v>74</v>
      </c>
      <c r="F863" t="s">
        <v>16501</v>
      </c>
      <c r="G863" t="s">
        <v>74</v>
      </c>
      <c r="H863" t="s">
        <v>74</v>
      </c>
      <c r="I863" t="s">
        <v>16502</v>
      </c>
      <c r="J863" t="s">
        <v>16503</v>
      </c>
      <c r="K863" t="s">
        <v>74</v>
      </c>
      <c r="L863" t="s">
        <v>74</v>
      </c>
      <c r="M863" t="s">
        <v>78</v>
      </c>
      <c r="N863" t="s">
        <v>79</v>
      </c>
      <c r="O863" t="s">
        <v>74</v>
      </c>
      <c r="P863" t="s">
        <v>74</v>
      </c>
      <c r="Q863" t="s">
        <v>74</v>
      </c>
      <c r="R863" t="s">
        <v>74</v>
      </c>
      <c r="S863" t="s">
        <v>74</v>
      </c>
      <c r="T863" t="s">
        <v>16504</v>
      </c>
      <c r="U863" t="s">
        <v>74</v>
      </c>
      <c r="V863" t="s">
        <v>16505</v>
      </c>
      <c r="W863" t="s">
        <v>16506</v>
      </c>
      <c r="X863" t="s">
        <v>16507</v>
      </c>
      <c r="Y863" t="s">
        <v>16508</v>
      </c>
      <c r="Z863" t="s">
        <v>16509</v>
      </c>
      <c r="AA863" t="s">
        <v>74</v>
      </c>
      <c r="AB863" t="s">
        <v>74</v>
      </c>
      <c r="AC863" t="s">
        <v>74</v>
      </c>
      <c r="AD863" t="s">
        <v>74</v>
      </c>
      <c r="AE863" t="s">
        <v>74</v>
      </c>
      <c r="AF863" t="s">
        <v>74</v>
      </c>
      <c r="AG863">
        <v>7</v>
      </c>
      <c r="AH863">
        <v>0</v>
      </c>
      <c r="AI863">
        <v>0</v>
      </c>
      <c r="AJ863">
        <v>0</v>
      </c>
      <c r="AK863">
        <v>0</v>
      </c>
      <c r="AL863" t="s">
        <v>298</v>
      </c>
      <c r="AM863" t="s">
        <v>299</v>
      </c>
      <c r="AN863" t="s">
        <v>300</v>
      </c>
      <c r="AO863" t="s">
        <v>16510</v>
      </c>
      <c r="AP863" t="s">
        <v>16511</v>
      </c>
      <c r="AQ863" t="s">
        <v>74</v>
      </c>
      <c r="AR863" t="s">
        <v>16512</v>
      </c>
      <c r="AS863" t="s">
        <v>16513</v>
      </c>
      <c r="AT863" t="s">
        <v>4557</v>
      </c>
      <c r="AU863">
        <v>2023</v>
      </c>
      <c r="AV863">
        <v>90</v>
      </c>
      <c r="AW863">
        <v>2</v>
      </c>
      <c r="AX863" t="s">
        <v>74</v>
      </c>
      <c r="AY863" t="s">
        <v>74</v>
      </c>
      <c r="AZ863" t="s">
        <v>74</v>
      </c>
      <c r="BA863" t="s">
        <v>74</v>
      </c>
      <c r="BB863">
        <v>400</v>
      </c>
      <c r="BC863">
        <v>406</v>
      </c>
      <c r="BD863" t="s">
        <v>74</v>
      </c>
      <c r="BE863" t="s">
        <v>16514</v>
      </c>
      <c r="BF863" t="str">
        <f>HYPERLINK("http://dx.doi.org/10.1007/s10812-023-01546-2","http://dx.doi.org/10.1007/s10812-023-01546-2")</f>
        <v>http://dx.doi.org/10.1007/s10812-023-01546-2</v>
      </c>
      <c r="BG863" t="s">
        <v>74</v>
      </c>
      <c r="BH863" t="s">
        <v>15114</v>
      </c>
      <c r="BI863">
        <v>7</v>
      </c>
      <c r="BJ863" t="s">
        <v>131</v>
      </c>
      <c r="BK863" t="s">
        <v>104</v>
      </c>
      <c r="BL863" t="s">
        <v>131</v>
      </c>
      <c r="BM863" t="s">
        <v>16515</v>
      </c>
      <c r="BN863" t="s">
        <v>74</v>
      </c>
      <c r="BO863" t="s">
        <v>74</v>
      </c>
      <c r="BP863" t="s">
        <v>74</v>
      </c>
      <c r="BQ863" t="s">
        <v>74</v>
      </c>
      <c r="BR863" t="s">
        <v>107</v>
      </c>
      <c r="BS863" t="s">
        <v>16516</v>
      </c>
      <c r="BT863" t="str">
        <f>HYPERLINK("https%3A%2F%2Fwww.webofscience.com%2Fwos%2Fwoscc%2Ffull-record%2FWOS:000989852100003","View Full Record in Web of Science")</f>
        <v>View Full Record in Web of Science</v>
      </c>
    </row>
    <row r="864" spans="1:72" x14ac:dyDescent="0.15">
      <c r="A864" t="s">
        <v>72</v>
      </c>
      <c r="B864" t="s">
        <v>16517</v>
      </c>
      <c r="C864" t="s">
        <v>74</v>
      </c>
      <c r="D864" t="s">
        <v>74</v>
      </c>
      <c r="E864" t="s">
        <v>74</v>
      </c>
      <c r="F864" t="s">
        <v>16518</v>
      </c>
      <c r="G864" t="s">
        <v>74</v>
      </c>
      <c r="H864" t="s">
        <v>74</v>
      </c>
      <c r="I864" t="s">
        <v>16519</v>
      </c>
      <c r="J864" t="s">
        <v>11521</v>
      </c>
      <c r="K864" t="s">
        <v>74</v>
      </c>
      <c r="L864" t="s">
        <v>74</v>
      </c>
      <c r="M864" t="s">
        <v>78</v>
      </c>
      <c r="N864" t="s">
        <v>79</v>
      </c>
      <c r="O864" t="s">
        <v>74</v>
      </c>
      <c r="P864" t="s">
        <v>74</v>
      </c>
      <c r="Q864" t="s">
        <v>74</v>
      </c>
      <c r="R864" t="s">
        <v>74</v>
      </c>
      <c r="S864" t="s">
        <v>74</v>
      </c>
      <c r="T864" t="s">
        <v>74</v>
      </c>
      <c r="U864" t="s">
        <v>16520</v>
      </c>
      <c r="V864" t="s">
        <v>16521</v>
      </c>
      <c r="W864" t="s">
        <v>16522</v>
      </c>
      <c r="X864" t="s">
        <v>16523</v>
      </c>
      <c r="Y864" t="s">
        <v>16524</v>
      </c>
      <c r="Z864" t="s">
        <v>16525</v>
      </c>
      <c r="AA864" t="s">
        <v>16526</v>
      </c>
      <c r="AB864" t="s">
        <v>16527</v>
      </c>
      <c r="AC864" t="s">
        <v>16528</v>
      </c>
      <c r="AD864" t="s">
        <v>1123</v>
      </c>
      <c r="AE864" t="s">
        <v>16529</v>
      </c>
      <c r="AF864" t="s">
        <v>74</v>
      </c>
      <c r="AG864">
        <v>15</v>
      </c>
      <c r="AH864">
        <v>0</v>
      </c>
      <c r="AI864">
        <v>0</v>
      </c>
      <c r="AJ864">
        <v>1</v>
      </c>
      <c r="AK864">
        <v>2</v>
      </c>
      <c r="AL864" t="s">
        <v>11533</v>
      </c>
      <c r="AM864" t="s">
        <v>589</v>
      </c>
      <c r="AN864" t="s">
        <v>11534</v>
      </c>
      <c r="AO864" t="s">
        <v>11535</v>
      </c>
      <c r="AP864" t="s">
        <v>74</v>
      </c>
      <c r="AQ864" t="s">
        <v>74</v>
      </c>
      <c r="AR864" t="s">
        <v>11536</v>
      </c>
      <c r="AS864" t="s">
        <v>11537</v>
      </c>
      <c r="AT864" t="s">
        <v>8596</v>
      </c>
      <c r="AU864">
        <v>2023</v>
      </c>
      <c r="AV864">
        <v>12</v>
      </c>
      <c r="AW864">
        <v>6</v>
      </c>
      <c r="AX864" t="s">
        <v>74</v>
      </c>
      <c r="AY864" t="s">
        <v>74</v>
      </c>
      <c r="AZ864" t="s">
        <v>74</v>
      </c>
      <c r="BA864" t="s">
        <v>74</v>
      </c>
      <c r="BB864" t="s">
        <v>74</v>
      </c>
      <c r="BC864" t="s">
        <v>74</v>
      </c>
      <c r="BD864" t="s">
        <v>74</v>
      </c>
      <c r="BE864" t="s">
        <v>16530</v>
      </c>
      <c r="BF864" t="str">
        <f>HYPERLINK("http://dx.doi.org/10.1128/mra.00299-23","http://dx.doi.org/10.1128/mra.00299-23")</f>
        <v>http://dx.doi.org/10.1128/mra.00299-23</v>
      </c>
      <c r="BG864" t="s">
        <v>74</v>
      </c>
      <c r="BH864" t="s">
        <v>15114</v>
      </c>
      <c r="BI864">
        <v>4</v>
      </c>
      <c r="BJ864" t="s">
        <v>702</v>
      </c>
      <c r="BK864" t="s">
        <v>518</v>
      </c>
      <c r="BL864" t="s">
        <v>702</v>
      </c>
      <c r="BM864" t="s">
        <v>15361</v>
      </c>
      <c r="BN864">
        <v>37199625</v>
      </c>
      <c r="BO864" t="s">
        <v>821</v>
      </c>
      <c r="BP864" t="s">
        <v>74</v>
      </c>
      <c r="BQ864" t="s">
        <v>74</v>
      </c>
      <c r="BR864" t="s">
        <v>107</v>
      </c>
      <c r="BS864" t="s">
        <v>16531</v>
      </c>
      <c r="BT864" t="str">
        <f>HYPERLINK("https%3A%2F%2Fwww.webofscience.com%2Fwos%2Fwoscc%2Ffull-record%2FWOS:000990248500001","View Full Record in Web of Science")</f>
        <v>View Full Record in Web of Science</v>
      </c>
    </row>
    <row r="865" spans="1:72" x14ac:dyDescent="0.15">
      <c r="A865" t="s">
        <v>72</v>
      </c>
      <c r="B865" t="s">
        <v>16532</v>
      </c>
      <c r="C865" t="s">
        <v>74</v>
      </c>
      <c r="D865" t="s">
        <v>74</v>
      </c>
      <c r="E865" t="s">
        <v>74</v>
      </c>
      <c r="F865" t="s">
        <v>16533</v>
      </c>
      <c r="G865" t="s">
        <v>74</v>
      </c>
      <c r="H865" t="s">
        <v>74</v>
      </c>
      <c r="I865" t="s">
        <v>16534</v>
      </c>
      <c r="J865" t="s">
        <v>3286</v>
      </c>
      <c r="K865" t="s">
        <v>74</v>
      </c>
      <c r="L865" t="s">
        <v>74</v>
      </c>
      <c r="M865" t="s">
        <v>78</v>
      </c>
      <c r="N865" t="s">
        <v>79</v>
      </c>
      <c r="O865" t="s">
        <v>74</v>
      </c>
      <c r="P865" t="s">
        <v>74</v>
      </c>
      <c r="Q865" t="s">
        <v>74</v>
      </c>
      <c r="R865" t="s">
        <v>74</v>
      </c>
      <c r="S865" t="s">
        <v>74</v>
      </c>
      <c r="T865" t="s">
        <v>74</v>
      </c>
      <c r="U865" t="s">
        <v>16535</v>
      </c>
      <c r="V865" t="s">
        <v>16536</v>
      </c>
      <c r="W865" t="s">
        <v>16537</v>
      </c>
      <c r="X865" t="s">
        <v>16538</v>
      </c>
      <c r="Y865" t="s">
        <v>16539</v>
      </c>
      <c r="Z865" t="s">
        <v>16540</v>
      </c>
      <c r="AA865" t="s">
        <v>16541</v>
      </c>
      <c r="AB865" t="s">
        <v>16542</v>
      </c>
      <c r="AC865" t="s">
        <v>16543</v>
      </c>
      <c r="AD865" t="s">
        <v>16544</v>
      </c>
      <c r="AE865" t="s">
        <v>16545</v>
      </c>
      <c r="AF865" t="s">
        <v>74</v>
      </c>
      <c r="AG865">
        <v>73</v>
      </c>
      <c r="AH865">
        <v>2</v>
      </c>
      <c r="AI865">
        <v>2</v>
      </c>
      <c r="AJ865">
        <v>12</v>
      </c>
      <c r="AK865">
        <v>16</v>
      </c>
      <c r="AL865" t="s">
        <v>1775</v>
      </c>
      <c r="AM865" t="s">
        <v>1776</v>
      </c>
      <c r="AN865" t="s">
        <v>1777</v>
      </c>
      <c r="AO865" t="s">
        <v>3298</v>
      </c>
      <c r="AP865" t="s">
        <v>3299</v>
      </c>
      <c r="AQ865" t="s">
        <v>74</v>
      </c>
      <c r="AR865" t="s">
        <v>3300</v>
      </c>
      <c r="AS865" t="s">
        <v>3301</v>
      </c>
      <c r="AT865" t="s">
        <v>16546</v>
      </c>
      <c r="AU865">
        <v>2023</v>
      </c>
      <c r="AV865">
        <v>23</v>
      </c>
      <c r="AW865">
        <v>9</v>
      </c>
      <c r="AX865" t="s">
        <v>74</v>
      </c>
      <c r="AY865" t="s">
        <v>74</v>
      </c>
      <c r="AZ865" t="s">
        <v>74</v>
      </c>
      <c r="BA865" t="s">
        <v>74</v>
      </c>
      <c r="BB865">
        <v>5533</v>
      </c>
      <c r="BC865">
        <v>5550</v>
      </c>
      <c r="BD865" t="s">
        <v>74</v>
      </c>
      <c r="BE865" t="s">
        <v>16547</v>
      </c>
      <c r="BF865" t="str">
        <f>HYPERLINK("http://dx.doi.org/10.5194/acp-23-5533-2023","http://dx.doi.org/10.5194/acp-23-5533-2023")</f>
        <v>http://dx.doi.org/10.5194/acp-23-5533-2023</v>
      </c>
      <c r="BG865" t="s">
        <v>74</v>
      </c>
      <c r="BH865" t="s">
        <v>74</v>
      </c>
      <c r="BI865">
        <v>18</v>
      </c>
      <c r="BJ865" t="s">
        <v>3303</v>
      </c>
      <c r="BK865" t="s">
        <v>104</v>
      </c>
      <c r="BL865" t="s">
        <v>2372</v>
      </c>
      <c r="BM865" t="s">
        <v>16548</v>
      </c>
      <c r="BN865" t="s">
        <v>74</v>
      </c>
      <c r="BO865" t="s">
        <v>2390</v>
      </c>
      <c r="BP865" t="s">
        <v>74</v>
      </c>
      <c r="BQ865" t="s">
        <v>74</v>
      </c>
      <c r="BR865" t="s">
        <v>107</v>
      </c>
      <c r="BS865" t="s">
        <v>16549</v>
      </c>
      <c r="BT865" t="str">
        <f>HYPERLINK("https%3A%2F%2Fwww.webofscience.com%2Fwos%2Fwoscc%2Ffull-record%2FWOS:000989430300001","View Full Record in Web of Science")</f>
        <v>View Full Record in Web of Science</v>
      </c>
    </row>
    <row r="866" spans="1:72" x14ac:dyDescent="0.15">
      <c r="A866" t="s">
        <v>72</v>
      </c>
      <c r="B866" t="s">
        <v>16550</v>
      </c>
      <c r="C866" t="s">
        <v>74</v>
      </c>
      <c r="D866" t="s">
        <v>74</v>
      </c>
      <c r="E866" t="s">
        <v>74</v>
      </c>
      <c r="F866" t="s">
        <v>16551</v>
      </c>
      <c r="G866" t="s">
        <v>74</v>
      </c>
      <c r="H866" t="s">
        <v>74</v>
      </c>
      <c r="I866" t="s">
        <v>16552</v>
      </c>
      <c r="J866" t="s">
        <v>2470</v>
      </c>
      <c r="K866" t="s">
        <v>74</v>
      </c>
      <c r="L866" t="s">
        <v>74</v>
      </c>
      <c r="M866" t="s">
        <v>78</v>
      </c>
      <c r="N866" t="s">
        <v>79</v>
      </c>
      <c r="O866" t="s">
        <v>74</v>
      </c>
      <c r="P866" t="s">
        <v>74</v>
      </c>
      <c r="Q866" t="s">
        <v>74</v>
      </c>
      <c r="R866" t="s">
        <v>74</v>
      </c>
      <c r="S866" t="s">
        <v>74</v>
      </c>
      <c r="T866" t="s">
        <v>16553</v>
      </c>
      <c r="U866" t="s">
        <v>16554</v>
      </c>
      <c r="V866" t="s">
        <v>16555</v>
      </c>
      <c r="W866" t="s">
        <v>16556</v>
      </c>
      <c r="X866" t="s">
        <v>16557</v>
      </c>
      <c r="Y866" t="s">
        <v>16558</v>
      </c>
      <c r="Z866" t="s">
        <v>16559</v>
      </c>
      <c r="AA866" t="s">
        <v>16560</v>
      </c>
      <c r="AB866" t="s">
        <v>16561</v>
      </c>
      <c r="AC866" t="s">
        <v>16562</v>
      </c>
      <c r="AD866" t="s">
        <v>16563</v>
      </c>
      <c r="AE866" t="s">
        <v>16564</v>
      </c>
      <c r="AF866" t="s">
        <v>74</v>
      </c>
      <c r="AG866">
        <v>96</v>
      </c>
      <c r="AH866">
        <v>2</v>
      </c>
      <c r="AI866">
        <v>2</v>
      </c>
      <c r="AJ866">
        <v>4</v>
      </c>
      <c r="AK866">
        <v>11</v>
      </c>
      <c r="AL866" t="s">
        <v>2305</v>
      </c>
      <c r="AM866" t="s">
        <v>538</v>
      </c>
      <c r="AN866" t="s">
        <v>2306</v>
      </c>
      <c r="AO866" t="s">
        <v>2482</v>
      </c>
      <c r="AP866" t="s">
        <v>2483</v>
      </c>
      <c r="AQ866" t="s">
        <v>74</v>
      </c>
      <c r="AR866" t="s">
        <v>2484</v>
      </c>
      <c r="AS866" t="s">
        <v>2485</v>
      </c>
      <c r="AT866" t="s">
        <v>12049</v>
      </c>
      <c r="AU866">
        <v>2023</v>
      </c>
      <c r="AV866">
        <v>310</v>
      </c>
      <c r="AW866" t="s">
        <v>74</v>
      </c>
      <c r="AX866" t="s">
        <v>74</v>
      </c>
      <c r="AY866" t="s">
        <v>74</v>
      </c>
      <c r="AZ866" t="s">
        <v>74</v>
      </c>
      <c r="BA866" t="s">
        <v>74</v>
      </c>
      <c r="BB866" t="s">
        <v>74</v>
      </c>
      <c r="BC866" t="s">
        <v>74</v>
      </c>
      <c r="BD866">
        <v>108125</v>
      </c>
      <c r="BE866" t="s">
        <v>16565</v>
      </c>
      <c r="BF866" t="str">
        <f>HYPERLINK("http://dx.doi.org/10.1016/j.quascirev.2023.108125","http://dx.doi.org/10.1016/j.quascirev.2023.108125")</f>
        <v>http://dx.doi.org/10.1016/j.quascirev.2023.108125</v>
      </c>
      <c r="BG866" t="s">
        <v>74</v>
      </c>
      <c r="BH866" t="s">
        <v>15114</v>
      </c>
      <c r="BI866">
        <v>16</v>
      </c>
      <c r="BJ866" t="s">
        <v>1783</v>
      </c>
      <c r="BK866" t="s">
        <v>104</v>
      </c>
      <c r="BL866" t="s">
        <v>1784</v>
      </c>
      <c r="BM866" t="s">
        <v>16566</v>
      </c>
      <c r="BN866" t="s">
        <v>74</v>
      </c>
      <c r="BO866" t="s">
        <v>549</v>
      </c>
      <c r="BP866" t="s">
        <v>74</v>
      </c>
      <c r="BQ866" t="s">
        <v>74</v>
      </c>
      <c r="BR866" t="s">
        <v>107</v>
      </c>
      <c r="BS866" t="s">
        <v>16567</v>
      </c>
      <c r="BT866" t="str">
        <f>HYPERLINK("https%3A%2F%2Fwww.webofscience.com%2Fwos%2Fwoscc%2Ffull-record%2FWOS:000999370400001","View Full Record in Web of Science")</f>
        <v>View Full Record in Web of Science</v>
      </c>
    </row>
    <row r="867" spans="1:72" x14ac:dyDescent="0.15">
      <c r="A867" t="s">
        <v>72</v>
      </c>
      <c r="B867" t="s">
        <v>16568</v>
      </c>
      <c r="C867" t="s">
        <v>74</v>
      </c>
      <c r="D867" t="s">
        <v>74</v>
      </c>
      <c r="E867" t="s">
        <v>74</v>
      </c>
      <c r="F867" t="s">
        <v>16569</v>
      </c>
      <c r="G867" t="s">
        <v>74</v>
      </c>
      <c r="H867" t="s">
        <v>74</v>
      </c>
      <c r="I867" t="s">
        <v>16570</v>
      </c>
      <c r="J867" t="s">
        <v>2516</v>
      </c>
      <c r="K867" t="s">
        <v>74</v>
      </c>
      <c r="L867" t="s">
        <v>74</v>
      </c>
      <c r="M867" t="s">
        <v>78</v>
      </c>
      <c r="N867" t="s">
        <v>79</v>
      </c>
      <c r="O867" t="s">
        <v>74</v>
      </c>
      <c r="P867" t="s">
        <v>74</v>
      </c>
      <c r="Q867" t="s">
        <v>74</v>
      </c>
      <c r="R867" t="s">
        <v>74</v>
      </c>
      <c r="S867" t="s">
        <v>74</v>
      </c>
      <c r="T867" t="s">
        <v>74</v>
      </c>
      <c r="U867" t="s">
        <v>16571</v>
      </c>
      <c r="V867" t="s">
        <v>16572</v>
      </c>
      <c r="W867" t="s">
        <v>16573</v>
      </c>
      <c r="X867" t="s">
        <v>16574</v>
      </c>
      <c r="Y867" t="s">
        <v>16575</v>
      </c>
      <c r="Z867" t="s">
        <v>16576</v>
      </c>
      <c r="AA867" t="s">
        <v>16577</v>
      </c>
      <c r="AB867" t="s">
        <v>16578</v>
      </c>
      <c r="AC867" t="s">
        <v>16579</v>
      </c>
      <c r="AD867" t="s">
        <v>16580</v>
      </c>
      <c r="AE867" t="s">
        <v>16581</v>
      </c>
      <c r="AF867" t="s">
        <v>74</v>
      </c>
      <c r="AG867">
        <v>39</v>
      </c>
      <c r="AH867">
        <v>0</v>
      </c>
      <c r="AI867">
        <v>0</v>
      </c>
      <c r="AJ867">
        <v>2</v>
      </c>
      <c r="AK867">
        <v>6</v>
      </c>
      <c r="AL867" t="s">
        <v>460</v>
      </c>
      <c r="AM867" t="s">
        <v>461</v>
      </c>
      <c r="AN867" t="s">
        <v>462</v>
      </c>
      <c r="AO867" t="s">
        <v>2528</v>
      </c>
      <c r="AP867" t="s">
        <v>2529</v>
      </c>
      <c r="AQ867" t="s">
        <v>74</v>
      </c>
      <c r="AR867" t="s">
        <v>2530</v>
      </c>
      <c r="AS867" t="s">
        <v>2531</v>
      </c>
      <c r="AT867" t="s">
        <v>3612</v>
      </c>
      <c r="AU867">
        <v>2023</v>
      </c>
      <c r="AV867">
        <v>68</v>
      </c>
      <c r="AW867">
        <v>7</v>
      </c>
      <c r="AX867" t="s">
        <v>74</v>
      </c>
      <c r="AY867" t="s">
        <v>74</v>
      </c>
      <c r="AZ867" t="s">
        <v>74</v>
      </c>
      <c r="BA867" t="s">
        <v>74</v>
      </c>
      <c r="BB867">
        <v>1557</v>
      </c>
      <c r="BC867">
        <v>1566</v>
      </c>
      <c r="BD867" t="s">
        <v>74</v>
      </c>
      <c r="BE867" t="s">
        <v>16582</v>
      </c>
      <c r="BF867" t="str">
        <f>HYPERLINK("http://dx.doi.org/10.1002/lno.12366","http://dx.doi.org/10.1002/lno.12366")</f>
        <v>http://dx.doi.org/10.1002/lno.12366</v>
      </c>
      <c r="BG867" t="s">
        <v>74</v>
      </c>
      <c r="BH867" t="s">
        <v>15114</v>
      </c>
      <c r="BI867">
        <v>10</v>
      </c>
      <c r="BJ867" t="s">
        <v>2533</v>
      </c>
      <c r="BK867" t="s">
        <v>104</v>
      </c>
      <c r="BL867" t="s">
        <v>569</v>
      </c>
      <c r="BM867" t="s">
        <v>16583</v>
      </c>
      <c r="BN867" t="s">
        <v>74</v>
      </c>
      <c r="BO867" t="s">
        <v>74</v>
      </c>
      <c r="BP867" t="s">
        <v>74</v>
      </c>
      <c r="BQ867" t="s">
        <v>74</v>
      </c>
      <c r="BR867" t="s">
        <v>107</v>
      </c>
      <c r="BS867" t="s">
        <v>16584</v>
      </c>
      <c r="BT867" t="str">
        <f>HYPERLINK("https%3A%2F%2Fwww.webofscience.com%2Fwos%2Fwoscc%2Ffull-record%2FWOS:000989683300001","View Full Record in Web of Science")</f>
        <v>View Full Record in Web of Science</v>
      </c>
    </row>
    <row r="868" spans="1:72" x14ac:dyDescent="0.15">
      <c r="A868" t="s">
        <v>72</v>
      </c>
      <c r="B868" t="s">
        <v>16585</v>
      </c>
      <c r="C868" t="s">
        <v>74</v>
      </c>
      <c r="D868" t="s">
        <v>74</v>
      </c>
      <c r="E868" t="s">
        <v>74</v>
      </c>
      <c r="F868" t="s">
        <v>16586</v>
      </c>
      <c r="G868" t="s">
        <v>74</v>
      </c>
      <c r="H868" t="s">
        <v>74</v>
      </c>
      <c r="I868" t="s">
        <v>16587</v>
      </c>
      <c r="J868" t="s">
        <v>1971</v>
      </c>
      <c r="K868" t="s">
        <v>74</v>
      </c>
      <c r="L868" t="s">
        <v>74</v>
      </c>
      <c r="M868" t="s">
        <v>78</v>
      </c>
      <c r="N868" t="s">
        <v>79</v>
      </c>
      <c r="O868" t="s">
        <v>74</v>
      </c>
      <c r="P868" t="s">
        <v>74</v>
      </c>
      <c r="Q868" t="s">
        <v>74</v>
      </c>
      <c r="R868" t="s">
        <v>74</v>
      </c>
      <c r="S868" t="s">
        <v>74</v>
      </c>
      <c r="T868" t="s">
        <v>16588</v>
      </c>
      <c r="U868" t="s">
        <v>16589</v>
      </c>
      <c r="V868" t="s">
        <v>16590</v>
      </c>
      <c r="W868" t="s">
        <v>16591</v>
      </c>
      <c r="X868" t="s">
        <v>16592</v>
      </c>
      <c r="Y868" t="s">
        <v>16593</v>
      </c>
      <c r="Z868" t="s">
        <v>14851</v>
      </c>
      <c r="AA868" t="s">
        <v>16594</v>
      </c>
      <c r="AB868" t="s">
        <v>14853</v>
      </c>
      <c r="AC868" t="s">
        <v>16595</v>
      </c>
      <c r="AD868" t="s">
        <v>16596</v>
      </c>
      <c r="AE868" t="s">
        <v>16597</v>
      </c>
      <c r="AF868" t="s">
        <v>74</v>
      </c>
      <c r="AG868">
        <v>62</v>
      </c>
      <c r="AH868">
        <v>1</v>
      </c>
      <c r="AI868">
        <v>1</v>
      </c>
      <c r="AJ868">
        <v>5</v>
      </c>
      <c r="AK868">
        <v>9</v>
      </c>
      <c r="AL868" t="s">
        <v>298</v>
      </c>
      <c r="AM868" t="s">
        <v>299</v>
      </c>
      <c r="AN868" t="s">
        <v>300</v>
      </c>
      <c r="AO868" t="s">
        <v>1984</v>
      </c>
      <c r="AP868" t="s">
        <v>1985</v>
      </c>
      <c r="AQ868" t="s">
        <v>74</v>
      </c>
      <c r="AR868" t="s">
        <v>1986</v>
      </c>
      <c r="AS868" t="s">
        <v>1987</v>
      </c>
      <c r="AT868" t="s">
        <v>3082</v>
      </c>
      <c r="AU868">
        <v>2023</v>
      </c>
      <c r="AV868">
        <v>61</v>
      </c>
      <c r="AW868" t="s">
        <v>415</v>
      </c>
      <c r="AX868" t="s">
        <v>74</v>
      </c>
      <c r="AY868" t="s">
        <v>74</v>
      </c>
      <c r="AZ868" t="s">
        <v>74</v>
      </c>
      <c r="BA868" t="s">
        <v>74</v>
      </c>
      <c r="BB868">
        <v>4623</v>
      </c>
      <c r="BC868">
        <v>4641</v>
      </c>
      <c r="BD868" t="s">
        <v>74</v>
      </c>
      <c r="BE868" t="s">
        <v>16598</v>
      </c>
      <c r="BF868" t="str">
        <f>HYPERLINK("http://dx.doi.org/10.1007/s00382-023-06825-4","http://dx.doi.org/10.1007/s00382-023-06825-4")</f>
        <v>http://dx.doi.org/10.1007/s00382-023-06825-4</v>
      </c>
      <c r="BG868" t="s">
        <v>74</v>
      </c>
      <c r="BH868" t="s">
        <v>15114</v>
      </c>
      <c r="BI868">
        <v>19</v>
      </c>
      <c r="BJ868" t="s">
        <v>103</v>
      </c>
      <c r="BK868" t="s">
        <v>104</v>
      </c>
      <c r="BL868" t="s">
        <v>103</v>
      </c>
      <c r="BM868" t="s">
        <v>16599</v>
      </c>
      <c r="BN868" t="s">
        <v>74</v>
      </c>
      <c r="BO868" t="s">
        <v>74</v>
      </c>
      <c r="BP868" t="s">
        <v>74</v>
      </c>
      <c r="BQ868" t="s">
        <v>74</v>
      </c>
      <c r="BR868" t="s">
        <v>107</v>
      </c>
      <c r="BS868" t="s">
        <v>16600</v>
      </c>
      <c r="BT868" t="str">
        <f>HYPERLINK("https%3A%2F%2Fwww.webofscience.com%2Fwos%2Fwoscc%2Ffull-record%2FWOS:000991703600002","View Full Record in Web of Science")</f>
        <v>View Full Record in Web of Science</v>
      </c>
    </row>
    <row r="869" spans="1:72" x14ac:dyDescent="0.15">
      <c r="A869" t="s">
        <v>72</v>
      </c>
      <c r="B869" t="s">
        <v>16601</v>
      </c>
      <c r="C869" t="s">
        <v>74</v>
      </c>
      <c r="D869" t="s">
        <v>74</v>
      </c>
      <c r="E869" t="s">
        <v>74</v>
      </c>
      <c r="F869" t="s">
        <v>16602</v>
      </c>
      <c r="G869" t="s">
        <v>74</v>
      </c>
      <c r="H869" t="s">
        <v>74</v>
      </c>
      <c r="I869" t="s">
        <v>16603</v>
      </c>
      <c r="J869" t="s">
        <v>3756</v>
      </c>
      <c r="K869" t="s">
        <v>74</v>
      </c>
      <c r="L869" t="s">
        <v>74</v>
      </c>
      <c r="M869" t="s">
        <v>78</v>
      </c>
      <c r="N869" t="s">
        <v>79</v>
      </c>
      <c r="O869" t="s">
        <v>74</v>
      </c>
      <c r="P869" t="s">
        <v>74</v>
      </c>
      <c r="Q869" t="s">
        <v>74</v>
      </c>
      <c r="R869" t="s">
        <v>74</v>
      </c>
      <c r="S869" t="s">
        <v>74</v>
      </c>
      <c r="T869" t="s">
        <v>16604</v>
      </c>
      <c r="U869" t="s">
        <v>16605</v>
      </c>
      <c r="V869" t="s">
        <v>16606</v>
      </c>
      <c r="W869" t="s">
        <v>16607</v>
      </c>
      <c r="X869" t="s">
        <v>74</v>
      </c>
      <c r="Y869" t="s">
        <v>16608</v>
      </c>
      <c r="Z869" t="s">
        <v>16609</v>
      </c>
      <c r="AA869" t="s">
        <v>16610</v>
      </c>
      <c r="AB869" t="s">
        <v>16611</v>
      </c>
      <c r="AC869" t="s">
        <v>74</v>
      </c>
      <c r="AD869" t="s">
        <v>74</v>
      </c>
      <c r="AE869" t="s">
        <v>74</v>
      </c>
      <c r="AF869" t="s">
        <v>74</v>
      </c>
      <c r="AG869">
        <v>100</v>
      </c>
      <c r="AH869">
        <v>0</v>
      </c>
      <c r="AI869">
        <v>0</v>
      </c>
      <c r="AJ869">
        <v>0</v>
      </c>
      <c r="AK869">
        <v>1</v>
      </c>
      <c r="AL869" t="s">
        <v>298</v>
      </c>
      <c r="AM869" t="s">
        <v>299</v>
      </c>
      <c r="AN869" t="s">
        <v>300</v>
      </c>
      <c r="AO869" t="s">
        <v>3767</v>
      </c>
      <c r="AP869" t="s">
        <v>3768</v>
      </c>
      <c r="AQ869" t="s">
        <v>74</v>
      </c>
      <c r="AR869" t="s">
        <v>3769</v>
      </c>
      <c r="AS869" t="s">
        <v>3770</v>
      </c>
      <c r="AT869" t="s">
        <v>8990</v>
      </c>
      <c r="AU869">
        <v>2023</v>
      </c>
      <c r="AV869">
        <v>46</v>
      </c>
      <c r="AW869">
        <v>6</v>
      </c>
      <c r="AX869" t="s">
        <v>74</v>
      </c>
      <c r="AY869" t="s">
        <v>74</v>
      </c>
      <c r="AZ869" t="s">
        <v>74</v>
      </c>
      <c r="BA869" t="s">
        <v>74</v>
      </c>
      <c r="BB869">
        <v>559</v>
      </c>
      <c r="BC869">
        <v>571</v>
      </c>
      <c r="BD869" t="s">
        <v>74</v>
      </c>
      <c r="BE869" t="s">
        <v>16612</v>
      </c>
      <c r="BF869" t="str">
        <f>HYPERLINK("http://dx.doi.org/10.1007/s00300-023-03144-6","http://dx.doi.org/10.1007/s00300-023-03144-6")</f>
        <v>http://dx.doi.org/10.1007/s00300-023-03144-6</v>
      </c>
      <c r="BG869" t="s">
        <v>74</v>
      </c>
      <c r="BH869" t="s">
        <v>15114</v>
      </c>
      <c r="BI869">
        <v>13</v>
      </c>
      <c r="BJ869" t="s">
        <v>3772</v>
      </c>
      <c r="BK869" t="s">
        <v>104</v>
      </c>
      <c r="BL869" t="s">
        <v>1905</v>
      </c>
      <c r="BM869" t="s">
        <v>16613</v>
      </c>
      <c r="BN869" t="s">
        <v>74</v>
      </c>
      <c r="BO869" t="s">
        <v>74</v>
      </c>
      <c r="BP869" t="s">
        <v>74</v>
      </c>
      <c r="BQ869" t="s">
        <v>74</v>
      </c>
      <c r="BR869" t="s">
        <v>107</v>
      </c>
      <c r="BS869" t="s">
        <v>16614</v>
      </c>
      <c r="BT869" t="str">
        <f>HYPERLINK("https%3A%2F%2Fwww.webofscience.com%2Fwos%2Fwoscc%2Ffull-record%2FWOS:000989803400002","View Full Record in Web of Science")</f>
        <v>View Full Record in Web of Science</v>
      </c>
    </row>
    <row r="870" spans="1:72" x14ac:dyDescent="0.15">
      <c r="A870" t="s">
        <v>72</v>
      </c>
      <c r="B870" t="s">
        <v>16615</v>
      </c>
      <c r="C870" t="s">
        <v>74</v>
      </c>
      <c r="D870" t="s">
        <v>74</v>
      </c>
      <c r="E870" t="s">
        <v>74</v>
      </c>
      <c r="F870" t="s">
        <v>16616</v>
      </c>
      <c r="G870" t="s">
        <v>74</v>
      </c>
      <c r="H870" t="s">
        <v>74</v>
      </c>
      <c r="I870" t="s">
        <v>16617</v>
      </c>
      <c r="J870" t="s">
        <v>1763</v>
      </c>
      <c r="K870" t="s">
        <v>74</v>
      </c>
      <c r="L870" t="s">
        <v>74</v>
      </c>
      <c r="M870" t="s">
        <v>78</v>
      </c>
      <c r="N870" t="s">
        <v>79</v>
      </c>
      <c r="O870" t="s">
        <v>74</v>
      </c>
      <c r="P870" t="s">
        <v>74</v>
      </c>
      <c r="Q870" t="s">
        <v>74</v>
      </c>
      <c r="R870" t="s">
        <v>74</v>
      </c>
      <c r="S870" t="s">
        <v>74</v>
      </c>
      <c r="T870" t="s">
        <v>74</v>
      </c>
      <c r="U870" t="s">
        <v>16618</v>
      </c>
      <c r="V870" t="s">
        <v>16619</v>
      </c>
      <c r="W870" t="s">
        <v>16620</v>
      </c>
      <c r="X870" t="s">
        <v>16621</v>
      </c>
      <c r="Y870" t="s">
        <v>16622</v>
      </c>
      <c r="Z870" t="s">
        <v>16623</v>
      </c>
      <c r="AA870" t="s">
        <v>16624</v>
      </c>
      <c r="AB870" t="s">
        <v>16625</v>
      </c>
      <c r="AC870" t="s">
        <v>74</v>
      </c>
      <c r="AD870" t="s">
        <v>74</v>
      </c>
      <c r="AE870" t="s">
        <v>74</v>
      </c>
      <c r="AF870" t="s">
        <v>74</v>
      </c>
      <c r="AG870">
        <v>49</v>
      </c>
      <c r="AH870">
        <v>1</v>
      </c>
      <c r="AI870">
        <v>1</v>
      </c>
      <c r="AJ870">
        <v>5</v>
      </c>
      <c r="AK870">
        <v>8</v>
      </c>
      <c r="AL870" t="s">
        <v>1775</v>
      </c>
      <c r="AM870" t="s">
        <v>1776</v>
      </c>
      <c r="AN870" t="s">
        <v>1777</v>
      </c>
      <c r="AO870" t="s">
        <v>1778</v>
      </c>
      <c r="AP870" t="s">
        <v>1779</v>
      </c>
      <c r="AQ870" t="s">
        <v>74</v>
      </c>
      <c r="AR870" t="s">
        <v>1763</v>
      </c>
      <c r="AS870" t="s">
        <v>1780</v>
      </c>
      <c r="AT870" t="s">
        <v>16546</v>
      </c>
      <c r="AU870">
        <v>2023</v>
      </c>
      <c r="AV870">
        <v>17</v>
      </c>
      <c r="AW870">
        <v>5</v>
      </c>
      <c r="AX870" t="s">
        <v>74</v>
      </c>
      <c r="AY870" t="s">
        <v>74</v>
      </c>
      <c r="AZ870" t="s">
        <v>74</v>
      </c>
      <c r="BA870" t="s">
        <v>74</v>
      </c>
      <c r="BB870">
        <v>2073</v>
      </c>
      <c r="BC870">
        <v>2094</v>
      </c>
      <c r="BD870" t="s">
        <v>74</v>
      </c>
      <c r="BE870" t="s">
        <v>16626</v>
      </c>
      <c r="BF870" t="str">
        <f>HYPERLINK("http://dx.doi.org/10.5194/tc-17-2073-2023","http://dx.doi.org/10.5194/tc-17-2073-2023")</f>
        <v>http://dx.doi.org/10.5194/tc-17-2073-2023</v>
      </c>
      <c r="BG870" t="s">
        <v>74</v>
      </c>
      <c r="BH870" t="s">
        <v>74</v>
      </c>
      <c r="BI870">
        <v>22</v>
      </c>
      <c r="BJ870" t="s">
        <v>1783</v>
      </c>
      <c r="BK870" t="s">
        <v>104</v>
      </c>
      <c r="BL870" t="s">
        <v>1784</v>
      </c>
      <c r="BM870" t="s">
        <v>16627</v>
      </c>
      <c r="BN870" t="s">
        <v>74</v>
      </c>
      <c r="BO870" t="s">
        <v>771</v>
      </c>
      <c r="BP870" t="s">
        <v>74</v>
      </c>
      <c r="BQ870" t="s">
        <v>74</v>
      </c>
      <c r="BR870" t="s">
        <v>107</v>
      </c>
      <c r="BS870" t="s">
        <v>16628</v>
      </c>
      <c r="BT870" t="str">
        <f>HYPERLINK("https%3A%2F%2Fwww.webofscience.com%2Fwos%2Fwoscc%2Ffull-record%2FWOS:000987628000001","View Full Record in Web of Science")</f>
        <v>View Full Record in Web of Science</v>
      </c>
    </row>
    <row r="871" spans="1:72" x14ac:dyDescent="0.15">
      <c r="A871" t="s">
        <v>72</v>
      </c>
      <c r="B871" t="s">
        <v>16629</v>
      </c>
      <c r="C871" t="s">
        <v>74</v>
      </c>
      <c r="D871" t="s">
        <v>74</v>
      </c>
      <c r="E871" t="s">
        <v>74</v>
      </c>
      <c r="F871" t="s">
        <v>16630</v>
      </c>
      <c r="G871" t="s">
        <v>74</v>
      </c>
      <c r="H871" t="s">
        <v>74</v>
      </c>
      <c r="I871" t="s">
        <v>16631</v>
      </c>
      <c r="J871" t="s">
        <v>2413</v>
      </c>
      <c r="K871" t="s">
        <v>74</v>
      </c>
      <c r="L871" t="s">
        <v>74</v>
      </c>
      <c r="M871" t="s">
        <v>78</v>
      </c>
      <c r="N871" t="s">
        <v>79</v>
      </c>
      <c r="O871" t="s">
        <v>74</v>
      </c>
      <c r="P871" t="s">
        <v>74</v>
      </c>
      <c r="Q871" t="s">
        <v>74</v>
      </c>
      <c r="R871" t="s">
        <v>74</v>
      </c>
      <c r="S871" t="s">
        <v>74</v>
      </c>
      <c r="T871" t="s">
        <v>16632</v>
      </c>
      <c r="U871" t="s">
        <v>16633</v>
      </c>
      <c r="V871" t="s">
        <v>16634</v>
      </c>
      <c r="W871" t="s">
        <v>16635</v>
      </c>
      <c r="X871" t="s">
        <v>16636</v>
      </c>
      <c r="Y871" t="s">
        <v>16637</v>
      </c>
      <c r="Z871" t="s">
        <v>16638</v>
      </c>
      <c r="AA871" t="s">
        <v>74</v>
      </c>
      <c r="AB871" t="s">
        <v>16639</v>
      </c>
      <c r="AC871" t="s">
        <v>74</v>
      </c>
      <c r="AD871" t="s">
        <v>74</v>
      </c>
      <c r="AE871" t="s">
        <v>74</v>
      </c>
      <c r="AF871" t="s">
        <v>74</v>
      </c>
      <c r="AG871">
        <v>57</v>
      </c>
      <c r="AH871">
        <v>2</v>
      </c>
      <c r="AI871">
        <v>2</v>
      </c>
      <c r="AJ871">
        <v>0</v>
      </c>
      <c r="AK871">
        <v>0</v>
      </c>
      <c r="AL871" t="s">
        <v>588</v>
      </c>
      <c r="AM871" t="s">
        <v>589</v>
      </c>
      <c r="AN871" t="s">
        <v>590</v>
      </c>
      <c r="AO871" t="s">
        <v>2426</v>
      </c>
      <c r="AP871" t="s">
        <v>2427</v>
      </c>
      <c r="AQ871" t="s">
        <v>74</v>
      </c>
      <c r="AR871" t="s">
        <v>2428</v>
      </c>
      <c r="AS871" t="s">
        <v>2429</v>
      </c>
      <c r="AT871" t="s">
        <v>16640</v>
      </c>
      <c r="AU871">
        <v>2023</v>
      </c>
      <c r="AV871">
        <v>128</v>
      </c>
      <c r="AW871">
        <v>9</v>
      </c>
      <c r="AX871" t="s">
        <v>74</v>
      </c>
      <c r="AY871" t="s">
        <v>74</v>
      </c>
      <c r="AZ871" t="s">
        <v>74</v>
      </c>
      <c r="BA871" t="s">
        <v>74</v>
      </c>
      <c r="BB871" t="s">
        <v>74</v>
      </c>
      <c r="BC871" t="s">
        <v>74</v>
      </c>
      <c r="BD871" t="s">
        <v>16641</v>
      </c>
      <c r="BE871" t="s">
        <v>16642</v>
      </c>
      <c r="BF871" t="str">
        <f>HYPERLINK("http://dx.doi.org/10.1029/2022JD037696","http://dx.doi.org/10.1029/2022JD037696")</f>
        <v>http://dx.doi.org/10.1029/2022JD037696</v>
      </c>
      <c r="BG871" t="s">
        <v>74</v>
      </c>
      <c r="BH871" t="s">
        <v>74</v>
      </c>
      <c r="BI871">
        <v>17</v>
      </c>
      <c r="BJ871" t="s">
        <v>103</v>
      </c>
      <c r="BK871" t="s">
        <v>104</v>
      </c>
      <c r="BL871" t="s">
        <v>103</v>
      </c>
      <c r="BM871" t="s">
        <v>16643</v>
      </c>
      <c r="BN871" t="s">
        <v>74</v>
      </c>
      <c r="BO871" t="s">
        <v>74</v>
      </c>
      <c r="BP871" t="s">
        <v>74</v>
      </c>
      <c r="BQ871" t="s">
        <v>74</v>
      </c>
      <c r="BR871" t="s">
        <v>107</v>
      </c>
      <c r="BS871" t="s">
        <v>16644</v>
      </c>
      <c r="BT871" t="str">
        <f>HYPERLINK("https%3A%2F%2Fwww.webofscience.com%2Fwos%2Fwoscc%2Ffull-record%2FWOS:001000189800001","View Full Record in Web of Science")</f>
        <v>View Full Record in Web of Science</v>
      </c>
    </row>
    <row r="872" spans="1:72" x14ac:dyDescent="0.15">
      <c r="A872" t="s">
        <v>72</v>
      </c>
      <c r="B872" t="s">
        <v>16645</v>
      </c>
      <c r="C872" t="s">
        <v>74</v>
      </c>
      <c r="D872" t="s">
        <v>74</v>
      </c>
      <c r="E872" t="s">
        <v>74</v>
      </c>
      <c r="F872" t="s">
        <v>16646</v>
      </c>
      <c r="G872" t="s">
        <v>74</v>
      </c>
      <c r="H872" t="s">
        <v>74</v>
      </c>
      <c r="I872" t="s">
        <v>16647</v>
      </c>
      <c r="J872" t="s">
        <v>2213</v>
      </c>
      <c r="K872" t="s">
        <v>74</v>
      </c>
      <c r="L872" t="s">
        <v>74</v>
      </c>
      <c r="M872" t="s">
        <v>78</v>
      </c>
      <c r="N872" t="s">
        <v>6276</v>
      </c>
      <c r="O872" t="s">
        <v>74</v>
      </c>
      <c r="P872" t="s">
        <v>74</v>
      </c>
      <c r="Q872" t="s">
        <v>74</v>
      </c>
      <c r="R872" t="s">
        <v>74</v>
      </c>
      <c r="S872" t="s">
        <v>74</v>
      </c>
      <c r="T872" t="s">
        <v>16648</v>
      </c>
      <c r="U872" t="s">
        <v>16649</v>
      </c>
      <c r="V872" t="s">
        <v>16650</v>
      </c>
      <c r="W872" t="s">
        <v>16651</v>
      </c>
      <c r="X872" t="s">
        <v>16652</v>
      </c>
      <c r="Y872" t="s">
        <v>16653</v>
      </c>
      <c r="Z872" t="s">
        <v>16654</v>
      </c>
      <c r="AA872" t="s">
        <v>16655</v>
      </c>
      <c r="AB872" t="s">
        <v>16656</v>
      </c>
      <c r="AC872" t="s">
        <v>16657</v>
      </c>
      <c r="AD872" t="s">
        <v>15510</v>
      </c>
      <c r="AE872" t="s">
        <v>16658</v>
      </c>
      <c r="AF872" t="s">
        <v>74</v>
      </c>
      <c r="AG872">
        <v>66</v>
      </c>
      <c r="AH872">
        <v>1</v>
      </c>
      <c r="AI872">
        <v>1</v>
      </c>
      <c r="AJ872">
        <v>15</v>
      </c>
      <c r="AK872">
        <v>18</v>
      </c>
      <c r="AL872" t="s">
        <v>588</v>
      </c>
      <c r="AM872" t="s">
        <v>589</v>
      </c>
      <c r="AN872" t="s">
        <v>590</v>
      </c>
      <c r="AO872" t="s">
        <v>2226</v>
      </c>
      <c r="AP872" t="s">
        <v>2227</v>
      </c>
      <c r="AQ872" t="s">
        <v>74</v>
      </c>
      <c r="AR872" t="s">
        <v>2228</v>
      </c>
      <c r="AS872" t="s">
        <v>2229</v>
      </c>
      <c r="AT872" t="s">
        <v>16640</v>
      </c>
      <c r="AU872">
        <v>2023</v>
      </c>
      <c r="AV872">
        <v>50</v>
      </c>
      <c r="AW872">
        <v>9</v>
      </c>
      <c r="AX872" t="s">
        <v>74</v>
      </c>
      <c r="AY872" t="s">
        <v>74</v>
      </c>
      <c r="AZ872" t="s">
        <v>74</v>
      </c>
      <c r="BA872" t="s">
        <v>74</v>
      </c>
      <c r="BB872" t="s">
        <v>74</v>
      </c>
      <c r="BC872" t="s">
        <v>74</v>
      </c>
      <c r="BD872" t="s">
        <v>16659</v>
      </c>
      <c r="BE872" t="s">
        <v>16660</v>
      </c>
      <c r="BF872" t="str">
        <f>HYPERLINK("http://dx.doi.org/10.1029/2022GL102691","http://dx.doi.org/10.1029/2022GL102691")</f>
        <v>http://dx.doi.org/10.1029/2022GL102691</v>
      </c>
      <c r="BG872" t="s">
        <v>74</v>
      </c>
      <c r="BH872" t="s">
        <v>74</v>
      </c>
      <c r="BI872">
        <v>10</v>
      </c>
      <c r="BJ872" t="s">
        <v>155</v>
      </c>
      <c r="BK872" t="s">
        <v>104</v>
      </c>
      <c r="BL872" t="s">
        <v>156</v>
      </c>
      <c r="BM872" t="s">
        <v>16661</v>
      </c>
      <c r="BN872" t="s">
        <v>74</v>
      </c>
      <c r="BO872" t="s">
        <v>549</v>
      </c>
      <c r="BP872" t="s">
        <v>74</v>
      </c>
      <c r="BQ872" t="s">
        <v>74</v>
      </c>
      <c r="BR872" t="s">
        <v>107</v>
      </c>
      <c r="BS872" t="s">
        <v>16662</v>
      </c>
      <c r="BT872" t="str">
        <f>HYPERLINK("https%3A%2F%2Fwww.webofscience.com%2Fwos%2Fwoscc%2Ffull-record%2FWOS:000999843100001","View Full Record in Web of Science")</f>
        <v>View Full Record in Web of Science</v>
      </c>
    </row>
    <row r="873" spans="1:72" x14ac:dyDescent="0.15">
      <c r="A873" t="s">
        <v>72</v>
      </c>
      <c r="B873" t="s">
        <v>16663</v>
      </c>
      <c r="C873" t="s">
        <v>74</v>
      </c>
      <c r="D873" t="s">
        <v>74</v>
      </c>
      <c r="E873" t="s">
        <v>74</v>
      </c>
      <c r="F873" t="s">
        <v>16664</v>
      </c>
      <c r="G873" t="s">
        <v>74</v>
      </c>
      <c r="H873" t="s">
        <v>74</v>
      </c>
      <c r="I873" t="s">
        <v>16665</v>
      </c>
      <c r="J873" t="s">
        <v>1763</v>
      </c>
      <c r="K873" t="s">
        <v>74</v>
      </c>
      <c r="L873" t="s">
        <v>74</v>
      </c>
      <c r="M873" t="s">
        <v>78</v>
      </c>
      <c r="N873" t="s">
        <v>79</v>
      </c>
      <c r="O873" t="s">
        <v>74</v>
      </c>
      <c r="P873" t="s">
        <v>74</v>
      </c>
      <c r="Q873" t="s">
        <v>74</v>
      </c>
      <c r="R873" t="s">
        <v>74</v>
      </c>
      <c r="S873" t="s">
        <v>74</v>
      </c>
      <c r="T873" t="s">
        <v>74</v>
      </c>
      <c r="U873" t="s">
        <v>16666</v>
      </c>
      <c r="V873" t="s">
        <v>16667</v>
      </c>
      <c r="W873" t="s">
        <v>16668</v>
      </c>
      <c r="X873" t="s">
        <v>16669</v>
      </c>
      <c r="Y873" t="s">
        <v>16670</v>
      </c>
      <c r="Z873" t="s">
        <v>16671</v>
      </c>
      <c r="AA873" t="s">
        <v>74</v>
      </c>
      <c r="AB873" t="s">
        <v>16672</v>
      </c>
      <c r="AC873" t="s">
        <v>16673</v>
      </c>
      <c r="AD873" t="s">
        <v>16674</v>
      </c>
      <c r="AE873" t="s">
        <v>16675</v>
      </c>
      <c r="AF873" t="s">
        <v>74</v>
      </c>
      <c r="AG873">
        <v>61</v>
      </c>
      <c r="AH873">
        <v>2</v>
      </c>
      <c r="AI873">
        <v>2</v>
      </c>
      <c r="AJ873">
        <v>9</v>
      </c>
      <c r="AK873">
        <v>13</v>
      </c>
      <c r="AL873" t="s">
        <v>1775</v>
      </c>
      <c r="AM873" t="s">
        <v>1776</v>
      </c>
      <c r="AN873" t="s">
        <v>1777</v>
      </c>
      <c r="AO873" t="s">
        <v>1778</v>
      </c>
      <c r="AP873" t="s">
        <v>1779</v>
      </c>
      <c r="AQ873" t="s">
        <v>74</v>
      </c>
      <c r="AR873" t="s">
        <v>1763</v>
      </c>
      <c r="AS873" t="s">
        <v>1780</v>
      </c>
      <c r="AT873" t="s">
        <v>16640</v>
      </c>
      <c r="AU873">
        <v>2023</v>
      </c>
      <c r="AV873">
        <v>17</v>
      </c>
      <c r="AW873">
        <v>5</v>
      </c>
      <c r="AX873" t="s">
        <v>74</v>
      </c>
      <c r="AY873" t="s">
        <v>74</v>
      </c>
      <c r="AZ873" t="s">
        <v>74</v>
      </c>
      <c r="BA873" t="s">
        <v>74</v>
      </c>
      <c r="BB873">
        <v>2059</v>
      </c>
      <c r="BC873">
        <v>2072</v>
      </c>
      <c r="BD873" t="s">
        <v>74</v>
      </c>
      <c r="BE873" t="s">
        <v>16676</v>
      </c>
      <c r="BF873" t="str">
        <f>HYPERLINK("http://dx.doi.org/10.5194/tc-17-2059-2023","http://dx.doi.org/10.5194/tc-17-2059-2023")</f>
        <v>http://dx.doi.org/10.5194/tc-17-2059-2023</v>
      </c>
      <c r="BG873" t="s">
        <v>74</v>
      </c>
      <c r="BH873" t="s">
        <v>74</v>
      </c>
      <c r="BI873">
        <v>14</v>
      </c>
      <c r="BJ873" t="s">
        <v>1783</v>
      </c>
      <c r="BK873" t="s">
        <v>104</v>
      </c>
      <c r="BL873" t="s">
        <v>1784</v>
      </c>
      <c r="BM873" t="s">
        <v>16677</v>
      </c>
      <c r="BN873" t="s">
        <v>74</v>
      </c>
      <c r="BO873" t="s">
        <v>771</v>
      </c>
      <c r="BP873" t="s">
        <v>74</v>
      </c>
      <c r="BQ873" t="s">
        <v>74</v>
      </c>
      <c r="BR873" t="s">
        <v>107</v>
      </c>
      <c r="BS873" t="s">
        <v>16678</v>
      </c>
      <c r="BT873" t="str">
        <f>HYPERLINK("https%3A%2F%2Fwww.webofscience.com%2Fwos%2Fwoscc%2Ffull-record%2FWOS:000988947000001","View Full Record in Web of Science")</f>
        <v>View Full Record in Web of Science</v>
      </c>
    </row>
    <row r="874" spans="1:72" x14ac:dyDescent="0.15">
      <c r="A874" t="s">
        <v>72</v>
      </c>
      <c r="B874" t="s">
        <v>16679</v>
      </c>
      <c r="C874" t="s">
        <v>74</v>
      </c>
      <c r="D874" t="s">
        <v>74</v>
      </c>
      <c r="E874" t="s">
        <v>74</v>
      </c>
      <c r="F874" t="s">
        <v>16680</v>
      </c>
      <c r="G874" t="s">
        <v>74</v>
      </c>
      <c r="H874" t="s">
        <v>74</v>
      </c>
      <c r="I874" t="s">
        <v>16681</v>
      </c>
      <c r="J874" t="s">
        <v>1031</v>
      </c>
      <c r="K874" t="s">
        <v>74</v>
      </c>
      <c r="L874" t="s">
        <v>74</v>
      </c>
      <c r="M874" t="s">
        <v>78</v>
      </c>
      <c r="N874" t="s">
        <v>79</v>
      </c>
      <c r="O874" t="s">
        <v>74</v>
      </c>
      <c r="P874" t="s">
        <v>74</v>
      </c>
      <c r="Q874" t="s">
        <v>74</v>
      </c>
      <c r="R874" t="s">
        <v>74</v>
      </c>
      <c r="S874" t="s">
        <v>74</v>
      </c>
      <c r="T874" t="s">
        <v>16682</v>
      </c>
      <c r="U874" t="s">
        <v>16683</v>
      </c>
      <c r="V874" t="s">
        <v>16684</v>
      </c>
      <c r="W874" t="s">
        <v>16685</v>
      </c>
      <c r="X874" t="s">
        <v>16686</v>
      </c>
      <c r="Y874" t="s">
        <v>16687</v>
      </c>
      <c r="Z874" t="s">
        <v>16688</v>
      </c>
      <c r="AA874" t="s">
        <v>74</v>
      </c>
      <c r="AB874" t="s">
        <v>74</v>
      </c>
      <c r="AC874" t="s">
        <v>16689</v>
      </c>
      <c r="AD874" t="s">
        <v>16690</v>
      </c>
      <c r="AE874" t="s">
        <v>16691</v>
      </c>
      <c r="AF874" t="s">
        <v>74</v>
      </c>
      <c r="AG874">
        <v>84</v>
      </c>
      <c r="AH874">
        <v>0</v>
      </c>
      <c r="AI874">
        <v>0</v>
      </c>
      <c r="AJ874">
        <v>2</v>
      </c>
      <c r="AK874">
        <v>4</v>
      </c>
      <c r="AL874" t="s">
        <v>369</v>
      </c>
      <c r="AM874" t="s">
        <v>370</v>
      </c>
      <c r="AN874" t="s">
        <v>371</v>
      </c>
      <c r="AO874" t="s">
        <v>74</v>
      </c>
      <c r="AP874" t="s">
        <v>1042</v>
      </c>
      <c r="AQ874" t="s">
        <v>74</v>
      </c>
      <c r="AR874" t="s">
        <v>1031</v>
      </c>
      <c r="AS874" t="s">
        <v>1043</v>
      </c>
      <c r="AT874" t="s">
        <v>16640</v>
      </c>
      <c r="AU874">
        <v>2023</v>
      </c>
      <c r="AV874">
        <v>12</v>
      </c>
      <c r="AW874">
        <v>5</v>
      </c>
      <c r="AX874" t="s">
        <v>74</v>
      </c>
      <c r="AY874" t="s">
        <v>74</v>
      </c>
      <c r="AZ874" t="s">
        <v>74</v>
      </c>
      <c r="BA874" t="s">
        <v>74</v>
      </c>
      <c r="BB874" t="s">
        <v>74</v>
      </c>
      <c r="BC874" t="s">
        <v>74</v>
      </c>
      <c r="BD874">
        <v>731</v>
      </c>
      <c r="BE874" t="s">
        <v>16692</v>
      </c>
      <c r="BF874" t="str">
        <f>HYPERLINK("http://dx.doi.org/10.3390/biology12050731","http://dx.doi.org/10.3390/biology12050731")</f>
        <v>http://dx.doi.org/10.3390/biology12050731</v>
      </c>
      <c r="BG874" t="s">
        <v>74</v>
      </c>
      <c r="BH874" t="s">
        <v>74</v>
      </c>
      <c r="BI874">
        <v>22</v>
      </c>
      <c r="BJ874" t="s">
        <v>1045</v>
      </c>
      <c r="BK874" t="s">
        <v>104</v>
      </c>
      <c r="BL874" t="s">
        <v>1046</v>
      </c>
      <c r="BM874" t="s">
        <v>16693</v>
      </c>
      <c r="BN874">
        <v>37237542</v>
      </c>
      <c r="BO874" t="s">
        <v>821</v>
      </c>
      <c r="BP874" t="s">
        <v>74</v>
      </c>
      <c r="BQ874" t="s">
        <v>74</v>
      </c>
      <c r="BR874" t="s">
        <v>107</v>
      </c>
      <c r="BS874" t="s">
        <v>16694</v>
      </c>
      <c r="BT874" t="str">
        <f>HYPERLINK("https%3A%2F%2Fwww.webofscience.com%2Fwos%2Fwoscc%2Ffull-record%2FWOS:000995537700001","View Full Record in Web of Science")</f>
        <v>View Full Record in Web of Science</v>
      </c>
    </row>
    <row r="875" spans="1:72" x14ac:dyDescent="0.15">
      <c r="A875" t="s">
        <v>72</v>
      </c>
      <c r="B875" t="s">
        <v>16695</v>
      </c>
      <c r="C875" t="s">
        <v>74</v>
      </c>
      <c r="D875" t="s">
        <v>74</v>
      </c>
      <c r="E875" t="s">
        <v>74</v>
      </c>
      <c r="F875" t="s">
        <v>16696</v>
      </c>
      <c r="G875" t="s">
        <v>74</v>
      </c>
      <c r="H875" t="s">
        <v>74</v>
      </c>
      <c r="I875" t="s">
        <v>16697</v>
      </c>
      <c r="J875" t="s">
        <v>708</v>
      </c>
      <c r="K875" t="s">
        <v>74</v>
      </c>
      <c r="L875" t="s">
        <v>74</v>
      </c>
      <c r="M875" t="s">
        <v>78</v>
      </c>
      <c r="N875" t="s">
        <v>79</v>
      </c>
      <c r="O875" t="s">
        <v>74</v>
      </c>
      <c r="P875" t="s">
        <v>74</v>
      </c>
      <c r="Q875" t="s">
        <v>74</v>
      </c>
      <c r="R875" t="s">
        <v>74</v>
      </c>
      <c r="S875" t="s">
        <v>74</v>
      </c>
      <c r="T875" t="s">
        <v>16698</v>
      </c>
      <c r="U875" t="s">
        <v>74</v>
      </c>
      <c r="V875" t="s">
        <v>16699</v>
      </c>
      <c r="W875" t="s">
        <v>16700</v>
      </c>
      <c r="X875" t="s">
        <v>16701</v>
      </c>
      <c r="Y875" t="s">
        <v>16702</v>
      </c>
      <c r="Z875" t="s">
        <v>16703</v>
      </c>
      <c r="AA875" t="s">
        <v>74</v>
      </c>
      <c r="AB875" t="s">
        <v>16704</v>
      </c>
      <c r="AC875" t="s">
        <v>16705</v>
      </c>
      <c r="AD875" t="s">
        <v>16706</v>
      </c>
      <c r="AE875" t="s">
        <v>16707</v>
      </c>
      <c r="AF875" t="s">
        <v>74</v>
      </c>
      <c r="AG875">
        <v>65</v>
      </c>
      <c r="AH875">
        <v>3</v>
      </c>
      <c r="AI875">
        <v>3</v>
      </c>
      <c r="AJ875">
        <v>10</v>
      </c>
      <c r="AK875">
        <v>28</v>
      </c>
      <c r="AL875" t="s">
        <v>369</v>
      </c>
      <c r="AM875" t="s">
        <v>370</v>
      </c>
      <c r="AN875" t="s">
        <v>371</v>
      </c>
      <c r="AO875" t="s">
        <v>74</v>
      </c>
      <c r="AP875" t="s">
        <v>720</v>
      </c>
      <c r="AQ875" t="s">
        <v>74</v>
      </c>
      <c r="AR875" t="s">
        <v>721</v>
      </c>
      <c r="AS875" t="s">
        <v>722</v>
      </c>
      <c r="AT875" t="s">
        <v>16640</v>
      </c>
      <c r="AU875">
        <v>2023</v>
      </c>
      <c r="AV875">
        <v>15</v>
      </c>
      <c r="AW875">
        <v>10</v>
      </c>
      <c r="AX875" t="s">
        <v>74</v>
      </c>
      <c r="AY875" t="s">
        <v>74</v>
      </c>
      <c r="AZ875" t="s">
        <v>74</v>
      </c>
      <c r="BA875" t="s">
        <v>74</v>
      </c>
      <c r="BB875" t="s">
        <v>74</v>
      </c>
      <c r="BC875" t="s">
        <v>74</v>
      </c>
      <c r="BD875">
        <v>2598</v>
      </c>
      <c r="BE875" t="s">
        <v>16708</v>
      </c>
      <c r="BF875" t="str">
        <f>HYPERLINK("http://dx.doi.org/10.3390/rs15102598","http://dx.doi.org/10.3390/rs15102598")</f>
        <v>http://dx.doi.org/10.3390/rs15102598</v>
      </c>
      <c r="BG875" t="s">
        <v>74</v>
      </c>
      <c r="BH875" t="s">
        <v>74</v>
      </c>
      <c r="BI875">
        <v>25</v>
      </c>
      <c r="BJ875" t="s">
        <v>724</v>
      </c>
      <c r="BK875" t="s">
        <v>104</v>
      </c>
      <c r="BL875" t="s">
        <v>725</v>
      </c>
      <c r="BM875" t="s">
        <v>16709</v>
      </c>
      <c r="BN875" t="s">
        <v>74</v>
      </c>
      <c r="BO875" t="s">
        <v>206</v>
      </c>
      <c r="BP875" t="s">
        <v>74</v>
      </c>
      <c r="BQ875" t="s">
        <v>74</v>
      </c>
      <c r="BR875" t="s">
        <v>107</v>
      </c>
      <c r="BS875" t="s">
        <v>16710</v>
      </c>
      <c r="BT875" t="str">
        <f>HYPERLINK("https%3A%2F%2Fwww.webofscience.com%2Fwos%2Fwoscc%2Ffull-record%2FWOS:000998252700001","View Full Record in Web of Science")</f>
        <v>View Full Record in Web of Science</v>
      </c>
    </row>
    <row r="876" spans="1:72" x14ac:dyDescent="0.15">
      <c r="A876" t="s">
        <v>72</v>
      </c>
      <c r="B876" t="s">
        <v>16711</v>
      </c>
      <c r="C876" t="s">
        <v>74</v>
      </c>
      <c r="D876" t="s">
        <v>74</v>
      </c>
      <c r="E876" t="s">
        <v>74</v>
      </c>
      <c r="F876" t="s">
        <v>16712</v>
      </c>
      <c r="G876" t="s">
        <v>74</v>
      </c>
      <c r="H876" t="s">
        <v>74</v>
      </c>
      <c r="I876" t="s">
        <v>16713</v>
      </c>
      <c r="J876" t="s">
        <v>4475</v>
      </c>
      <c r="K876" t="s">
        <v>74</v>
      </c>
      <c r="L876" t="s">
        <v>74</v>
      </c>
      <c r="M876" t="s">
        <v>78</v>
      </c>
      <c r="N876" t="s">
        <v>3197</v>
      </c>
      <c r="O876" t="s">
        <v>74</v>
      </c>
      <c r="P876" t="s">
        <v>74</v>
      </c>
      <c r="Q876" t="s">
        <v>74</v>
      </c>
      <c r="R876" t="s">
        <v>74</v>
      </c>
      <c r="S876" t="s">
        <v>74</v>
      </c>
      <c r="T876" t="s">
        <v>74</v>
      </c>
      <c r="U876" t="s">
        <v>16714</v>
      </c>
      <c r="V876" t="s">
        <v>16715</v>
      </c>
      <c r="W876" t="s">
        <v>16716</v>
      </c>
      <c r="X876" t="s">
        <v>16717</v>
      </c>
      <c r="Y876" t="s">
        <v>16718</v>
      </c>
      <c r="Z876" t="s">
        <v>16719</v>
      </c>
      <c r="AA876" t="s">
        <v>16720</v>
      </c>
      <c r="AB876" t="s">
        <v>16721</v>
      </c>
      <c r="AC876" t="s">
        <v>16722</v>
      </c>
      <c r="AD876" t="s">
        <v>16723</v>
      </c>
      <c r="AE876" t="s">
        <v>16724</v>
      </c>
      <c r="AF876" t="s">
        <v>74</v>
      </c>
      <c r="AG876">
        <v>34</v>
      </c>
      <c r="AH876">
        <v>0</v>
      </c>
      <c r="AI876">
        <v>0</v>
      </c>
      <c r="AJ876">
        <v>0</v>
      </c>
      <c r="AK876">
        <v>5</v>
      </c>
      <c r="AL876" t="s">
        <v>146</v>
      </c>
      <c r="AM876" t="s">
        <v>147</v>
      </c>
      <c r="AN876" t="s">
        <v>148</v>
      </c>
      <c r="AO876" t="s">
        <v>74</v>
      </c>
      <c r="AP876" t="s">
        <v>4487</v>
      </c>
      <c r="AQ876" t="s">
        <v>74</v>
      </c>
      <c r="AR876" t="s">
        <v>4488</v>
      </c>
      <c r="AS876" t="s">
        <v>4489</v>
      </c>
      <c r="AT876" t="s">
        <v>16640</v>
      </c>
      <c r="AU876">
        <v>2023</v>
      </c>
      <c r="AV876">
        <v>10</v>
      </c>
      <c r="AW876">
        <v>1</v>
      </c>
      <c r="AX876" t="s">
        <v>74</v>
      </c>
      <c r="AY876" t="s">
        <v>74</v>
      </c>
      <c r="AZ876" t="s">
        <v>74</v>
      </c>
      <c r="BA876" t="s">
        <v>74</v>
      </c>
      <c r="BB876" t="s">
        <v>74</v>
      </c>
      <c r="BC876" t="s">
        <v>74</v>
      </c>
      <c r="BD876">
        <v>284</v>
      </c>
      <c r="BE876" t="s">
        <v>16725</v>
      </c>
      <c r="BF876" t="str">
        <f>HYPERLINK("http://dx.doi.org/10.1038/s41597-023-02187-y","http://dx.doi.org/10.1038/s41597-023-02187-y")</f>
        <v>http://dx.doi.org/10.1038/s41597-023-02187-y</v>
      </c>
      <c r="BG876" t="s">
        <v>74</v>
      </c>
      <c r="BH876" t="s">
        <v>74</v>
      </c>
      <c r="BI876">
        <v>8</v>
      </c>
      <c r="BJ876" t="s">
        <v>1881</v>
      </c>
      <c r="BK876" t="s">
        <v>104</v>
      </c>
      <c r="BL876" t="s">
        <v>1882</v>
      </c>
      <c r="BM876" t="s">
        <v>16726</v>
      </c>
      <c r="BN876">
        <v>37193719</v>
      </c>
      <c r="BO876" t="s">
        <v>181</v>
      </c>
      <c r="BP876" t="s">
        <v>74</v>
      </c>
      <c r="BQ876" t="s">
        <v>74</v>
      </c>
      <c r="BR876" t="s">
        <v>107</v>
      </c>
      <c r="BS876" t="s">
        <v>16727</v>
      </c>
      <c r="BT876" t="str">
        <f>HYPERLINK("https%3A%2F%2Fwww.webofscience.com%2Fwos%2Fwoscc%2Ffull-record%2FWOS:000991956300001","View Full Record in Web of Science")</f>
        <v>View Full Record in Web of Science</v>
      </c>
    </row>
    <row r="877" spans="1:72" x14ac:dyDescent="0.15">
      <c r="A877" t="s">
        <v>72</v>
      </c>
      <c r="B877" t="s">
        <v>16728</v>
      </c>
      <c r="C877" t="s">
        <v>74</v>
      </c>
      <c r="D877" t="s">
        <v>74</v>
      </c>
      <c r="E877" t="s">
        <v>74</v>
      </c>
      <c r="F877" t="s">
        <v>16729</v>
      </c>
      <c r="G877" t="s">
        <v>74</v>
      </c>
      <c r="H877" t="s">
        <v>74</v>
      </c>
      <c r="I877" t="s">
        <v>16730</v>
      </c>
      <c r="J877" t="s">
        <v>16731</v>
      </c>
      <c r="K877" t="s">
        <v>74</v>
      </c>
      <c r="L877" t="s">
        <v>74</v>
      </c>
      <c r="M877" t="s">
        <v>78</v>
      </c>
      <c r="N877" t="s">
        <v>79</v>
      </c>
      <c r="O877" t="s">
        <v>74</v>
      </c>
      <c r="P877" t="s">
        <v>74</v>
      </c>
      <c r="Q877" t="s">
        <v>74</v>
      </c>
      <c r="R877" t="s">
        <v>74</v>
      </c>
      <c r="S877" t="s">
        <v>74</v>
      </c>
      <c r="T877" t="s">
        <v>16732</v>
      </c>
      <c r="U877" t="s">
        <v>16733</v>
      </c>
      <c r="V877" t="s">
        <v>16734</v>
      </c>
      <c r="W877" t="s">
        <v>16735</v>
      </c>
      <c r="X877" t="s">
        <v>16736</v>
      </c>
      <c r="Y877" t="s">
        <v>16737</v>
      </c>
      <c r="Z877" t="s">
        <v>16738</v>
      </c>
      <c r="AA877" t="s">
        <v>74</v>
      </c>
      <c r="AB877" t="s">
        <v>16739</v>
      </c>
      <c r="AC877" t="s">
        <v>74</v>
      </c>
      <c r="AD877" t="s">
        <v>74</v>
      </c>
      <c r="AE877" t="s">
        <v>74</v>
      </c>
      <c r="AF877" t="s">
        <v>74</v>
      </c>
      <c r="AG877">
        <v>62</v>
      </c>
      <c r="AH877">
        <v>1</v>
      </c>
      <c r="AI877">
        <v>1</v>
      </c>
      <c r="AJ877">
        <v>3</v>
      </c>
      <c r="AK877">
        <v>11</v>
      </c>
      <c r="AL877" t="s">
        <v>298</v>
      </c>
      <c r="AM877" t="s">
        <v>299</v>
      </c>
      <c r="AN877" t="s">
        <v>300</v>
      </c>
      <c r="AO877" t="s">
        <v>16740</v>
      </c>
      <c r="AP877" t="s">
        <v>16741</v>
      </c>
      <c r="AQ877" t="s">
        <v>74</v>
      </c>
      <c r="AR877" t="s">
        <v>16742</v>
      </c>
      <c r="AS877" t="s">
        <v>16743</v>
      </c>
      <c r="AT877" t="s">
        <v>8990</v>
      </c>
      <c r="AU877">
        <v>2023</v>
      </c>
      <c r="AV877">
        <v>106</v>
      </c>
      <c r="AW877">
        <v>6</v>
      </c>
      <c r="AX877" t="s">
        <v>74</v>
      </c>
      <c r="AY877" t="s">
        <v>74</v>
      </c>
      <c r="AZ877" t="s">
        <v>74</v>
      </c>
      <c r="BA877" t="s">
        <v>74</v>
      </c>
      <c r="BB877">
        <v>1425</v>
      </c>
      <c r="BC877">
        <v>1442</v>
      </c>
      <c r="BD877" t="s">
        <v>74</v>
      </c>
      <c r="BE877" t="s">
        <v>16744</v>
      </c>
      <c r="BF877" t="str">
        <f>HYPERLINK("http://dx.doi.org/10.1007/s10641-023-01428-8","http://dx.doi.org/10.1007/s10641-023-01428-8")</f>
        <v>http://dx.doi.org/10.1007/s10641-023-01428-8</v>
      </c>
      <c r="BG877" t="s">
        <v>74</v>
      </c>
      <c r="BH877" t="s">
        <v>15114</v>
      </c>
      <c r="BI877">
        <v>18</v>
      </c>
      <c r="BJ877" t="s">
        <v>1707</v>
      </c>
      <c r="BK877" t="s">
        <v>104</v>
      </c>
      <c r="BL877" t="s">
        <v>1002</v>
      </c>
      <c r="BM877" t="s">
        <v>16745</v>
      </c>
      <c r="BN877" t="s">
        <v>74</v>
      </c>
      <c r="BO877" t="s">
        <v>74</v>
      </c>
      <c r="BP877" t="s">
        <v>74</v>
      </c>
      <c r="BQ877" t="s">
        <v>74</v>
      </c>
      <c r="BR877" t="s">
        <v>107</v>
      </c>
      <c r="BS877" t="s">
        <v>16746</v>
      </c>
      <c r="BT877" t="str">
        <f>HYPERLINK("https%3A%2F%2Fwww.webofscience.com%2Fwos%2Fwoscc%2Ffull-record%2FWOS:000987539800001","View Full Record in Web of Science")</f>
        <v>View Full Record in Web of Science</v>
      </c>
    </row>
    <row r="878" spans="1:72" x14ac:dyDescent="0.15">
      <c r="A878" t="s">
        <v>72</v>
      </c>
      <c r="B878" t="s">
        <v>16747</v>
      </c>
      <c r="C878" t="s">
        <v>74</v>
      </c>
      <c r="D878" t="s">
        <v>74</v>
      </c>
      <c r="E878" t="s">
        <v>74</v>
      </c>
      <c r="F878" t="s">
        <v>16748</v>
      </c>
      <c r="G878" t="s">
        <v>74</v>
      </c>
      <c r="H878" t="s">
        <v>74</v>
      </c>
      <c r="I878" t="s">
        <v>16749</v>
      </c>
      <c r="J878" t="s">
        <v>2694</v>
      </c>
      <c r="K878" t="s">
        <v>74</v>
      </c>
      <c r="L878" t="s">
        <v>74</v>
      </c>
      <c r="M878" t="s">
        <v>78</v>
      </c>
      <c r="N878" t="s">
        <v>79</v>
      </c>
      <c r="O878" t="s">
        <v>74</v>
      </c>
      <c r="P878" t="s">
        <v>74</v>
      </c>
      <c r="Q878" t="s">
        <v>74</v>
      </c>
      <c r="R878" t="s">
        <v>74</v>
      </c>
      <c r="S878" t="s">
        <v>74</v>
      </c>
      <c r="T878" t="s">
        <v>74</v>
      </c>
      <c r="U878" t="s">
        <v>16750</v>
      </c>
      <c r="V878" t="s">
        <v>16751</v>
      </c>
      <c r="W878" t="s">
        <v>16752</v>
      </c>
      <c r="X878" t="s">
        <v>16753</v>
      </c>
      <c r="Y878" t="s">
        <v>16754</v>
      </c>
      <c r="Z878" t="s">
        <v>16755</v>
      </c>
      <c r="AA878" t="s">
        <v>16756</v>
      </c>
      <c r="AB878" t="s">
        <v>16757</v>
      </c>
      <c r="AC878" t="s">
        <v>16758</v>
      </c>
      <c r="AD878" t="s">
        <v>16759</v>
      </c>
      <c r="AE878" t="s">
        <v>16760</v>
      </c>
      <c r="AF878" t="s">
        <v>74</v>
      </c>
      <c r="AG878">
        <v>90</v>
      </c>
      <c r="AH878">
        <v>21</v>
      </c>
      <c r="AI878">
        <v>21</v>
      </c>
      <c r="AJ878">
        <v>21</v>
      </c>
      <c r="AK878">
        <v>37</v>
      </c>
      <c r="AL878" t="s">
        <v>146</v>
      </c>
      <c r="AM878" t="s">
        <v>147</v>
      </c>
      <c r="AN878" t="s">
        <v>148</v>
      </c>
      <c r="AO878" t="s">
        <v>2704</v>
      </c>
      <c r="AP878" t="s">
        <v>74</v>
      </c>
      <c r="AQ878" t="s">
        <v>74</v>
      </c>
      <c r="AR878" t="s">
        <v>2705</v>
      </c>
      <c r="AS878" t="s">
        <v>2706</v>
      </c>
      <c r="AT878" t="s">
        <v>8990</v>
      </c>
      <c r="AU878">
        <v>2023</v>
      </c>
      <c r="AV878">
        <v>7</v>
      </c>
      <c r="AW878">
        <v>6</v>
      </c>
      <c r="AX878" t="s">
        <v>74</v>
      </c>
      <c r="AY878" t="s">
        <v>74</v>
      </c>
      <c r="AZ878" t="s">
        <v>74</v>
      </c>
      <c r="BA878" t="s">
        <v>74</v>
      </c>
      <c r="BB878">
        <v>903</v>
      </c>
      <c r="BC878">
        <v>913</v>
      </c>
      <c r="BD878" t="s">
        <v>74</v>
      </c>
      <c r="BE878" t="s">
        <v>16761</v>
      </c>
      <c r="BF878" t="str">
        <f>HYPERLINK("http://dx.doi.org/10.1038/s41559-023-02041-9","http://dx.doi.org/10.1038/s41559-023-02041-9")</f>
        <v>http://dx.doi.org/10.1038/s41559-023-02041-9</v>
      </c>
      <c r="BG878" t="s">
        <v>74</v>
      </c>
      <c r="BH878" t="s">
        <v>15114</v>
      </c>
      <c r="BI878">
        <v>11</v>
      </c>
      <c r="BJ878" t="s">
        <v>657</v>
      </c>
      <c r="BK878" t="s">
        <v>104</v>
      </c>
      <c r="BL878" t="s">
        <v>658</v>
      </c>
      <c r="BM878" t="s">
        <v>16762</v>
      </c>
      <c r="BN878">
        <v>37188966</v>
      </c>
      <c r="BO878" t="s">
        <v>1555</v>
      </c>
      <c r="BP878" t="s">
        <v>13947</v>
      </c>
      <c r="BQ878" t="s">
        <v>13948</v>
      </c>
      <c r="BR878" t="s">
        <v>107</v>
      </c>
      <c r="BS878" t="s">
        <v>16763</v>
      </c>
      <c r="BT878" t="str">
        <f>HYPERLINK("https%3A%2F%2Fwww.webofscience.com%2Fwos%2Fwoscc%2Ffull-record%2FWOS:000992481800002","View Full Record in Web of Science")</f>
        <v>View Full Record in Web of Science</v>
      </c>
    </row>
    <row r="879" spans="1:72" x14ac:dyDescent="0.15">
      <c r="A879" t="s">
        <v>72</v>
      </c>
      <c r="B879" t="s">
        <v>16764</v>
      </c>
      <c r="C879" t="s">
        <v>74</v>
      </c>
      <c r="D879" t="s">
        <v>74</v>
      </c>
      <c r="E879" t="s">
        <v>74</v>
      </c>
      <c r="F879" t="s">
        <v>16765</v>
      </c>
      <c r="G879" t="s">
        <v>74</v>
      </c>
      <c r="H879" t="s">
        <v>74</v>
      </c>
      <c r="I879" t="s">
        <v>16766</v>
      </c>
      <c r="J879" t="s">
        <v>13227</v>
      </c>
      <c r="K879" t="s">
        <v>74</v>
      </c>
      <c r="L879" t="s">
        <v>74</v>
      </c>
      <c r="M879" t="s">
        <v>78</v>
      </c>
      <c r="N879" t="s">
        <v>79</v>
      </c>
      <c r="O879" t="s">
        <v>74</v>
      </c>
      <c r="P879" t="s">
        <v>74</v>
      </c>
      <c r="Q879" t="s">
        <v>74</v>
      </c>
      <c r="R879" t="s">
        <v>74</v>
      </c>
      <c r="S879" t="s">
        <v>74</v>
      </c>
      <c r="T879" t="s">
        <v>16767</v>
      </c>
      <c r="U879" t="s">
        <v>74</v>
      </c>
      <c r="V879" t="s">
        <v>16768</v>
      </c>
      <c r="W879" t="s">
        <v>16769</v>
      </c>
      <c r="X879" t="s">
        <v>16770</v>
      </c>
      <c r="Y879" t="s">
        <v>16771</v>
      </c>
      <c r="Z879" t="s">
        <v>16772</v>
      </c>
      <c r="AA879" t="s">
        <v>74</v>
      </c>
      <c r="AB879" t="s">
        <v>74</v>
      </c>
      <c r="AC879" t="s">
        <v>16773</v>
      </c>
      <c r="AD879" t="s">
        <v>16774</v>
      </c>
      <c r="AE879" t="s">
        <v>16775</v>
      </c>
      <c r="AF879" t="s">
        <v>74</v>
      </c>
      <c r="AG879">
        <v>21</v>
      </c>
      <c r="AH879">
        <v>0</v>
      </c>
      <c r="AI879">
        <v>0</v>
      </c>
      <c r="AJ879">
        <v>0</v>
      </c>
      <c r="AK879">
        <v>0</v>
      </c>
      <c r="AL879" t="s">
        <v>994</v>
      </c>
      <c r="AM879" t="s">
        <v>995</v>
      </c>
      <c r="AN879" t="s">
        <v>996</v>
      </c>
      <c r="AO879" t="s">
        <v>13239</v>
      </c>
      <c r="AP879" t="s">
        <v>74</v>
      </c>
      <c r="AQ879" t="s">
        <v>74</v>
      </c>
      <c r="AR879" t="s">
        <v>13240</v>
      </c>
      <c r="AS879" t="s">
        <v>13241</v>
      </c>
      <c r="AT879" t="s">
        <v>16776</v>
      </c>
      <c r="AU879">
        <v>2023</v>
      </c>
      <c r="AV879">
        <v>10</v>
      </c>
      <c r="AW879" t="s">
        <v>74</v>
      </c>
      <c r="AX879" t="s">
        <v>74</v>
      </c>
      <c r="AY879" t="s">
        <v>74</v>
      </c>
      <c r="AZ879" t="s">
        <v>74</v>
      </c>
      <c r="BA879" t="s">
        <v>74</v>
      </c>
      <c r="BB879" t="s">
        <v>74</v>
      </c>
      <c r="BC879" t="s">
        <v>74</v>
      </c>
      <c r="BD879">
        <v>1198739</v>
      </c>
      <c r="BE879" t="s">
        <v>16777</v>
      </c>
      <c r="BF879" t="str">
        <f>HYPERLINK("http://dx.doi.org/10.3389/fspas.2023.1198739","http://dx.doi.org/10.3389/fspas.2023.1198739")</f>
        <v>http://dx.doi.org/10.3389/fspas.2023.1198739</v>
      </c>
      <c r="BG879" t="s">
        <v>74</v>
      </c>
      <c r="BH879" t="s">
        <v>74</v>
      </c>
      <c r="BI879">
        <v>7</v>
      </c>
      <c r="BJ879" t="s">
        <v>845</v>
      </c>
      <c r="BK879" t="s">
        <v>104</v>
      </c>
      <c r="BL879" t="s">
        <v>845</v>
      </c>
      <c r="BM879" t="s">
        <v>16778</v>
      </c>
      <c r="BN879" t="s">
        <v>74</v>
      </c>
      <c r="BO879" t="s">
        <v>206</v>
      </c>
      <c r="BP879" t="s">
        <v>74</v>
      </c>
      <c r="BQ879" t="s">
        <v>74</v>
      </c>
      <c r="BR879" t="s">
        <v>107</v>
      </c>
      <c r="BS879" t="s">
        <v>16779</v>
      </c>
      <c r="BT879" t="str">
        <f>HYPERLINK("https%3A%2F%2Fwww.webofscience.com%2Fwos%2Fwoscc%2Ffull-record%2FWOS:001000439900001","View Full Record in Web of Science")</f>
        <v>View Full Record in Web of Science</v>
      </c>
    </row>
    <row r="880" spans="1:72" x14ac:dyDescent="0.15">
      <c r="A880" t="s">
        <v>72</v>
      </c>
      <c r="B880" t="s">
        <v>16780</v>
      </c>
      <c r="C880" t="s">
        <v>74</v>
      </c>
      <c r="D880" t="s">
        <v>74</v>
      </c>
      <c r="E880" t="s">
        <v>74</v>
      </c>
      <c r="F880" t="s">
        <v>16781</v>
      </c>
      <c r="G880" t="s">
        <v>74</v>
      </c>
      <c r="H880" t="s">
        <v>74</v>
      </c>
      <c r="I880" t="s">
        <v>16782</v>
      </c>
      <c r="J880" t="s">
        <v>16783</v>
      </c>
      <c r="K880" t="s">
        <v>74</v>
      </c>
      <c r="L880" t="s">
        <v>74</v>
      </c>
      <c r="M880" t="s">
        <v>78</v>
      </c>
      <c r="N880" t="s">
        <v>79</v>
      </c>
      <c r="O880" t="s">
        <v>74</v>
      </c>
      <c r="P880" t="s">
        <v>74</v>
      </c>
      <c r="Q880" t="s">
        <v>74</v>
      </c>
      <c r="R880" t="s">
        <v>74</v>
      </c>
      <c r="S880" t="s">
        <v>74</v>
      </c>
      <c r="T880" t="s">
        <v>16784</v>
      </c>
      <c r="U880" t="s">
        <v>16785</v>
      </c>
      <c r="V880" t="s">
        <v>16786</v>
      </c>
      <c r="W880" t="s">
        <v>16787</v>
      </c>
      <c r="X880" t="s">
        <v>16788</v>
      </c>
      <c r="Y880" t="s">
        <v>16789</v>
      </c>
      <c r="Z880" t="s">
        <v>16790</v>
      </c>
      <c r="AA880" t="s">
        <v>74</v>
      </c>
      <c r="AB880" t="s">
        <v>74</v>
      </c>
      <c r="AC880" t="s">
        <v>16791</v>
      </c>
      <c r="AD880" t="s">
        <v>16792</v>
      </c>
      <c r="AE880" t="s">
        <v>16793</v>
      </c>
      <c r="AF880" t="s">
        <v>74</v>
      </c>
      <c r="AG880">
        <v>95</v>
      </c>
      <c r="AH880">
        <v>0</v>
      </c>
      <c r="AI880">
        <v>0</v>
      </c>
      <c r="AJ880">
        <v>2</v>
      </c>
      <c r="AK880">
        <v>3</v>
      </c>
      <c r="AL880" t="s">
        <v>172</v>
      </c>
      <c r="AM880" t="s">
        <v>173</v>
      </c>
      <c r="AN880" t="s">
        <v>174</v>
      </c>
      <c r="AO880" t="s">
        <v>16794</v>
      </c>
      <c r="AP880" t="s">
        <v>16795</v>
      </c>
      <c r="AQ880" t="s">
        <v>74</v>
      </c>
      <c r="AR880" t="s">
        <v>16796</v>
      </c>
      <c r="AS880" t="s">
        <v>16797</v>
      </c>
      <c r="AT880" t="s">
        <v>16798</v>
      </c>
      <c r="AU880">
        <v>2023</v>
      </c>
      <c r="AV880">
        <v>631</v>
      </c>
      <c r="AW880" t="s">
        <v>74</v>
      </c>
      <c r="AX880" t="s">
        <v>74</v>
      </c>
      <c r="AY880" t="s">
        <v>74</v>
      </c>
      <c r="AZ880" t="s">
        <v>74</v>
      </c>
      <c r="BA880" t="s">
        <v>74</v>
      </c>
      <c r="BB880" t="s">
        <v>74</v>
      </c>
      <c r="BC880" t="s">
        <v>74</v>
      </c>
      <c r="BD880">
        <v>121504</v>
      </c>
      <c r="BE880" t="s">
        <v>16799</v>
      </c>
      <c r="BF880" t="str">
        <f>HYPERLINK("http://dx.doi.org/10.1016/j.chemgeo.2023.121504","http://dx.doi.org/10.1016/j.chemgeo.2023.121504")</f>
        <v>http://dx.doi.org/10.1016/j.chemgeo.2023.121504</v>
      </c>
      <c r="BG880" t="s">
        <v>74</v>
      </c>
      <c r="BH880" t="s">
        <v>15114</v>
      </c>
      <c r="BI880">
        <v>13</v>
      </c>
      <c r="BJ880" t="s">
        <v>597</v>
      </c>
      <c r="BK880" t="s">
        <v>104</v>
      </c>
      <c r="BL880" t="s">
        <v>597</v>
      </c>
      <c r="BM880" t="s">
        <v>16800</v>
      </c>
      <c r="BN880" t="s">
        <v>74</v>
      </c>
      <c r="BO880" t="s">
        <v>74</v>
      </c>
      <c r="BP880" t="s">
        <v>74</v>
      </c>
      <c r="BQ880" t="s">
        <v>74</v>
      </c>
      <c r="BR880" t="s">
        <v>107</v>
      </c>
      <c r="BS880" t="s">
        <v>16801</v>
      </c>
      <c r="BT880" t="str">
        <f>HYPERLINK("https%3A%2F%2Fwww.webofscience.com%2Fwos%2Fwoscc%2Ffull-record%2FWOS:001001522800001","View Full Record in Web of Science")</f>
        <v>View Full Record in Web of Science</v>
      </c>
    </row>
    <row r="881" spans="1:72" x14ac:dyDescent="0.15">
      <c r="A881" t="s">
        <v>72</v>
      </c>
      <c r="B881" t="s">
        <v>16802</v>
      </c>
      <c r="C881" t="s">
        <v>74</v>
      </c>
      <c r="D881" t="s">
        <v>74</v>
      </c>
      <c r="E881" t="s">
        <v>74</v>
      </c>
      <c r="F881" t="s">
        <v>16803</v>
      </c>
      <c r="G881" t="s">
        <v>74</v>
      </c>
      <c r="H881" t="s">
        <v>74</v>
      </c>
      <c r="I881" t="s">
        <v>16804</v>
      </c>
      <c r="J881" t="s">
        <v>10108</v>
      </c>
      <c r="K881" t="s">
        <v>74</v>
      </c>
      <c r="L881" t="s">
        <v>74</v>
      </c>
      <c r="M881" t="s">
        <v>78</v>
      </c>
      <c r="N881" t="s">
        <v>79</v>
      </c>
      <c r="O881" t="s">
        <v>74</v>
      </c>
      <c r="P881" t="s">
        <v>74</v>
      </c>
      <c r="Q881" t="s">
        <v>74</v>
      </c>
      <c r="R881" t="s">
        <v>74</v>
      </c>
      <c r="S881" t="s">
        <v>74</v>
      </c>
      <c r="T881" t="s">
        <v>16805</v>
      </c>
      <c r="U881" t="s">
        <v>16806</v>
      </c>
      <c r="V881" t="s">
        <v>16807</v>
      </c>
      <c r="W881" t="s">
        <v>16808</v>
      </c>
      <c r="X881" t="s">
        <v>16809</v>
      </c>
      <c r="Y881" t="s">
        <v>16810</v>
      </c>
      <c r="Z881" t="s">
        <v>1566</v>
      </c>
      <c r="AA881" t="s">
        <v>16811</v>
      </c>
      <c r="AB881" t="s">
        <v>16812</v>
      </c>
      <c r="AC881" t="s">
        <v>16813</v>
      </c>
      <c r="AD881" t="s">
        <v>16814</v>
      </c>
      <c r="AE881" t="s">
        <v>16815</v>
      </c>
      <c r="AF881" t="s">
        <v>74</v>
      </c>
      <c r="AG881">
        <v>52</v>
      </c>
      <c r="AH881">
        <v>1</v>
      </c>
      <c r="AI881">
        <v>1</v>
      </c>
      <c r="AJ881">
        <v>4</v>
      </c>
      <c r="AK881">
        <v>9</v>
      </c>
      <c r="AL881" t="s">
        <v>10121</v>
      </c>
      <c r="AM881" t="s">
        <v>10122</v>
      </c>
      <c r="AN881" t="s">
        <v>10123</v>
      </c>
      <c r="AO881" t="s">
        <v>10124</v>
      </c>
      <c r="AP881" t="s">
        <v>74</v>
      </c>
      <c r="AQ881" t="s">
        <v>74</v>
      </c>
      <c r="AR881" t="s">
        <v>10125</v>
      </c>
      <c r="AS881" t="s">
        <v>10126</v>
      </c>
      <c r="AT881" t="s">
        <v>16776</v>
      </c>
      <c r="AU881">
        <v>2023</v>
      </c>
      <c r="AV881">
        <v>11</v>
      </c>
      <c r="AW881">
        <v>1</v>
      </c>
      <c r="AX881" t="s">
        <v>74</v>
      </c>
      <c r="AY881" t="s">
        <v>74</v>
      </c>
      <c r="AZ881" t="s">
        <v>74</v>
      </c>
      <c r="BA881" t="s">
        <v>74</v>
      </c>
      <c r="BB881" t="s">
        <v>74</v>
      </c>
      <c r="BC881" t="s">
        <v>74</v>
      </c>
      <c r="BD881">
        <v>102</v>
      </c>
      <c r="BE881" t="s">
        <v>16816</v>
      </c>
      <c r="BF881" t="str">
        <f>HYPERLINK("http://dx.doi.org/10.1525/elementa.2022.00102","http://dx.doi.org/10.1525/elementa.2022.00102")</f>
        <v>http://dx.doi.org/10.1525/elementa.2022.00102</v>
      </c>
      <c r="BG881" t="s">
        <v>74</v>
      </c>
      <c r="BH881" t="s">
        <v>74</v>
      </c>
      <c r="BI881">
        <v>17</v>
      </c>
      <c r="BJ881" t="s">
        <v>3303</v>
      </c>
      <c r="BK881" t="s">
        <v>104</v>
      </c>
      <c r="BL881" t="s">
        <v>2372</v>
      </c>
      <c r="BM881" t="s">
        <v>16817</v>
      </c>
      <c r="BN881" t="s">
        <v>74</v>
      </c>
      <c r="BO881" t="s">
        <v>821</v>
      </c>
      <c r="BP881" t="s">
        <v>74</v>
      </c>
      <c r="BQ881" t="s">
        <v>74</v>
      </c>
      <c r="BR881" t="s">
        <v>107</v>
      </c>
      <c r="BS881" t="s">
        <v>16818</v>
      </c>
      <c r="BT881" t="str">
        <f>HYPERLINK("https%3A%2F%2Fwww.webofscience.com%2Fwos%2Fwoscc%2Ffull-record%2FWOS:000996351500001","View Full Record in Web of Science")</f>
        <v>View Full Record in Web of Science</v>
      </c>
    </row>
    <row r="882" spans="1:72" x14ac:dyDescent="0.15">
      <c r="A882" t="s">
        <v>72</v>
      </c>
      <c r="B882" t="s">
        <v>16819</v>
      </c>
      <c r="C882" t="s">
        <v>74</v>
      </c>
      <c r="D882" t="s">
        <v>74</v>
      </c>
      <c r="E882" t="s">
        <v>74</v>
      </c>
      <c r="F882" t="s">
        <v>16820</v>
      </c>
      <c r="G882" t="s">
        <v>74</v>
      </c>
      <c r="H882" t="s">
        <v>74</v>
      </c>
      <c r="I882" t="s">
        <v>16821</v>
      </c>
      <c r="J882" t="s">
        <v>2610</v>
      </c>
      <c r="K882" t="s">
        <v>74</v>
      </c>
      <c r="L882" t="s">
        <v>74</v>
      </c>
      <c r="M882" t="s">
        <v>78</v>
      </c>
      <c r="N882" t="s">
        <v>79</v>
      </c>
      <c r="O882" t="s">
        <v>74</v>
      </c>
      <c r="P882" t="s">
        <v>74</v>
      </c>
      <c r="Q882" t="s">
        <v>74</v>
      </c>
      <c r="R882" t="s">
        <v>74</v>
      </c>
      <c r="S882" t="s">
        <v>74</v>
      </c>
      <c r="T882" t="s">
        <v>74</v>
      </c>
      <c r="U882" t="s">
        <v>16822</v>
      </c>
      <c r="V882" t="s">
        <v>16823</v>
      </c>
      <c r="W882" t="s">
        <v>16824</v>
      </c>
      <c r="X882" t="s">
        <v>16825</v>
      </c>
      <c r="Y882" t="s">
        <v>16826</v>
      </c>
      <c r="Z882" t="s">
        <v>16827</v>
      </c>
      <c r="AA882" t="s">
        <v>16828</v>
      </c>
      <c r="AB882" t="s">
        <v>16829</v>
      </c>
      <c r="AC882" t="s">
        <v>16830</v>
      </c>
      <c r="AD882" t="s">
        <v>16831</v>
      </c>
      <c r="AE882" t="s">
        <v>16832</v>
      </c>
      <c r="AF882" t="s">
        <v>74</v>
      </c>
      <c r="AG882">
        <v>85</v>
      </c>
      <c r="AH882">
        <v>2</v>
      </c>
      <c r="AI882">
        <v>2</v>
      </c>
      <c r="AJ882">
        <v>4</v>
      </c>
      <c r="AK882">
        <v>7</v>
      </c>
      <c r="AL882" t="s">
        <v>2617</v>
      </c>
      <c r="AM882" t="s">
        <v>1528</v>
      </c>
      <c r="AN882" t="s">
        <v>2618</v>
      </c>
      <c r="AO882" t="s">
        <v>74</v>
      </c>
      <c r="AP882" t="s">
        <v>2619</v>
      </c>
      <c r="AQ882" t="s">
        <v>74</v>
      </c>
      <c r="AR882" t="s">
        <v>2620</v>
      </c>
      <c r="AS882" t="s">
        <v>2621</v>
      </c>
      <c r="AT882" t="s">
        <v>16776</v>
      </c>
      <c r="AU882">
        <v>2023</v>
      </c>
      <c r="AV882">
        <v>4</v>
      </c>
      <c r="AW882">
        <v>1</v>
      </c>
      <c r="AX882" t="s">
        <v>74</v>
      </c>
      <c r="AY882" t="s">
        <v>74</v>
      </c>
      <c r="AZ882" t="s">
        <v>74</v>
      </c>
      <c r="BA882" t="s">
        <v>74</v>
      </c>
      <c r="BB882" t="s">
        <v>74</v>
      </c>
      <c r="BC882" t="s">
        <v>74</v>
      </c>
      <c r="BD882">
        <v>113</v>
      </c>
      <c r="BE882" t="s">
        <v>16833</v>
      </c>
      <c r="BF882" t="str">
        <f>HYPERLINK("http://dx.doi.org/10.1038/s43247-023-00765-x","http://dx.doi.org/10.1038/s43247-023-00765-x")</f>
        <v>http://dx.doi.org/10.1038/s43247-023-00765-x</v>
      </c>
      <c r="BG882" t="s">
        <v>74</v>
      </c>
      <c r="BH882" t="s">
        <v>74</v>
      </c>
      <c r="BI882">
        <v>11</v>
      </c>
      <c r="BJ882" t="s">
        <v>1214</v>
      </c>
      <c r="BK882" t="s">
        <v>104</v>
      </c>
      <c r="BL882" t="s">
        <v>1215</v>
      </c>
      <c r="BM882" t="s">
        <v>16834</v>
      </c>
      <c r="BN882" t="s">
        <v>74</v>
      </c>
      <c r="BO882" t="s">
        <v>3243</v>
      </c>
      <c r="BP882" t="s">
        <v>74</v>
      </c>
      <c r="BQ882" t="s">
        <v>74</v>
      </c>
      <c r="BR882" t="s">
        <v>107</v>
      </c>
      <c r="BS882" t="s">
        <v>16835</v>
      </c>
      <c r="BT882" t="str">
        <f>HYPERLINK("https%3A%2F%2Fwww.webofscience.com%2Fwos%2Fwoscc%2Ffull-record%2FWOS:000988017700002","View Full Record in Web of Science")</f>
        <v>View Full Record in Web of Science</v>
      </c>
    </row>
    <row r="883" spans="1:72" x14ac:dyDescent="0.15">
      <c r="A883" t="s">
        <v>72</v>
      </c>
      <c r="B883" t="s">
        <v>16836</v>
      </c>
      <c r="C883" t="s">
        <v>74</v>
      </c>
      <c r="D883" t="s">
        <v>74</v>
      </c>
      <c r="E883" t="s">
        <v>74</v>
      </c>
      <c r="F883" t="s">
        <v>16837</v>
      </c>
      <c r="G883" t="s">
        <v>74</v>
      </c>
      <c r="H883" t="s">
        <v>74</v>
      </c>
      <c r="I883" t="s">
        <v>16838</v>
      </c>
      <c r="J883" t="s">
        <v>3107</v>
      </c>
      <c r="K883" t="s">
        <v>74</v>
      </c>
      <c r="L883" t="s">
        <v>74</v>
      </c>
      <c r="M883" t="s">
        <v>78</v>
      </c>
      <c r="N883" t="s">
        <v>1911</v>
      </c>
      <c r="O883" t="s">
        <v>74</v>
      </c>
      <c r="P883" t="s">
        <v>74</v>
      </c>
      <c r="Q883" t="s">
        <v>74</v>
      </c>
      <c r="R883" t="s">
        <v>74</v>
      </c>
      <c r="S883" t="s">
        <v>74</v>
      </c>
      <c r="T883" t="s">
        <v>74</v>
      </c>
      <c r="U883" t="s">
        <v>16839</v>
      </c>
      <c r="V883" t="s">
        <v>16840</v>
      </c>
      <c r="W883" t="s">
        <v>16841</v>
      </c>
      <c r="X883" t="s">
        <v>16842</v>
      </c>
      <c r="Y883" t="s">
        <v>16843</v>
      </c>
      <c r="Z883" t="s">
        <v>16844</v>
      </c>
      <c r="AA883" t="s">
        <v>16845</v>
      </c>
      <c r="AB883" t="s">
        <v>16846</v>
      </c>
      <c r="AC883" t="s">
        <v>16847</v>
      </c>
      <c r="AD883" t="s">
        <v>16848</v>
      </c>
      <c r="AE883" t="s">
        <v>16849</v>
      </c>
      <c r="AF883" t="s">
        <v>74</v>
      </c>
      <c r="AG883">
        <v>38</v>
      </c>
      <c r="AH883">
        <v>2</v>
      </c>
      <c r="AI883">
        <v>2</v>
      </c>
      <c r="AJ883">
        <v>0</v>
      </c>
      <c r="AK883">
        <v>2</v>
      </c>
      <c r="AL883" t="s">
        <v>460</v>
      </c>
      <c r="AM883" t="s">
        <v>461</v>
      </c>
      <c r="AN883" t="s">
        <v>462</v>
      </c>
      <c r="AO883" t="s">
        <v>3119</v>
      </c>
      <c r="AP883" t="s">
        <v>3120</v>
      </c>
      <c r="AQ883" t="s">
        <v>74</v>
      </c>
      <c r="AR883" t="s">
        <v>3121</v>
      </c>
      <c r="AS883" t="s">
        <v>3122</v>
      </c>
      <c r="AT883" t="s">
        <v>16850</v>
      </c>
      <c r="AU883">
        <v>2023</v>
      </c>
      <c r="AV883" t="s">
        <v>74</v>
      </c>
      <c r="AW883" t="s">
        <v>74</v>
      </c>
      <c r="AX883" t="s">
        <v>74</v>
      </c>
      <c r="AY883" t="s">
        <v>74</v>
      </c>
      <c r="AZ883" t="s">
        <v>74</v>
      </c>
      <c r="BA883" t="s">
        <v>74</v>
      </c>
      <c r="BB883" t="s">
        <v>74</v>
      </c>
      <c r="BC883" t="s">
        <v>74</v>
      </c>
      <c r="BD883" t="s">
        <v>74</v>
      </c>
      <c r="BE883" t="s">
        <v>16851</v>
      </c>
      <c r="BF883" t="str">
        <f>HYPERLINK("http://dx.doi.org/10.1111/maps.13983","http://dx.doi.org/10.1111/maps.13983")</f>
        <v>http://dx.doi.org/10.1111/maps.13983</v>
      </c>
      <c r="BG883" t="s">
        <v>74</v>
      </c>
      <c r="BH883" t="s">
        <v>15114</v>
      </c>
      <c r="BI883">
        <v>25</v>
      </c>
      <c r="BJ883" t="s">
        <v>597</v>
      </c>
      <c r="BK883" t="s">
        <v>104</v>
      </c>
      <c r="BL883" t="s">
        <v>597</v>
      </c>
      <c r="BM883" t="s">
        <v>16852</v>
      </c>
      <c r="BN883" t="s">
        <v>74</v>
      </c>
      <c r="BO883" t="s">
        <v>2670</v>
      </c>
      <c r="BP883" t="s">
        <v>74</v>
      </c>
      <c r="BQ883" t="s">
        <v>74</v>
      </c>
      <c r="BR883" t="s">
        <v>107</v>
      </c>
      <c r="BS883" t="s">
        <v>16853</v>
      </c>
      <c r="BT883" t="str">
        <f>HYPERLINK("https%3A%2F%2Fwww.webofscience.com%2Fwos%2Fwoscc%2Ffull-record%2FWOS:000987880700001","View Full Record in Web of Science")</f>
        <v>View Full Record in Web of Science</v>
      </c>
    </row>
    <row r="884" spans="1:72" x14ac:dyDescent="0.15">
      <c r="A884" t="s">
        <v>72</v>
      </c>
      <c r="B884" t="s">
        <v>16854</v>
      </c>
      <c r="C884" t="s">
        <v>74</v>
      </c>
      <c r="D884" t="s">
        <v>74</v>
      </c>
      <c r="E884" t="s">
        <v>74</v>
      </c>
      <c r="F884" t="s">
        <v>16855</v>
      </c>
      <c r="G884" t="s">
        <v>74</v>
      </c>
      <c r="H884" t="s">
        <v>74</v>
      </c>
      <c r="I884" t="s">
        <v>16856</v>
      </c>
      <c r="J884" t="s">
        <v>983</v>
      </c>
      <c r="K884" t="s">
        <v>74</v>
      </c>
      <c r="L884" t="s">
        <v>74</v>
      </c>
      <c r="M884" t="s">
        <v>78</v>
      </c>
      <c r="N884" t="s">
        <v>79</v>
      </c>
      <c r="O884" t="s">
        <v>74</v>
      </c>
      <c r="P884" t="s">
        <v>74</v>
      </c>
      <c r="Q884" t="s">
        <v>74</v>
      </c>
      <c r="R884" t="s">
        <v>74</v>
      </c>
      <c r="S884" t="s">
        <v>74</v>
      </c>
      <c r="T884" t="s">
        <v>16857</v>
      </c>
      <c r="U884" t="s">
        <v>16858</v>
      </c>
      <c r="V884" t="s">
        <v>16859</v>
      </c>
      <c r="W884" t="s">
        <v>16860</v>
      </c>
      <c r="X884" t="s">
        <v>16861</v>
      </c>
      <c r="Y884" t="s">
        <v>16862</v>
      </c>
      <c r="Z884" t="s">
        <v>16863</v>
      </c>
      <c r="AA884" t="s">
        <v>2547</v>
      </c>
      <c r="AB884" t="s">
        <v>2548</v>
      </c>
      <c r="AC884" t="s">
        <v>16864</v>
      </c>
      <c r="AD884" t="s">
        <v>16865</v>
      </c>
      <c r="AE884" t="s">
        <v>16866</v>
      </c>
      <c r="AF884" t="s">
        <v>74</v>
      </c>
      <c r="AG884">
        <v>86</v>
      </c>
      <c r="AH884">
        <v>1</v>
      </c>
      <c r="AI884">
        <v>1</v>
      </c>
      <c r="AJ884">
        <v>1</v>
      </c>
      <c r="AK884">
        <v>1</v>
      </c>
      <c r="AL884" t="s">
        <v>994</v>
      </c>
      <c r="AM884" t="s">
        <v>995</v>
      </c>
      <c r="AN884" t="s">
        <v>996</v>
      </c>
      <c r="AO884" t="s">
        <v>74</v>
      </c>
      <c r="AP884" t="s">
        <v>997</v>
      </c>
      <c r="AQ884" t="s">
        <v>74</v>
      </c>
      <c r="AR884" t="s">
        <v>998</v>
      </c>
      <c r="AS884" t="s">
        <v>999</v>
      </c>
      <c r="AT884" t="s">
        <v>16776</v>
      </c>
      <c r="AU884">
        <v>2023</v>
      </c>
      <c r="AV884">
        <v>10</v>
      </c>
      <c r="AW884" t="s">
        <v>74</v>
      </c>
      <c r="AX884" t="s">
        <v>74</v>
      </c>
      <c r="AY884" t="s">
        <v>74</v>
      </c>
      <c r="AZ884" t="s">
        <v>74</v>
      </c>
      <c r="BA884" t="s">
        <v>74</v>
      </c>
      <c r="BB884" t="s">
        <v>74</v>
      </c>
      <c r="BC884" t="s">
        <v>74</v>
      </c>
      <c r="BD884">
        <v>1183516</v>
      </c>
      <c r="BE884" t="s">
        <v>16867</v>
      </c>
      <c r="BF884" t="str">
        <f>HYPERLINK("http://dx.doi.org/10.3389/fmars.2023.1183516","http://dx.doi.org/10.3389/fmars.2023.1183516")</f>
        <v>http://dx.doi.org/10.3389/fmars.2023.1183516</v>
      </c>
      <c r="BG884" t="s">
        <v>74</v>
      </c>
      <c r="BH884" t="s">
        <v>74</v>
      </c>
      <c r="BI884">
        <v>15</v>
      </c>
      <c r="BJ884" t="s">
        <v>1001</v>
      </c>
      <c r="BK884" t="s">
        <v>104</v>
      </c>
      <c r="BL884" t="s">
        <v>1002</v>
      </c>
      <c r="BM884" t="s">
        <v>16868</v>
      </c>
      <c r="BN884" t="s">
        <v>74</v>
      </c>
      <c r="BO884" t="s">
        <v>206</v>
      </c>
      <c r="BP884" t="s">
        <v>74</v>
      </c>
      <c r="BQ884" t="s">
        <v>74</v>
      </c>
      <c r="BR884" t="s">
        <v>107</v>
      </c>
      <c r="BS884" t="s">
        <v>16869</v>
      </c>
      <c r="BT884" t="str">
        <f>HYPERLINK("https%3A%2F%2Fwww.webofscience.com%2Fwos%2Fwoscc%2Ffull-record%2FWOS:000995914600001","View Full Record in Web of Science")</f>
        <v>View Full Record in Web of Science</v>
      </c>
    </row>
    <row r="885" spans="1:72" x14ac:dyDescent="0.15">
      <c r="A885" t="s">
        <v>72</v>
      </c>
      <c r="B885" t="s">
        <v>16870</v>
      </c>
      <c r="C885" t="s">
        <v>74</v>
      </c>
      <c r="D885" t="s">
        <v>74</v>
      </c>
      <c r="E885" t="s">
        <v>74</v>
      </c>
      <c r="F885" t="s">
        <v>16871</v>
      </c>
      <c r="G885" t="s">
        <v>74</v>
      </c>
      <c r="H885" t="s">
        <v>74</v>
      </c>
      <c r="I885" t="s">
        <v>16872</v>
      </c>
      <c r="J885" t="s">
        <v>16873</v>
      </c>
      <c r="K885" t="s">
        <v>74</v>
      </c>
      <c r="L885" t="s">
        <v>74</v>
      </c>
      <c r="M885" t="s">
        <v>78</v>
      </c>
      <c r="N885" t="s">
        <v>79</v>
      </c>
      <c r="O885" t="s">
        <v>74</v>
      </c>
      <c r="P885" t="s">
        <v>74</v>
      </c>
      <c r="Q885" t="s">
        <v>74</v>
      </c>
      <c r="R885" t="s">
        <v>74</v>
      </c>
      <c r="S885" t="s">
        <v>74</v>
      </c>
      <c r="T885" t="s">
        <v>74</v>
      </c>
      <c r="U885" t="s">
        <v>16874</v>
      </c>
      <c r="V885" t="s">
        <v>16875</v>
      </c>
      <c r="W885" t="s">
        <v>16876</v>
      </c>
      <c r="X885" t="s">
        <v>16877</v>
      </c>
      <c r="Y885" t="s">
        <v>16878</v>
      </c>
      <c r="Z885" t="s">
        <v>16879</v>
      </c>
      <c r="AA885" t="s">
        <v>16880</v>
      </c>
      <c r="AB885" t="s">
        <v>16881</v>
      </c>
      <c r="AC885" t="s">
        <v>74</v>
      </c>
      <c r="AD885" t="s">
        <v>74</v>
      </c>
      <c r="AE885" t="s">
        <v>74</v>
      </c>
      <c r="AF885" t="s">
        <v>74</v>
      </c>
      <c r="AG885">
        <v>142</v>
      </c>
      <c r="AH885">
        <v>1</v>
      </c>
      <c r="AI885">
        <v>1</v>
      </c>
      <c r="AJ885">
        <v>6</v>
      </c>
      <c r="AK885">
        <v>10</v>
      </c>
      <c r="AL885" t="s">
        <v>2617</v>
      </c>
      <c r="AM885" t="s">
        <v>1528</v>
      </c>
      <c r="AN885" t="s">
        <v>2618</v>
      </c>
      <c r="AO885" t="s">
        <v>16882</v>
      </c>
      <c r="AP885" t="s">
        <v>16883</v>
      </c>
      <c r="AQ885" t="s">
        <v>74</v>
      </c>
      <c r="AR885" t="s">
        <v>16884</v>
      </c>
      <c r="AS885" t="s">
        <v>16885</v>
      </c>
      <c r="AT885" t="s">
        <v>4689</v>
      </c>
      <c r="AU885">
        <v>2023</v>
      </c>
      <c r="AV885">
        <v>17</v>
      </c>
      <c r="AW885">
        <v>8</v>
      </c>
      <c r="AX885" t="s">
        <v>74</v>
      </c>
      <c r="AY885" t="s">
        <v>74</v>
      </c>
      <c r="AZ885" t="s">
        <v>74</v>
      </c>
      <c r="BA885" t="s">
        <v>74</v>
      </c>
      <c r="BB885">
        <v>1208</v>
      </c>
      <c r="BC885">
        <v>1223</v>
      </c>
      <c r="BD885" t="s">
        <v>74</v>
      </c>
      <c r="BE885" t="s">
        <v>16886</v>
      </c>
      <c r="BF885" t="str">
        <f>HYPERLINK("http://dx.doi.org/10.1038/s41396-023-01420-1","http://dx.doi.org/10.1038/s41396-023-01420-1")</f>
        <v>http://dx.doi.org/10.1038/s41396-023-01420-1</v>
      </c>
      <c r="BG885" t="s">
        <v>74</v>
      </c>
      <c r="BH885" t="s">
        <v>15114</v>
      </c>
      <c r="BI885">
        <v>16</v>
      </c>
      <c r="BJ885" t="s">
        <v>8295</v>
      </c>
      <c r="BK885" t="s">
        <v>104</v>
      </c>
      <c r="BL885" t="s">
        <v>8296</v>
      </c>
      <c r="BM885" t="s">
        <v>16887</v>
      </c>
      <c r="BN885">
        <v>37188915</v>
      </c>
      <c r="BO885" t="s">
        <v>1282</v>
      </c>
      <c r="BP885" t="s">
        <v>74</v>
      </c>
      <c r="BQ885" t="s">
        <v>74</v>
      </c>
      <c r="BR885" t="s">
        <v>107</v>
      </c>
      <c r="BS885" t="s">
        <v>16888</v>
      </c>
      <c r="BT885" t="str">
        <f>HYPERLINK("https%3A%2F%2Fwww.webofscience.com%2Fwos%2Fwoscc%2Ffull-record%2FWOS:000987114800001","View Full Record in Web of Science")</f>
        <v>View Full Record in Web of Science</v>
      </c>
    </row>
    <row r="886" spans="1:72" x14ac:dyDescent="0.15">
      <c r="A886" t="s">
        <v>72</v>
      </c>
      <c r="B886" t="s">
        <v>16889</v>
      </c>
      <c r="C886" t="s">
        <v>74</v>
      </c>
      <c r="D886" t="s">
        <v>74</v>
      </c>
      <c r="E886" t="s">
        <v>74</v>
      </c>
      <c r="F886" t="s">
        <v>16890</v>
      </c>
      <c r="G886" t="s">
        <v>74</v>
      </c>
      <c r="H886" t="s">
        <v>74</v>
      </c>
      <c r="I886" t="s">
        <v>16891</v>
      </c>
      <c r="J886" t="s">
        <v>11521</v>
      </c>
      <c r="K886" t="s">
        <v>74</v>
      </c>
      <c r="L886" t="s">
        <v>74</v>
      </c>
      <c r="M886" t="s">
        <v>78</v>
      </c>
      <c r="N886" t="s">
        <v>79</v>
      </c>
      <c r="O886" t="s">
        <v>74</v>
      </c>
      <c r="P886" t="s">
        <v>74</v>
      </c>
      <c r="Q886" t="s">
        <v>74</v>
      </c>
      <c r="R886" t="s">
        <v>74</v>
      </c>
      <c r="S886" t="s">
        <v>74</v>
      </c>
      <c r="T886" t="s">
        <v>74</v>
      </c>
      <c r="U886" t="s">
        <v>74</v>
      </c>
      <c r="V886" t="s">
        <v>16892</v>
      </c>
      <c r="W886" t="s">
        <v>16893</v>
      </c>
      <c r="X886" t="s">
        <v>315</v>
      </c>
      <c r="Y886" t="s">
        <v>16894</v>
      </c>
      <c r="Z886" t="s">
        <v>16895</v>
      </c>
      <c r="AA886" t="s">
        <v>16896</v>
      </c>
      <c r="AB886" t="s">
        <v>74</v>
      </c>
      <c r="AC886" t="s">
        <v>16897</v>
      </c>
      <c r="AD886" t="s">
        <v>2603</v>
      </c>
      <c r="AE886" t="s">
        <v>16898</v>
      </c>
      <c r="AF886" t="s">
        <v>74</v>
      </c>
      <c r="AG886">
        <v>9</v>
      </c>
      <c r="AH886">
        <v>0</v>
      </c>
      <c r="AI886">
        <v>0</v>
      </c>
      <c r="AJ886">
        <v>0</v>
      </c>
      <c r="AK886">
        <v>1</v>
      </c>
      <c r="AL886" t="s">
        <v>11533</v>
      </c>
      <c r="AM886" t="s">
        <v>589</v>
      </c>
      <c r="AN886" t="s">
        <v>11534</v>
      </c>
      <c r="AO886" t="s">
        <v>11535</v>
      </c>
      <c r="AP886" t="s">
        <v>74</v>
      </c>
      <c r="AQ886" t="s">
        <v>74</v>
      </c>
      <c r="AR886" t="s">
        <v>11536</v>
      </c>
      <c r="AS886" t="s">
        <v>11537</v>
      </c>
      <c r="AT886" t="s">
        <v>8596</v>
      </c>
      <c r="AU886">
        <v>2023</v>
      </c>
      <c r="AV886">
        <v>12</v>
      </c>
      <c r="AW886">
        <v>6</v>
      </c>
      <c r="AX886" t="s">
        <v>74</v>
      </c>
      <c r="AY886" t="s">
        <v>74</v>
      </c>
      <c r="AZ886" t="s">
        <v>74</v>
      </c>
      <c r="BA886" t="s">
        <v>74</v>
      </c>
      <c r="BB886" t="s">
        <v>74</v>
      </c>
      <c r="BC886" t="s">
        <v>74</v>
      </c>
      <c r="BD886" t="s">
        <v>74</v>
      </c>
      <c r="BE886" t="s">
        <v>16899</v>
      </c>
      <c r="BF886" t="str">
        <f>HYPERLINK("http://dx.doi.org/10.1128/mra.00141-23","http://dx.doi.org/10.1128/mra.00141-23")</f>
        <v>http://dx.doi.org/10.1128/mra.00141-23</v>
      </c>
      <c r="BG886" t="s">
        <v>74</v>
      </c>
      <c r="BH886" t="s">
        <v>15114</v>
      </c>
      <c r="BI886">
        <v>2</v>
      </c>
      <c r="BJ886" t="s">
        <v>702</v>
      </c>
      <c r="BK886" t="s">
        <v>518</v>
      </c>
      <c r="BL886" t="s">
        <v>702</v>
      </c>
      <c r="BM886" t="s">
        <v>15361</v>
      </c>
      <c r="BN886">
        <v>37184420</v>
      </c>
      <c r="BO886" t="s">
        <v>181</v>
      </c>
      <c r="BP886" t="s">
        <v>74</v>
      </c>
      <c r="BQ886" t="s">
        <v>74</v>
      </c>
      <c r="BR886" t="s">
        <v>107</v>
      </c>
      <c r="BS886" t="s">
        <v>16900</v>
      </c>
      <c r="BT886" t="str">
        <f>HYPERLINK("https%3A%2F%2Fwww.webofscience.com%2Fwos%2Fwoscc%2Ffull-record%2FWOS:000987774200001","View Full Record in Web of Science")</f>
        <v>View Full Record in Web of Science</v>
      </c>
    </row>
    <row r="887" spans="1:72" x14ac:dyDescent="0.15">
      <c r="A887" t="s">
        <v>72</v>
      </c>
      <c r="B887" t="s">
        <v>16901</v>
      </c>
      <c r="C887" t="s">
        <v>74</v>
      </c>
      <c r="D887" t="s">
        <v>74</v>
      </c>
      <c r="E887" t="s">
        <v>74</v>
      </c>
      <c r="F887" t="s">
        <v>16902</v>
      </c>
      <c r="G887" t="s">
        <v>74</v>
      </c>
      <c r="H887" t="s">
        <v>74</v>
      </c>
      <c r="I887" t="s">
        <v>16903</v>
      </c>
      <c r="J887" t="s">
        <v>708</v>
      </c>
      <c r="K887" t="s">
        <v>74</v>
      </c>
      <c r="L887" t="s">
        <v>74</v>
      </c>
      <c r="M887" t="s">
        <v>78</v>
      </c>
      <c r="N887" t="s">
        <v>79</v>
      </c>
      <c r="O887" t="s">
        <v>74</v>
      </c>
      <c r="P887" t="s">
        <v>74</v>
      </c>
      <c r="Q887" t="s">
        <v>74</v>
      </c>
      <c r="R887" t="s">
        <v>74</v>
      </c>
      <c r="S887" t="s">
        <v>74</v>
      </c>
      <c r="T887" t="s">
        <v>16904</v>
      </c>
      <c r="U887" t="s">
        <v>16905</v>
      </c>
      <c r="V887" t="s">
        <v>16906</v>
      </c>
      <c r="W887" t="s">
        <v>16907</v>
      </c>
      <c r="X887" t="s">
        <v>16908</v>
      </c>
      <c r="Y887" t="s">
        <v>16909</v>
      </c>
      <c r="Z887" t="s">
        <v>16910</v>
      </c>
      <c r="AA887" t="s">
        <v>16911</v>
      </c>
      <c r="AB887" t="s">
        <v>16912</v>
      </c>
      <c r="AC887" t="s">
        <v>16913</v>
      </c>
      <c r="AD887" t="s">
        <v>16914</v>
      </c>
      <c r="AE887" t="s">
        <v>16915</v>
      </c>
      <c r="AF887" t="s">
        <v>74</v>
      </c>
      <c r="AG887">
        <v>76</v>
      </c>
      <c r="AH887">
        <v>5</v>
      </c>
      <c r="AI887">
        <v>5</v>
      </c>
      <c r="AJ887">
        <v>6</v>
      </c>
      <c r="AK887">
        <v>11</v>
      </c>
      <c r="AL887" t="s">
        <v>369</v>
      </c>
      <c r="AM887" t="s">
        <v>370</v>
      </c>
      <c r="AN887" t="s">
        <v>371</v>
      </c>
      <c r="AO887" t="s">
        <v>74</v>
      </c>
      <c r="AP887" t="s">
        <v>720</v>
      </c>
      <c r="AQ887" t="s">
        <v>74</v>
      </c>
      <c r="AR887" t="s">
        <v>721</v>
      </c>
      <c r="AS887" t="s">
        <v>722</v>
      </c>
      <c r="AT887" t="s">
        <v>16916</v>
      </c>
      <c r="AU887">
        <v>2023</v>
      </c>
      <c r="AV887">
        <v>15</v>
      </c>
      <c r="AW887">
        <v>10</v>
      </c>
      <c r="AX887" t="s">
        <v>74</v>
      </c>
      <c r="AY887" t="s">
        <v>74</v>
      </c>
      <c r="AZ887" t="s">
        <v>74</v>
      </c>
      <c r="BA887" t="s">
        <v>74</v>
      </c>
      <c r="BB887" t="s">
        <v>74</v>
      </c>
      <c r="BC887" t="s">
        <v>74</v>
      </c>
      <c r="BD887">
        <v>2568</v>
      </c>
      <c r="BE887" t="s">
        <v>16917</v>
      </c>
      <c r="BF887" t="str">
        <f>HYPERLINK("http://dx.doi.org/10.3390/rs15102568","http://dx.doi.org/10.3390/rs15102568")</f>
        <v>http://dx.doi.org/10.3390/rs15102568</v>
      </c>
      <c r="BG887" t="s">
        <v>74</v>
      </c>
      <c r="BH887" t="s">
        <v>74</v>
      </c>
      <c r="BI887">
        <v>27</v>
      </c>
      <c r="BJ887" t="s">
        <v>724</v>
      </c>
      <c r="BK887" t="s">
        <v>104</v>
      </c>
      <c r="BL887" t="s">
        <v>725</v>
      </c>
      <c r="BM887" t="s">
        <v>16918</v>
      </c>
      <c r="BN887" t="s">
        <v>74</v>
      </c>
      <c r="BO887" t="s">
        <v>206</v>
      </c>
      <c r="BP887" t="s">
        <v>74</v>
      </c>
      <c r="BQ887" t="s">
        <v>74</v>
      </c>
      <c r="BR887" t="s">
        <v>107</v>
      </c>
      <c r="BS887" t="s">
        <v>16919</v>
      </c>
      <c r="BT887" t="str">
        <f>HYPERLINK("https%3A%2F%2Fwww.webofscience.com%2Fwos%2Fwoscc%2Ffull-record%2FWOS:000996922400001","View Full Record in Web of Science")</f>
        <v>View Full Record in Web of Science</v>
      </c>
    </row>
    <row r="888" spans="1:72" x14ac:dyDescent="0.15">
      <c r="A888" t="s">
        <v>72</v>
      </c>
      <c r="B888" t="s">
        <v>16920</v>
      </c>
      <c r="C888" t="s">
        <v>74</v>
      </c>
      <c r="D888" t="s">
        <v>74</v>
      </c>
      <c r="E888" t="s">
        <v>74</v>
      </c>
      <c r="F888" t="s">
        <v>16921</v>
      </c>
      <c r="G888" t="s">
        <v>74</v>
      </c>
      <c r="H888" t="s">
        <v>74</v>
      </c>
      <c r="I888" t="s">
        <v>16922</v>
      </c>
      <c r="J888" t="s">
        <v>5745</v>
      </c>
      <c r="K888" t="s">
        <v>74</v>
      </c>
      <c r="L888" t="s">
        <v>74</v>
      </c>
      <c r="M888" t="s">
        <v>78</v>
      </c>
      <c r="N888" t="s">
        <v>79</v>
      </c>
      <c r="O888" t="s">
        <v>74</v>
      </c>
      <c r="P888" t="s">
        <v>74</v>
      </c>
      <c r="Q888" t="s">
        <v>74</v>
      </c>
      <c r="R888" t="s">
        <v>74</v>
      </c>
      <c r="S888" t="s">
        <v>74</v>
      </c>
      <c r="T888" t="s">
        <v>16923</v>
      </c>
      <c r="U888" t="s">
        <v>16924</v>
      </c>
      <c r="V888" t="s">
        <v>16925</v>
      </c>
      <c r="W888" t="s">
        <v>16926</v>
      </c>
      <c r="X888" t="s">
        <v>3135</v>
      </c>
      <c r="Y888" t="s">
        <v>16927</v>
      </c>
      <c r="Z888" t="s">
        <v>16928</v>
      </c>
      <c r="AA888" t="s">
        <v>16929</v>
      </c>
      <c r="AB888" t="s">
        <v>16930</v>
      </c>
      <c r="AC888" t="s">
        <v>16931</v>
      </c>
      <c r="AD888" t="s">
        <v>16931</v>
      </c>
      <c r="AE888" t="s">
        <v>16932</v>
      </c>
      <c r="AF888" t="s">
        <v>74</v>
      </c>
      <c r="AG888">
        <v>42</v>
      </c>
      <c r="AH888">
        <v>1</v>
      </c>
      <c r="AI888">
        <v>1</v>
      </c>
      <c r="AJ888">
        <v>5</v>
      </c>
      <c r="AK888">
        <v>10</v>
      </c>
      <c r="AL888" t="s">
        <v>369</v>
      </c>
      <c r="AM888" t="s">
        <v>370</v>
      </c>
      <c r="AN888" t="s">
        <v>371</v>
      </c>
      <c r="AO888" t="s">
        <v>74</v>
      </c>
      <c r="AP888" t="s">
        <v>5756</v>
      </c>
      <c r="AQ888" t="s">
        <v>74</v>
      </c>
      <c r="AR888" t="s">
        <v>5757</v>
      </c>
      <c r="AS888" t="s">
        <v>5758</v>
      </c>
      <c r="AT888" t="s">
        <v>16916</v>
      </c>
      <c r="AU888">
        <v>2023</v>
      </c>
      <c r="AV888">
        <v>15</v>
      </c>
      <c r="AW888">
        <v>10</v>
      </c>
      <c r="AX888" t="s">
        <v>74</v>
      </c>
      <c r="AY888" t="s">
        <v>74</v>
      </c>
      <c r="AZ888" t="s">
        <v>74</v>
      </c>
      <c r="BA888" t="s">
        <v>74</v>
      </c>
      <c r="BB888" t="s">
        <v>74</v>
      </c>
      <c r="BC888" t="s">
        <v>74</v>
      </c>
      <c r="BD888">
        <v>8009</v>
      </c>
      <c r="BE888" t="s">
        <v>16933</v>
      </c>
      <c r="BF888" t="str">
        <f>HYPERLINK("http://dx.doi.org/10.3390/su15108009","http://dx.doi.org/10.3390/su15108009")</f>
        <v>http://dx.doi.org/10.3390/su15108009</v>
      </c>
      <c r="BG888" t="s">
        <v>74</v>
      </c>
      <c r="BH888" t="s">
        <v>74</v>
      </c>
      <c r="BI888">
        <v>20</v>
      </c>
      <c r="BJ888" t="s">
        <v>5760</v>
      </c>
      <c r="BK888" t="s">
        <v>881</v>
      </c>
      <c r="BL888" t="s">
        <v>5761</v>
      </c>
      <c r="BM888" t="s">
        <v>16934</v>
      </c>
      <c r="BN888" t="s">
        <v>74</v>
      </c>
      <c r="BO888" t="s">
        <v>3243</v>
      </c>
      <c r="BP888" t="s">
        <v>74</v>
      </c>
      <c r="BQ888" t="s">
        <v>74</v>
      </c>
      <c r="BR888" t="s">
        <v>107</v>
      </c>
      <c r="BS888" t="s">
        <v>16935</v>
      </c>
      <c r="BT888" t="str">
        <f>HYPERLINK("https%3A%2F%2Fwww.webofscience.com%2Fwos%2Fwoscc%2Ffull-record%2FWOS:000996892500001","View Full Record in Web of Science")</f>
        <v>View Full Record in Web of Science</v>
      </c>
    </row>
    <row r="889" spans="1:72" x14ac:dyDescent="0.15">
      <c r="A889" t="s">
        <v>72</v>
      </c>
      <c r="B889" t="s">
        <v>16936</v>
      </c>
      <c r="C889" t="s">
        <v>74</v>
      </c>
      <c r="D889" t="s">
        <v>74</v>
      </c>
      <c r="E889" t="s">
        <v>74</v>
      </c>
      <c r="F889" t="s">
        <v>16937</v>
      </c>
      <c r="G889" t="s">
        <v>74</v>
      </c>
      <c r="H889" t="s">
        <v>74</v>
      </c>
      <c r="I889" t="s">
        <v>16938</v>
      </c>
      <c r="J889" t="s">
        <v>16939</v>
      </c>
      <c r="K889" t="s">
        <v>74</v>
      </c>
      <c r="L889" t="s">
        <v>74</v>
      </c>
      <c r="M889" t="s">
        <v>78</v>
      </c>
      <c r="N889" t="s">
        <v>3197</v>
      </c>
      <c r="O889" t="s">
        <v>74</v>
      </c>
      <c r="P889" t="s">
        <v>74</v>
      </c>
      <c r="Q889" t="s">
        <v>74</v>
      </c>
      <c r="R889" t="s">
        <v>74</v>
      </c>
      <c r="S889" t="s">
        <v>74</v>
      </c>
      <c r="T889" t="s">
        <v>16940</v>
      </c>
      <c r="U889" t="s">
        <v>16941</v>
      </c>
      <c r="V889" t="s">
        <v>16942</v>
      </c>
      <c r="W889" t="s">
        <v>16943</v>
      </c>
      <c r="X889" t="s">
        <v>16944</v>
      </c>
      <c r="Y889" t="s">
        <v>16945</v>
      </c>
      <c r="Z889" t="s">
        <v>16946</v>
      </c>
      <c r="AA889" t="s">
        <v>16947</v>
      </c>
      <c r="AB889" t="s">
        <v>16948</v>
      </c>
      <c r="AC889" t="s">
        <v>74</v>
      </c>
      <c r="AD889" t="s">
        <v>74</v>
      </c>
      <c r="AE889" t="s">
        <v>74</v>
      </c>
      <c r="AF889" t="s">
        <v>74</v>
      </c>
      <c r="AG889">
        <v>59</v>
      </c>
      <c r="AH889">
        <v>0</v>
      </c>
      <c r="AI889">
        <v>0</v>
      </c>
      <c r="AJ889">
        <v>0</v>
      </c>
      <c r="AK889">
        <v>2</v>
      </c>
      <c r="AL889" t="s">
        <v>369</v>
      </c>
      <c r="AM889" t="s">
        <v>370</v>
      </c>
      <c r="AN889" t="s">
        <v>371</v>
      </c>
      <c r="AO889" t="s">
        <v>74</v>
      </c>
      <c r="AP889" t="s">
        <v>16949</v>
      </c>
      <c r="AQ889" t="s">
        <v>74</v>
      </c>
      <c r="AR889" t="s">
        <v>16939</v>
      </c>
      <c r="AS889" t="s">
        <v>16950</v>
      </c>
      <c r="AT889" t="s">
        <v>16916</v>
      </c>
      <c r="AU889">
        <v>2023</v>
      </c>
      <c r="AV889">
        <v>8</v>
      </c>
      <c r="AW889">
        <v>5</v>
      </c>
      <c r="AX889" t="s">
        <v>74</v>
      </c>
      <c r="AY889" t="s">
        <v>74</v>
      </c>
      <c r="AZ889" t="s">
        <v>74</v>
      </c>
      <c r="BA889" t="s">
        <v>74</v>
      </c>
      <c r="BB889" t="s">
        <v>74</v>
      </c>
      <c r="BC889" t="s">
        <v>74</v>
      </c>
      <c r="BD889">
        <v>91</v>
      </c>
      <c r="BE889" t="s">
        <v>16951</v>
      </c>
      <c r="BF889" t="str">
        <f>HYPERLINK("http://dx.doi.org/10.3390/data8050091","http://dx.doi.org/10.3390/data8050091")</f>
        <v>http://dx.doi.org/10.3390/data8050091</v>
      </c>
      <c r="BG889" t="s">
        <v>74</v>
      </c>
      <c r="BH889" t="s">
        <v>74</v>
      </c>
      <c r="BI889">
        <v>25</v>
      </c>
      <c r="BJ889" t="s">
        <v>16952</v>
      </c>
      <c r="BK889" t="s">
        <v>518</v>
      </c>
      <c r="BL889" t="s">
        <v>16953</v>
      </c>
      <c r="BM889" t="s">
        <v>16954</v>
      </c>
      <c r="BN889" t="s">
        <v>74</v>
      </c>
      <c r="BO889" t="s">
        <v>206</v>
      </c>
      <c r="BP889" t="s">
        <v>74</v>
      </c>
      <c r="BQ889" t="s">
        <v>74</v>
      </c>
      <c r="BR889" t="s">
        <v>107</v>
      </c>
      <c r="BS889" t="s">
        <v>16955</v>
      </c>
      <c r="BT889" t="str">
        <f>HYPERLINK("https%3A%2F%2Fwww.webofscience.com%2Fwos%2Fwoscc%2Ffull-record%2FWOS:000996191400001","View Full Record in Web of Science")</f>
        <v>View Full Record in Web of Science</v>
      </c>
    </row>
    <row r="890" spans="1:72" x14ac:dyDescent="0.15">
      <c r="A890" t="s">
        <v>72</v>
      </c>
      <c r="B890" t="s">
        <v>16956</v>
      </c>
      <c r="C890" t="s">
        <v>74</v>
      </c>
      <c r="D890" t="s">
        <v>74</v>
      </c>
      <c r="E890" t="s">
        <v>74</v>
      </c>
      <c r="F890" t="s">
        <v>16957</v>
      </c>
      <c r="G890" t="s">
        <v>74</v>
      </c>
      <c r="H890" t="s">
        <v>74</v>
      </c>
      <c r="I890" t="s">
        <v>16958</v>
      </c>
      <c r="J890" t="s">
        <v>2917</v>
      </c>
      <c r="K890" t="s">
        <v>74</v>
      </c>
      <c r="L890" t="s">
        <v>74</v>
      </c>
      <c r="M890" t="s">
        <v>78</v>
      </c>
      <c r="N890" t="s">
        <v>79</v>
      </c>
      <c r="O890" t="s">
        <v>74</v>
      </c>
      <c r="P890" t="s">
        <v>74</v>
      </c>
      <c r="Q890" t="s">
        <v>74</v>
      </c>
      <c r="R890" t="s">
        <v>74</v>
      </c>
      <c r="S890" t="s">
        <v>74</v>
      </c>
      <c r="T890" t="s">
        <v>74</v>
      </c>
      <c r="U890" t="s">
        <v>16959</v>
      </c>
      <c r="V890" t="s">
        <v>16960</v>
      </c>
      <c r="W890" t="s">
        <v>16961</v>
      </c>
      <c r="X890" t="s">
        <v>16962</v>
      </c>
      <c r="Y890" t="s">
        <v>16963</v>
      </c>
      <c r="Z890" t="s">
        <v>16964</v>
      </c>
      <c r="AA890" t="s">
        <v>16965</v>
      </c>
      <c r="AB890" t="s">
        <v>16966</v>
      </c>
      <c r="AC890" t="s">
        <v>16967</v>
      </c>
      <c r="AD890" t="s">
        <v>16968</v>
      </c>
      <c r="AE890" t="s">
        <v>16969</v>
      </c>
      <c r="AF890" t="s">
        <v>74</v>
      </c>
      <c r="AG890">
        <v>67</v>
      </c>
      <c r="AH890">
        <v>2</v>
      </c>
      <c r="AI890">
        <v>3</v>
      </c>
      <c r="AJ890">
        <v>5</v>
      </c>
      <c r="AK890">
        <v>14</v>
      </c>
      <c r="AL890" t="s">
        <v>146</v>
      </c>
      <c r="AM890" t="s">
        <v>147</v>
      </c>
      <c r="AN890" t="s">
        <v>148</v>
      </c>
      <c r="AO890" t="s">
        <v>74</v>
      </c>
      <c r="AP890" t="s">
        <v>2929</v>
      </c>
      <c r="AQ890" t="s">
        <v>74</v>
      </c>
      <c r="AR890" t="s">
        <v>2930</v>
      </c>
      <c r="AS890" t="s">
        <v>2931</v>
      </c>
      <c r="AT890" t="s">
        <v>16970</v>
      </c>
      <c r="AU890">
        <v>2023</v>
      </c>
      <c r="AV890">
        <v>14</v>
      </c>
      <c r="AW890">
        <v>1</v>
      </c>
      <c r="AX890" t="s">
        <v>74</v>
      </c>
      <c r="AY890" t="s">
        <v>74</v>
      </c>
      <c r="AZ890" t="s">
        <v>74</v>
      </c>
      <c r="BA890" t="s">
        <v>74</v>
      </c>
      <c r="BB890" t="s">
        <v>74</v>
      </c>
      <c r="BC890" t="s">
        <v>74</v>
      </c>
      <c r="BD890">
        <v>2763</v>
      </c>
      <c r="BE890" t="s">
        <v>16971</v>
      </c>
      <c r="BF890" t="str">
        <f>HYPERLINK("http://dx.doi.org/10.1038/s41467-023-38425-5","http://dx.doi.org/10.1038/s41467-023-38425-5")</f>
        <v>http://dx.doi.org/10.1038/s41467-023-38425-5</v>
      </c>
      <c r="BG890" t="s">
        <v>74</v>
      </c>
      <c r="BH890" t="s">
        <v>74</v>
      </c>
      <c r="BI890">
        <v>11</v>
      </c>
      <c r="BJ890" t="s">
        <v>1881</v>
      </c>
      <c r="BK890" t="s">
        <v>104</v>
      </c>
      <c r="BL890" t="s">
        <v>1882</v>
      </c>
      <c r="BM890" t="s">
        <v>16972</v>
      </c>
      <c r="BN890">
        <v>37179409</v>
      </c>
      <c r="BO890" t="s">
        <v>11883</v>
      </c>
      <c r="BP890" t="s">
        <v>74</v>
      </c>
      <c r="BQ890" t="s">
        <v>74</v>
      </c>
      <c r="BR890" t="s">
        <v>107</v>
      </c>
      <c r="BS890" t="s">
        <v>16973</v>
      </c>
      <c r="BT890" t="str">
        <f>HYPERLINK("https%3A%2F%2Fwww.webofscience.com%2Fwos%2Fwoscc%2Ffull-record%2FWOS:001001531500013","View Full Record in Web of Science")</f>
        <v>View Full Record in Web of Science</v>
      </c>
    </row>
    <row r="891" spans="1:72" x14ac:dyDescent="0.15">
      <c r="A891" t="s">
        <v>72</v>
      </c>
      <c r="B891" t="s">
        <v>16974</v>
      </c>
      <c r="C891" t="s">
        <v>74</v>
      </c>
      <c r="D891" t="s">
        <v>74</v>
      </c>
      <c r="E891" t="s">
        <v>74</v>
      </c>
      <c r="F891" t="s">
        <v>16975</v>
      </c>
      <c r="G891" t="s">
        <v>74</v>
      </c>
      <c r="H891" t="s">
        <v>74</v>
      </c>
      <c r="I891" t="s">
        <v>16976</v>
      </c>
      <c r="J891" t="s">
        <v>11612</v>
      </c>
      <c r="K891" t="s">
        <v>74</v>
      </c>
      <c r="L891" t="s">
        <v>74</v>
      </c>
      <c r="M891" t="s">
        <v>78</v>
      </c>
      <c r="N891" t="s">
        <v>79</v>
      </c>
      <c r="O891" t="s">
        <v>74</v>
      </c>
      <c r="P891" t="s">
        <v>74</v>
      </c>
      <c r="Q891" t="s">
        <v>74</v>
      </c>
      <c r="R891" t="s">
        <v>74</v>
      </c>
      <c r="S891" t="s">
        <v>74</v>
      </c>
      <c r="T891" t="s">
        <v>16977</v>
      </c>
      <c r="U891" t="s">
        <v>16978</v>
      </c>
      <c r="V891" t="s">
        <v>16979</v>
      </c>
      <c r="W891" t="s">
        <v>16980</v>
      </c>
      <c r="X891" t="s">
        <v>16981</v>
      </c>
      <c r="Y891" t="s">
        <v>16982</v>
      </c>
      <c r="Z891" t="s">
        <v>16983</v>
      </c>
      <c r="AA891" t="s">
        <v>16984</v>
      </c>
      <c r="AB891" t="s">
        <v>16985</v>
      </c>
      <c r="AC891" t="s">
        <v>16986</v>
      </c>
      <c r="AD891" t="s">
        <v>16987</v>
      </c>
      <c r="AE891" t="s">
        <v>16988</v>
      </c>
      <c r="AF891" t="s">
        <v>74</v>
      </c>
      <c r="AG891">
        <v>45</v>
      </c>
      <c r="AH891">
        <v>1</v>
      </c>
      <c r="AI891">
        <v>1</v>
      </c>
      <c r="AJ891">
        <v>8</v>
      </c>
      <c r="AK891">
        <v>12</v>
      </c>
      <c r="AL891" t="s">
        <v>3672</v>
      </c>
      <c r="AM891" t="s">
        <v>538</v>
      </c>
      <c r="AN891" t="s">
        <v>3673</v>
      </c>
      <c r="AO891" t="s">
        <v>11624</v>
      </c>
      <c r="AP891" t="s">
        <v>11625</v>
      </c>
      <c r="AQ891" t="s">
        <v>74</v>
      </c>
      <c r="AR891" t="s">
        <v>11626</v>
      </c>
      <c r="AS891" t="s">
        <v>11627</v>
      </c>
      <c r="AT891" t="s">
        <v>3612</v>
      </c>
      <c r="AU891">
        <v>2023</v>
      </c>
      <c r="AV891">
        <v>283</v>
      </c>
      <c r="AW891" t="s">
        <v>74</v>
      </c>
      <c r="AX891" t="s">
        <v>74</v>
      </c>
      <c r="AY891" t="s">
        <v>74</v>
      </c>
      <c r="AZ891" t="s">
        <v>74</v>
      </c>
      <c r="BA891" t="s">
        <v>74</v>
      </c>
      <c r="BB891" t="s">
        <v>74</v>
      </c>
      <c r="BC891" t="s">
        <v>74</v>
      </c>
      <c r="BD891">
        <v>110105</v>
      </c>
      <c r="BE891" t="s">
        <v>16989</v>
      </c>
      <c r="BF891" t="str">
        <f>HYPERLINK("http://dx.doi.org/10.1016/j.biocon.2023.110105","http://dx.doi.org/10.1016/j.biocon.2023.110105")</f>
        <v>http://dx.doi.org/10.1016/j.biocon.2023.110105</v>
      </c>
      <c r="BG891" t="s">
        <v>74</v>
      </c>
      <c r="BH891" t="s">
        <v>15114</v>
      </c>
      <c r="BI891">
        <v>8</v>
      </c>
      <c r="BJ891" t="s">
        <v>10349</v>
      </c>
      <c r="BK891" t="s">
        <v>104</v>
      </c>
      <c r="BL891" t="s">
        <v>1905</v>
      </c>
      <c r="BM891" t="s">
        <v>16990</v>
      </c>
      <c r="BN891" t="s">
        <v>74</v>
      </c>
      <c r="BO891" t="s">
        <v>549</v>
      </c>
      <c r="BP891" t="s">
        <v>74</v>
      </c>
      <c r="BQ891" t="s">
        <v>74</v>
      </c>
      <c r="BR891" t="s">
        <v>107</v>
      </c>
      <c r="BS891" t="s">
        <v>16991</v>
      </c>
      <c r="BT891" t="str">
        <f>HYPERLINK("https%3A%2F%2Fwww.webofscience.com%2Fwos%2Fwoscc%2Ffull-record%2FWOS:001001596600001","View Full Record in Web of Science")</f>
        <v>View Full Record in Web of Science</v>
      </c>
    </row>
    <row r="892" spans="1:72" x14ac:dyDescent="0.15">
      <c r="A892" t="s">
        <v>72</v>
      </c>
      <c r="B892" t="s">
        <v>16992</v>
      </c>
      <c r="C892" t="s">
        <v>74</v>
      </c>
      <c r="D892" t="s">
        <v>74</v>
      </c>
      <c r="E892" t="s">
        <v>74</v>
      </c>
      <c r="F892" t="s">
        <v>16993</v>
      </c>
      <c r="G892" t="s">
        <v>74</v>
      </c>
      <c r="H892" t="s">
        <v>74</v>
      </c>
      <c r="I892" t="s">
        <v>16994</v>
      </c>
      <c r="J892" t="s">
        <v>16995</v>
      </c>
      <c r="K892" t="s">
        <v>74</v>
      </c>
      <c r="L892" t="s">
        <v>74</v>
      </c>
      <c r="M892" t="s">
        <v>78</v>
      </c>
      <c r="N892" t="s">
        <v>16996</v>
      </c>
      <c r="O892" t="s">
        <v>74</v>
      </c>
      <c r="P892" t="s">
        <v>74</v>
      </c>
      <c r="Q892" t="s">
        <v>74</v>
      </c>
      <c r="R892" t="s">
        <v>74</v>
      </c>
      <c r="S892" t="s">
        <v>74</v>
      </c>
      <c r="T892" t="s">
        <v>74</v>
      </c>
      <c r="U892" t="s">
        <v>74</v>
      </c>
      <c r="V892" t="s">
        <v>74</v>
      </c>
      <c r="W892" t="s">
        <v>74</v>
      </c>
      <c r="X892" t="s">
        <v>74</v>
      </c>
      <c r="Y892" t="s">
        <v>74</v>
      </c>
      <c r="Z892" t="s">
        <v>74</v>
      </c>
      <c r="AA892" t="s">
        <v>74</v>
      </c>
      <c r="AB892" t="s">
        <v>74</v>
      </c>
      <c r="AC892" t="s">
        <v>74</v>
      </c>
      <c r="AD892" t="s">
        <v>74</v>
      </c>
      <c r="AE892" t="s">
        <v>74</v>
      </c>
      <c r="AF892" t="s">
        <v>74</v>
      </c>
      <c r="AG892">
        <v>0</v>
      </c>
      <c r="AH892">
        <v>0</v>
      </c>
      <c r="AI892">
        <v>0</v>
      </c>
      <c r="AJ892">
        <v>0</v>
      </c>
      <c r="AK892">
        <v>0</v>
      </c>
      <c r="AL892" t="s">
        <v>16997</v>
      </c>
      <c r="AM892" t="s">
        <v>1528</v>
      </c>
      <c r="AN892" t="s">
        <v>16998</v>
      </c>
      <c r="AO892" t="s">
        <v>16999</v>
      </c>
      <c r="AP892" t="s">
        <v>74</v>
      </c>
      <c r="AQ892" t="s">
        <v>74</v>
      </c>
      <c r="AR892" t="s">
        <v>17000</v>
      </c>
      <c r="AS892" t="s">
        <v>17001</v>
      </c>
      <c r="AT892" t="s">
        <v>16970</v>
      </c>
      <c r="AU892">
        <v>2023</v>
      </c>
      <c r="AV892">
        <v>246</v>
      </c>
      <c r="AW892">
        <v>3438</v>
      </c>
      <c r="AX892" t="s">
        <v>74</v>
      </c>
      <c r="AY892" t="s">
        <v>74</v>
      </c>
      <c r="AZ892" t="s">
        <v>74</v>
      </c>
      <c r="BA892" t="s">
        <v>74</v>
      </c>
      <c r="BB892">
        <v>9</v>
      </c>
      <c r="BC892">
        <v>9</v>
      </c>
      <c r="BD892" t="s">
        <v>74</v>
      </c>
      <c r="BE892" t="s">
        <v>74</v>
      </c>
      <c r="BF892" t="s">
        <v>74</v>
      </c>
      <c r="BG892" t="s">
        <v>74</v>
      </c>
      <c r="BH892" t="s">
        <v>74</v>
      </c>
      <c r="BI892">
        <v>1</v>
      </c>
      <c r="BJ892" t="s">
        <v>1881</v>
      </c>
      <c r="BK892" t="s">
        <v>104</v>
      </c>
      <c r="BL892" t="s">
        <v>1882</v>
      </c>
      <c r="BM892" t="s">
        <v>17002</v>
      </c>
      <c r="BN892" t="s">
        <v>74</v>
      </c>
      <c r="BO892" t="s">
        <v>74</v>
      </c>
      <c r="BP892" t="s">
        <v>74</v>
      </c>
      <c r="BQ892" t="s">
        <v>74</v>
      </c>
      <c r="BR892" t="s">
        <v>107</v>
      </c>
      <c r="BS892" t="s">
        <v>17003</v>
      </c>
      <c r="BT892" t="str">
        <f>HYPERLINK("https%3A%2F%2Fwww.webofscience.com%2Fwos%2Fwoscc%2Ffull-record%2FWOS:000986602900004","View Full Record in Web of Science")</f>
        <v>View Full Record in Web of Science</v>
      </c>
    </row>
    <row r="893" spans="1:72" x14ac:dyDescent="0.15">
      <c r="A893" t="s">
        <v>72</v>
      </c>
      <c r="B893" t="s">
        <v>17004</v>
      </c>
      <c r="C893" t="s">
        <v>74</v>
      </c>
      <c r="D893" t="s">
        <v>74</v>
      </c>
      <c r="E893" t="s">
        <v>74</v>
      </c>
      <c r="F893" t="s">
        <v>17005</v>
      </c>
      <c r="G893" t="s">
        <v>74</v>
      </c>
      <c r="H893" t="s">
        <v>74</v>
      </c>
      <c r="I893" t="s">
        <v>17006</v>
      </c>
      <c r="J893" t="s">
        <v>708</v>
      </c>
      <c r="K893" t="s">
        <v>74</v>
      </c>
      <c r="L893" t="s">
        <v>74</v>
      </c>
      <c r="M893" t="s">
        <v>78</v>
      </c>
      <c r="N893" t="s">
        <v>79</v>
      </c>
      <c r="O893" t="s">
        <v>74</v>
      </c>
      <c r="P893" t="s">
        <v>74</v>
      </c>
      <c r="Q893" t="s">
        <v>74</v>
      </c>
      <c r="R893" t="s">
        <v>74</v>
      </c>
      <c r="S893" t="s">
        <v>74</v>
      </c>
      <c r="T893" t="s">
        <v>17007</v>
      </c>
      <c r="U893" t="s">
        <v>17008</v>
      </c>
      <c r="V893" t="s">
        <v>17009</v>
      </c>
      <c r="W893" t="s">
        <v>17010</v>
      </c>
      <c r="X893" t="s">
        <v>17011</v>
      </c>
      <c r="Y893" t="s">
        <v>17012</v>
      </c>
      <c r="Z893" t="s">
        <v>17013</v>
      </c>
      <c r="AA893" t="s">
        <v>17014</v>
      </c>
      <c r="AB893" t="s">
        <v>17015</v>
      </c>
      <c r="AC893" t="s">
        <v>17016</v>
      </c>
      <c r="AD893" t="s">
        <v>17017</v>
      </c>
      <c r="AE893" t="s">
        <v>17018</v>
      </c>
      <c r="AF893" t="s">
        <v>74</v>
      </c>
      <c r="AG893">
        <v>99</v>
      </c>
      <c r="AH893">
        <v>1</v>
      </c>
      <c r="AI893">
        <v>1</v>
      </c>
      <c r="AJ893">
        <v>3</v>
      </c>
      <c r="AK893">
        <v>9</v>
      </c>
      <c r="AL893" t="s">
        <v>369</v>
      </c>
      <c r="AM893" t="s">
        <v>370</v>
      </c>
      <c r="AN893" t="s">
        <v>371</v>
      </c>
      <c r="AO893" t="s">
        <v>74</v>
      </c>
      <c r="AP893" t="s">
        <v>720</v>
      </c>
      <c r="AQ893" t="s">
        <v>74</v>
      </c>
      <c r="AR893" t="s">
        <v>721</v>
      </c>
      <c r="AS893" t="s">
        <v>722</v>
      </c>
      <c r="AT893" t="s">
        <v>16970</v>
      </c>
      <c r="AU893">
        <v>2023</v>
      </c>
      <c r="AV893">
        <v>15</v>
      </c>
      <c r="AW893">
        <v>10</v>
      </c>
      <c r="AX893" t="s">
        <v>74</v>
      </c>
      <c r="AY893" t="s">
        <v>74</v>
      </c>
      <c r="AZ893" t="s">
        <v>74</v>
      </c>
      <c r="BA893" t="s">
        <v>74</v>
      </c>
      <c r="BB893" t="s">
        <v>74</v>
      </c>
      <c r="BC893" t="s">
        <v>74</v>
      </c>
      <c r="BD893">
        <v>2554</v>
      </c>
      <c r="BE893" t="s">
        <v>17019</v>
      </c>
      <c r="BF893" t="str">
        <f>HYPERLINK("http://dx.doi.org/10.3390/rs15102554","http://dx.doi.org/10.3390/rs15102554")</f>
        <v>http://dx.doi.org/10.3390/rs15102554</v>
      </c>
      <c r="BG893" t="s">
        <v>74</v>
      </c>
      <c r="BH893" t="s">
        <v>74</v>
      </c>
      <c r="BI893">
        <v>22</v>
      </c>
      <c r="BJ893" t="s">
        <v>724</v>
      </c>
      <c r="BK893" t="s">
        <v>104</v>
      </c>
      <c r="BL893" t="s">
        <v>725</v>
      </c>
      <c r="BM893" t="s">
        <v>17020</v>
      </c>
      <c r="BN893" t="s">
        <v>74</v>
      </c>
      <c r="BO893" t="s">
        <v>206</v>
      </c>
      <c r="BP893" t="s">
        <v>74</v>
      </c>
      <c r="BQ893" t="s">
        <v>74</v>
      </c>
      <c r="BR893" t="s">
        <v>107</v>
      </c>
      <c r="BS893" t="s">
        <v>17021</v>
      </c>
      <c r="BT893" t="str">
        <f>HYPERLINK("https%3A%2F%2Fwww.webofscience.com%2Fwos%2Fwoscc%2Ffull-record%2FWOS:000998108100001","View Full Record in Web of Science")</f>
        <v>View Full Record in Web of Science</v>
      </c>
    </row>
    <row r="894" spans="1:72" x14ac:dyDescent="0.15">
      <c r="A894" t="s">
        <v>72</v>
      </c>
      <c r="B894" t="s">
        <v>17022</v>
      </c>
      <c r="C894" t="s">
        <v>74</v>
      </c>
      <c r="D894" t="s">
        <v>74</v>
      </c>
      <c r="E894" t="s">
        <v>74</v>
      </c>
      <c r="F894" t="s">
        <v>17023</v>
      </c>
      <c r="G894" t="s">
        <v>74</v>
      </c>
      <c r="H894" t="s">
        <v>74</v>
      </c>
      <c r="I894" t="s">
        <v>17024</v>
      </c>
      <c r="J894" t="s">
        <v>17025</v>
      </c>
      <c r="K894" t="s">
        <v>74</v>
      </c>
      <c r="L894" t="s">
        <v>74</v>
      </c>
      <c r="M894" t="s">
        <v>78</v>
      </c>
      <c r="N894" t="s">
        <v>79</v>
      </c>
      <c r="O894" t="s">
        <v>74</v>
      </c>
      <c r="P894" t="s">
        <v>74</v>
      </c>
      <c r="Q894" t="s">
        <v>74</v>
      </c>
      <c r="R894" t="s">
        <v>74</v>
      </c>
      <c r="S894" t="s">
        <v>74</v>
      </c>
      <c r="T894" t="s">
        <v>17026</v>
      </c>
      <c r="U894" t="s">
        <v>17027</v>
      </c>
      <c r="V894" t="s">
        <v>17028</v>
      </c>
      <c r="W894" t="s">
        <v>17029</v>
      </c>
      <c r="X894" t="s">
        <v>17030</v>
      </c>
      <c r="Y894" t="s">
        <v>17031</v>
      </c>
      <c r="Z894" t="s">
        <v>17032</v>
      </c>
      <c r="AA894" t="s">
        <v>74</v>
      </c>
      <c r="AB894" t="s">
        <v>17033</v>
      </c>
      <c r="AC894" t="s">
        <v>17034</v>
      </c>
      <c r="AD894" t="s">
        <v>17035</v>
      </c>
      <c r="AE894" t="s">
        <v>17036</v>
      </c>
      <c r="AF894" t="s">
        <v>74</v>
      </c>
      <c r="AG894">
        <v>78</v>
      </c>
      <c r="AH894">
        <v>0</v>
      </c>
      <c r="AI894">
        <v>0</v>
      </c>
      <c r="AJ894">
        <v>1</v>
      </c>
      <c r="AK894">
        <v>1</v>
      </c>
      <c r="AL894" t="s">
        <v>2762</v>
      </c>
      <c r="AM894" t="s">
        <v>2763</v>
      </c>
      <c r="AN894" t="s">
        <v>2764</v>
      </c>
      <c r="AO894" t="s">
        <v>17037</v>
      </c>
      <c r="AP894" t="s">
        <v>17038</v>
      </c>
      <c r="AQ894" t="s">
        <v>74</v>
      </c>
      <c r="AR894" t="s">
        <v>17025</v>
      </c>
      <c r="AS894" t="s">
        <v>17039</v>
      </c>
      <c r="AT894" t="s">
        <v>11705</v>
      </c>
      <c r="AU894">
        <v>2023</v>
      </c>
      <c r="AV894">
        <v>47</v>
      </c>
      <c r="AW894">
        <v>2</v>
      </c>
      <c r="AX894" t="s">
        <v>74</v>
      </c>
      <c r="AY894" t="s">
        <v>74</v>
      </c>
      <c r="AZ894" t="s">
        <v>74</v>
      </c>
      <c r="BA894" t="s">
        <v>74</v>
      </c>
      <c r="BB894">
        <v>211</v>
      </c>
      <c r="BC894">
        <v>220</v>
      </c>
      <c r="BD894" t="s">
        <v>74</v>
      </c>
      <c r="BE894" t="s">
        <v>17040</v>
      </c>
      <c r="BF894" t="str">
        <f>HYPERLINK("http://dx.doi.org/10.1080/03115518.2023.2203739","http://dx.doi.org/10.1080/03115518.2023.2203739")</f>
        <v>http://dx.doi.org/10.1080/03115518.2023.2203739</v>
      </c>
      <c r="BG894" t="s">
        <v>74</v>
      </c>
      <c r="BH894" t="s">
        <v>15114</v>
      </c>
      <c r="BI894">
        <v>10</v>
      </c>
      <c r="BJ894" t="s">
        <v>10082</v>
      </c>
      <c r="BK894" t="s">
        <v>104</v>
      </c>
      <c r="BL894" t="s">
        <v>10082</v>
      </c>
      <c r="BM894" t="s">
        <v>17041</v>
      </c>
      <c r="BN894" t="s">
        <v>74</v>
      </c>
      <c r="BO894" t="s">
        <v>74</v>
      </c>
      <c r="BP894" t="s">
        <v>74</v>
      </c>
      <c r="BQ894" t="s">
        <v>74</v>
      </c>
      <c r="BR894" t="s">
        <v>107</v>
      </c>
      <c r="BS894" t="s">
        <v>17042</v>
      </c>
      <c r="BT894" t="str">
        <f>HYPERLINK("https%3A%2F%2Fwww.webofscience.com%2Fwos%2Fwoscc%2Ffull-record%2FWOS:000988884400001","View Full Record in Web of Science")</f>
        <v>View Full Record in Web of Science</v>
      </c>
    </row>
    <row r="895" spans="1:72" x14ac:dyDescent="0.15">
      <c r="A895" t="s">
        <v>72</v>
      </c>
      <c r="B895" t="s">
        <v>17043</v>
      </c>
      <c r="C895" t="s">
        <v>74</v>
      </c>
      <c r="D895" t="s">
        <v>74</v>
      </c>
      <c r="E895" t="s">
        <v>74</v>
      </c>
      <c r="F895" t="s">
        <v>17044</v>
      </c>
      <c r="G895" t="s">
        <v>74</v>
      </c>
      <c r="H895" t="s">
        <v>74</v>
      </c>
      <c r="I895" t="s">
        <v>17045</v>
      </c>
      <c r="J895" t="s">
        <v>6800</v>
      </c>
      <c r="K895" t="s">
        <v>74</v>
      </c>
      <c r="L895" t="s">
        <v>74</v>
      </c>
      <c r="M895" t="s">
        <v>78</v>
      </c>
      <c r="N895" t="s">
        <v>79</v>
      </c>
      <c r="O895" t="s">
        <v>74</v>
      </c>
      <c r="P895" t="s">
        <v>74</v>
      </c>
      <c r="Q895" t="s">
        <v>74</v>
      </c>
      <c r="R895" t="s">
        <v>74</v>
      </c>
      <c r="S895" t="s">
        <v>74</v>
      </c>
      <c r="T895" t="s">
        <v>17046</v>
      </c>
      <c r="U895" t="s">
        <v>17047</v>
      </c>
      <c r="V895" t="s">
        <v>17048</v>
      </c>
      <c r="W895" t="s">
        <v>17049</v>
      </c>
      <c r="X895" t="s">
        <v>17050</v>
      </c>
      <c r="Y895" t="s">
        <v>17051</v>
      </c>
      <c r="Z895" t="s">
        <v>17052</v>
      </c>
      <c r="AA895" t="s">
        <v>74</v>
      </c>
      <c r="AB895" t="s">
        <v>17053</v>
      </c>
      <c r="AC895" t="s">
        <v>17054</v>
      </c>
      <c r="AD895" t="s">
        <v>17055</v>
      </c>
      <c r="AE895" t="s">
        <v>17056</v>
      </c>
      <c r="AF895" t="s">
        <v>74</v>
      </c>
      <c r="AG895">
        <v>64</v>
      </c>
      <c r="AH895">
        <v>2</v>
      </c>
      <c r="AI895">
        <v>2</v>
      </c>
      <c r="AJ895">
        <v>4</v>
      </c>
      <c r="AK895">
        <v>7</v>
      </c>
      <c r="AL895" t="s">
        <v>537</v>
      </c>
      <c r="AM895" t="s">
        <v>538</v>
      </c>
      <c r="AN895" t="s">
        <v>539</v>
      </c>
      <c r="AO895" t="s">
        <v>6808</v>
      </c>
      <c r="AP895" t="s">
        <v>6809</v>
      </c>
      <c r="AQ895" t="s">
        <v>74</v>
      </c>
      <c r="AR895" t="s">
        <v>6810</v>
      </c>
      <c r="AS895" t="s">
        <v>6811</v>
      </c>
      <c r="AT895" t="s">
        <v>10192</v>
      </c>
      <c r="AU895">
        <v>2023</v>
      </c>
      <c r="AV895">
        <v>80</v>
      </c>
      <c r="AW895">
        <v>5</v>
      </c>
      <c r="AX895" t="s">
        <v>74</v>
      </c>
      <c r="AY895" t="s">
        <v>74</v>
      </c>
      <c r="AZ895" t="s">
        <v>74</v>
      </c>
      <c r="BA895" t="s">
        <v>74</v>
      </c>
      <c r="BB895">
        <v>1472</v>
      </c>
      <c r="BC895">
        <v>1486</v>
      </c>
      <c r="BD895" t="s">
        <v>74</v>
      </c>
      <c r="BE895" t="s">
        <v>17057</v>
      </c>
      <c r="BF895" t="str">
        <f>HYPERLINK("http://dx.doi.org/10.1093/icesjms/fsad076","http://dx.doi.org/10.1093/icesjms/fsad076")</f>
        <v>http://dx.doi.org/10.1093/icesjms/fsad076</v>
      </c>
      <c r="BG895" t="s">
        <v>74</v>
      </c>
      <c r="BH895" t="s">
        <v>15114</v>
      </c>
      <c r="BI895">
        <v>15</v>
      </c>
      <c r="BJ895" t="s">
        <v>2771</v>
      </c>
      <c r="BK895" t="s">
        <v>104</v>
      </c>
      <c r="BL895" t="s">
        <v>2771</v>
      </c>
      <c r="BM895" t="s">
        <v>17058</v>
      </c>
      <c r="BN895" t="s">
        <v>74</v>
      </c>
      <c r="BO895" t="s">
        <v>181</v>
      </c>
      <c r="BP895" t="s">
        <v>74</v>
      </c>
      <c r="BQ895" t="s">
        <v>74</v>
      </c>
      <c r="BR895" t="s">
        <v>107</v>
      </c>
      <c r="BS895" t="s">
        <v>17059</v>
      </c>
      <c r="BT895" t="str">
        <f>HYPERLINK("https%3A%2F%2Fwww.webofscience.com%2Fwos%2Fwoscc%2Ffull-record%2FWOS:000986374600001","View Full Record in Web of Science")</f>
        <v>View Full Record in Web of Science</v>
      </c>
    </row>
    <row r="896" spans="1:72" x14ac:dyDescent="0.15">
      <c r="A896" t="s">
        <v>72</v>
      </c>
      <c r="B896" t="s">
        <v>17060</v>
      </c>
      <c r="C896" t="s">
        <v>74</v>
      </c>
      <c r="D896" t="s">
        <v>74</v>
      </c>
      <c r="E896" t="s">
        <v>74</v>
      </c>
      <c r="F896" t="s">
        <v>17061</v>
      </c>
      <c r="G896" t="s">
        <v>74</v>
      </c>
      <c r="H896" t="s">
        <v>74</v>
      </c>
      <c r="I896" t="s">
        <v>17062</v>
      </c>
      <c r="J896" t="s">
        <v>17063</v>
      </c>
      <c r="K896" t="s">
        <v>74</v>
      </c>
      <c r="L896" t="s">
        <v>74</v>
      </c>
      <c r="M896" t="s">
        <v>78</v>
      </c>
      <c r="N896" t="s">
        <v>79</v>
      </c>
      <c r="O896" t="s">
        <v>74</v>
      </c>
      <c r="P896" t="s">
        <v>74</v>
      </c>
      <c r="Q896" t="s">
        <v>74</v>
      </c>
      <c r="R896" t="s">
        <v>74</v>
      </c>
      <c r="S896" t="s">
        <v>74</v>
      </c>
      <c r="T896" t="s">
        <v>17064</v>
      </c>
      <c r="U896" t="s">
        <v>17065</v>
      </c>
      <c r="V896" t="s">
        <v>17066</v>
      </c>
      <c r="W896" t="s">
        <v>17067</v>
      </c>
      <c r="X896" t="s">
        <v>17068</v>
      </c>
      <c r="Y896" t="s">
        <v>17069</v>
      </c>
      <c r="Z896" t="s">
        <v>17070</v>
      </c>
      <c r="AA896" t="s">
        <v>17071</v>
      </c>
      <c r="AB896" t="s">
        <v>17072</v>
      </c>
      <c r="AC896" t="s">
        <v>17073</v>
      </c>
      <c r="AD896" t="s">
        <v>17074</v>
      </c>
      <c r="AE896" t="s">
        <v>17075</v>
      </c>
      <c r="AF896" t="s">
        <v>74</v>
      </c>
      <c r="AG896">
        <v>40</v>
      </c>
      <c r="AH896">
        <v>1</v>
      </c>
      <c r="AI896">
        <v>1</v>
      </c>
      <c r="AJ896">
        <v>1</v>
      </c>
      <c r="AK896">
        <v>5</v>
      </c>
      <c r="AL896" t="s">
        <v>460</v>
      </c>
      <c r="AM896" t="s">
        <v>461</v>
      </c>
      <c r="AN896" t="s">
        <v>462</v>
      </c>
      <c r="AO896" t="s">
        <v>17076</v>
      </c>
      <c r="AP896" t="s">
        <v>17077</v>
      </c>
      <c r="AQ896" t="s">
        <v>74</v>
      </c>
      <c r="AR896" t="s">
        <v>17078</v>
      </c>
      <c r="AS896" t="s">
        <v>17079</v>
      </c>
      <c r="AT896" t="s">
        <v>7344</v>
      </c>
      <c r="AU896">
        <v>2023</v>
      </c>
      <c r="AV896">
        <v>149</v>
      </c>
      <c r="AW896">
        <v>753</v>
      </c>
      <c r="AX896" t="s">
        <v>74</v>
      </c>
      <c r="AY896" t="s">
        <v>74</v>
      </c>
      <c r="AZ896" t="s">
        <v>74</v>
      </c>
      <c r="BA896" t="s">
        <v>74</v>
      </c>
      <c r="BB896">
        <v>1391</v>
      </c>
      <c r="BC896">
        <v>1406</v>
      </c>
      <c r="BD896" t="s">
        <v>74</v>
      </c>
      <c r="BE896" t="s">
        <v>17080</v>
      </c>
      <c r="BF896" t="str">
        <f>HYPERLINK("http://dx.doi.org/10.1002/qj.4463","http://dx.doi.org/10.1002/qj.4463")</f>
        <v>http://dx.doi.org/10.1002/qj.4463</v>
      </c>
      <c r="BG896" t="s">
        <v>74</v>
      </c>
      <c r="BH896" t="s">
        <v>15114</v>
      </c>
      <c r="BI896">
        <v>16</v>
      </c>
      <c r="BJ896" t="s">
        <v>103</v>
      </c>
      <c r="BK896" t="s">
        <v>104</v>
      </c>
      <c r="BL896" t="s">
        <v>103</v>
      </c>
      <c r="BM896" t="s">
        <v>17081</v>
      </c>
      <c r="BN896" t="s">
        <v>74</v>
      </c>
      <c r="BO896" t="s">
        <v>1217</v>
      </c>
      <c r="BP896" t="s">
        <v>74</v>
      </c>
      <c r="BQ896" t="s">
        <v>74</v>
      </c>
      <c r="BR896" t="s">
        <v>107</v>
      </c>
      <c r="BS896" t="s">
        <v>17082</v>
      </c>
      <c r="BT896" t="str">
        <f>HYPERLINK("https%3A%2F%2Fwww.webofscience.com%2Fwos%2Fwoscc%2Ffull-record%2FWOS:000986846500001","View Full Record in Web of Science")</f>
        <v>View Full Record in Web of Science</v>
      </c>
    </row>
    <row r="897" spans="1:72" x14ac:dyDescent="0.15">
      <c r="A897" t="s">
        <v>72</v>
      </c>
      <c r="B897" t="s">
        <v>17083</v>
      </c>
      <c r="C897" t="s">
        <v>74</v>
      </c>
      <c r="D897" t="s">
        <v>74</v>
      </c>
      <c r="E897" t="s">
        <v>74</v>
      </c>
      <c r="F897" t="s">
        <v>17084</v>
      </c>
      <c r="G897" t="s">
        <v>74</v>
      </c>
      <c r="H897" t="s">
        <v>74</v>
      </c>
      <c r="I897" t="s">
        <v>17085</v>
      </c>
      <c r="J897" t="s">
        <v>17086</v>
      </c>
      <c r="K897" t="s">
        <v>74</v>
      </c>
      <c r="L897" t="s">
        <v>74</v>
      </c>
      <c r="M897" t="s">
        <v>78</v>
      </c>
      <c r="N897" t="s">
        <v>79</v>
      </c>
      <c r="O897" t="s">
        <v>74</v>
      </c>
      <c r="P897" t="s">
        <v>74</v>
      </c>
      <c r="Q897" t="s">
        <v>74</v>
      </c>
      <c r="R897" t="s">
        <v>74</v>
      </c>
      <c r="S897" t="s">
        <v>74</v>
      </c>
      <c r="T897" t="s">
        <v>17087</v>
      </c>
      <c r="U897" t="s">
        <v>17088</v>
      </c>
      <c r="V897" t="s">
        <v>17089</v>
      </c>
      <c r="W897" t="s">
        <v>17090</v>
      </c>
      <c r="X897" t="s">
        <v>17091</v>
      </c>
      <c r="Y897" t="s">
        <v>17092</v>
      </c>
      <c r="Z897" t="s">
        <v>17093</v>
      </c>
      <c r="AA897" t="s">
        <v>17094</v>
      </c>
      <c r="AB897" t="s">
        <v>17095</v>
      </c>
      <c r="AC897" t="s">
        <v>74</v>
      </c>
      <c r="AD897" t="s">
        <v>74</v>
      </c>
      <c r="AE897" t="s">
        <v>74</v>
      </c>
      <c r="AF897" t="s">
        <v>74</v>
      </c>
      <c r="AG897">
        <v>305</v>
      </c>
      <c r="AH897">
        <v>1</v>
      </c>
      <c r="AI897">
        <v>1</v>
      </c>
      <c r="AJ897">
        <v>4</v>
      </c>
      <c r="AK897">
        <v>7</v>
      </c>
      <c r="AL897" t="s">
        <v>17096</v>
      </c>
      <c r="AM897" t="s">
        <v>17097</v>
      </c>
      <c r="AN897" t="s">
        <v>17098</v>
      </c>
      <c r="AO897" t="s">
        <v>17099</v>
      </c>
      <c r="AP897" t="s">
        <v>74</v>
      </c>
      <c r="AQ897" t="s">
        <v>74</v>
      </c>
      <c r="AR897" t="s">
        <v>17100</v>
      </c>
      <c r="AS897" t="s">
        <v>17101</v>
      </c>
      <c r="AT897" t="s">
        <v>8990</v>
      </c>
      <c r="AU897">
        <v>2023</v>
      </c>
      <c r="AV897">
        <v>59</v>
      </c>
      <c r="AW897" t="s">
        <v>74</v>
      </c>
      <c r="AX897" t="s">
        <v>74</v>
      </c>
      <c r="AY897" t="s">
        <v>74</v>
      </c>
      <c r="AZ897" t="s">
        <v>74</v>
      </c>
      <c r="BA897" t="s">
        <v>74</v>
      </c>
      <c r="BB897" t="s">
        <v>74</v>
      </c>
      <c r="BC897" t="s">
        <v>74</v>
      </c>
      <c r="BD897">
        <v>125733</v>
      </c>
      <c r="BE897" t="s">
        <v>17102</v>
      </c>
      <c r="BF897" t="str">
        <f>HYPERLINK("http://dx.doi.org/10.1016/j.ppees.2023.125733","http://dx.doi.org/10.1016/j.ppees.2023.125733")</f>
        <v>http://dx.doi.org/10.1016/j.ppees.2023.125733</v>
      </c>
      <c r="BG897" t="s">
        <v>74</v>
      </c>
      <c r="BH897" t="s">
        <v>15114</v>
      </c>
      <c r="BI897">
        <v>26</v>
      </c>
      <c r="BJ897" t="s">
        <v>17103</v>
      </c>
      <c r="BK897" t="s">
        <v>104</v>
      </c>
      <c r="BL897" t="s">
        <v>17104</v>
      </c>
      <c r="BM897" t="s">
        <v>17105</v>
      </c>
      <c r="BN897" t="s">
        <v>74</v>
      </c>
      <c r="BO897" t="s">
        <v>418</v>
      </c>
      <c r="BP897" t="s">
        <v>74</v>
      </c>
      <c r="BQ897" t="s">
        <v>74</v>
      </c>
      <c r="BR897" t="s">
        <v>107</v>
      </c>
      <c r="BS897" t="s">
        <v>17106</v>
      </c>
      <c r="BT897" t="str">
        <f>HYPERLINK("https%3A%2F%2Fwww.webofscience.com%2Fwos%2Fwoscc%2Ffull-record%2FWOS:001042568100001","View Full Record in Web of Science")</f>
        <v>View Full Record in Web of Science</v>
      </c>
    </row>
    <row r="898" spans="1:72" x14ac:dyDescent="0.15">
      <c r="A898" t="s">
        <v>72</v>
      </c>
      <c r="B898" t="s">
        <v>17107</v>
      </c>
      <c r="C898" t="s">
        <v>74</v>
      </c>
      <c r="D898" t="s">
        <v>74</v>
      </c>
      <c r="E898" t="s">
        <v>74</v>
      </c>
      <c r="F898" t="s">
        <v>17108</v>
      </c>
      <c r="G898" t="s">
        <v>74</v>
      </c>
      <c r="H898" t="s">
        <v>74</v>
      </c>
      <c r="I898" t="s">
        <v>17109</v>
      </c>
      <c r="J898" t="s">
        <v>8735</v>
      </c>
      <c r="K898" t="s">
        <v>74</v>
      </c>
      <c r="L898" t="s">
        <v>74</v>
      </c>
      <c r="M898" t="s">
        <v>78</v>
      </c>
      <c r="N898" t="s">
        <v>79</v>
      </c>
      <c r="O898" t="s">
        <v>74</v>
      </c>
      <c r="P898" t="s">
        <v>74</v>
      </c>
      <c r="Q898" t="s">
        <v>74</v>
      </c>
      <c r="R898" t="s">
        <v>74</v>
      </c>
      <c r="S898" t="s">
        <v>74</v>
      </c>
      <c r="T898" t="s">
        <v>17110</v>
      </c>
      <c r="U898" t="s">
        <v>17111</v>
      </c>
      <c r="V898" t="s">
        <v>17112</v>
      </c>
      <c r="W898" t="s">
        <v>17113</v>
      </c>
      <c r="X898" t="s">
        <v>17114</v>
      </c>
      <c r="Y898" t="s">
        <v>17115</v>
      </c>
      <c r="Z898" t="s">
        <v>17116</v>
      </c>
      <c r="AA898" t="s">
        <v>74</v>
      </c>
      <c r="AB898" t="s">
        <v>74</v>
      </c>
      <c r="AC898" t="s">
        <v>17117</v>
      </c>
      <c r="AD898" t="s">
        <v>17118</v>
      </c>
      <c r="AE898" t="s">
        <v>17119</v>
      </c>
      <c r="AF898" t="s">
        <v>74</v>
      </c>
      <c r="AG898">
        <v>58</v>
      </c>
      <c r="AH898">
        <v>1</v>
      </c>
      <c r="AI898">
        <v>1</v>
      </c>
      <c r="AJ898">
        <v>6</v>
      </c>
      <c r="AK898">
        <v>13</v>
      </c>
      <c r="AL898" t="s">
        <v>172</v>
      </c>
      <c r="AM898" t="s">
        <v>173</v>
      </c>
      <c r="AN898" t="s">
        <v>174</v>
      </c>
      <c r="AO898" t="s">
        <v>8748</v>
      </c>
      <c r="AP898" t="s">
        <v>8749</v>
      </c>
      <c r="AQ898" t="s">
        <v>74</v>
      </c>
      <c r="AR898" t="s">
        <v>8750</v>
      </c>
      <c r="AS898" t="s">
        <v>8751</v>
      </c>
      <c r="AT898" t="s">
        <v>5725</v>
      </c>
      <c r="AU898">
        <v>2023</v>
      </c>
      <c r="AV898">
        <v>623</v>
      </c>
      <c r="AW898" t="s">
        <v>74</v>
      </c>
      <c r="AX898" t="s">
        <v>74</v>
      </c>
      <c r="AY898" t="s">
        <v>74</v>
      </c>
      <c r="AZ898" t="s">
        <v>74</v>
      </c>
      <c r="BA898" t="s">
        <v>74</v>
      </c>
      <c r="BB898" t="s">
        <v>74</v>
      </c>
      <c r="BC898" t="s">
        <v>74</v>
      </c>
      <c r="BD898">
        <v>111621</v>
      </c>
      <c r="BE898" t="s">
        <v>17120</v>
      </c>
      <c r="BF898" t="str">
        <f>HYPERLINK("http://dx.doi.org/10.1016/j.palaeo.2023.111621","http://dx.doi.org/10.1016/j.palaeo.2023.111621")</f>
        <v>http://dx.doi.org/10.1016/j.palaeo.2023.111621</v>
      </c>
      <c r="BG898" t="s">
        <v>74</v>
      </c>
      <c r="BH898" t="s">
        <v>15114</v>
      </c>
      <c r="BI898">
        <v>12</v>
      </c>
      <c r="BJ898" t="s">
        <v>8753</v>
      </c>
      <c r="BK898" t="s">
        <v>104</v>
      </c>
      <c r="BL898" t="s">
        <v>8754</v>
      </c>
      <c r="BM898" t="s">
        <v>17121</v>
      </c>
      <c r="BN898" t="s">
        <v>74</v>
      </c>
      <c r="BO898" t="s">
        <v>133</v>
      </c>
      <c r="BP898" t="s">
        <v>74</v>
      </c>
      <c r="BQ898" t="s">
        <v>74</v>
      </c>
      <c r="BR898" t="s">
        <v>107</v>
      </c>
      <c r="BS898" t="s">
        <v>17122</v>
      </c>
      <c r="BT898" t="str">
        <f>HYPERLINK("https%3A%2F%2Fwww.webofscience.com%2Fwos%2Fwoscc%2Ffull-record%2FWOS:001010768300001","View Full Record in Web of Science")</f>
        <v>View Full Record in Web of Science</v>
      </c>
    </row>
    <row r="899" spans="1:72" x14ac:dyDescent="0.15">
      <c r="A899" t="s">
        <v>72</v>
      </c>
      <c r="B899" t="s">
        <v>17123</v>
      </c>
      <c r="C899" t="s">
        <v>74</v>
      </c>
      <c r="D899" t="s">
        <v>74</v>
      </c>
      <c r="E899" t="s">
        <v>74</v>
      </c>
      <c r="F899" t="s">
        <v>17124</v>
      </c>
      <c r="G899" t="s">
        <v>74</v>
      </c>
      <c r="H899" t="s">
        <v>74</v>
      </c>
      <c r="I899" t="s">
        <v>17125</v>
      </c>
      <c r="J899" t="s">
        <v>8404</v>
      </c>
      <c r="K899" t="s">
        <v>74</v>
      </c>
      <c r="L899" t="s">
        <v>74</v>
      </c>
      <c r="M899" t="s">
        <v>78</v>
      </c>
      <c r="N899" t="s">
        <v>79</v>
      </c>
      <c r="O899" t="s">
        <v>74</v>
      </c>
      <c r="P899" t="s">
        <v>74</v>
      </c>
      <c r="Q899" t="s">
        <v>74</v>
      </c>
      <c r="R899" t="s">
        <v>74</v>
      </c>
      <c r="S899" t="s">
        <v>74</v>
      </c>
      <c r="T899" t="s">
        <v>17126</v>
      </c>
      <c r="U899" t="s">
        <v>17127</v>
      </c>
      <c r="V899" t="s">
        <v>17128</v>
      </c>
      <c r="W899" t="s">
        <v>17129</v>
      </c>
      <c r="X899" t="s">
        <v>17130</v>
      </c>
      <c r="Y899" t="s">
        <v>17131</v>
      </c>
      <c r="Z899" t="s">
        <v>17132</v>
      </c>
      <c r="AA899" t="s">
        <v>17133</v>
      </c>
      <c r="AB899" t="s">
        <v>17134</v>
      </c>
      <c r="AC899" t="s">
        <v>17135</v>
      </c>
      <c r="AD899" t="s">
        <v>17136</v>
      </c>
      <c r="AE899" t="s">
        <v>17137</v>
      </c>
      <c r="AF899" t="s">
        <v>74</v>
      </c>
      <c r="AG899">
        <v>40</v>
      </c>
      <c r="AH899">
        <v>6</v>
      </c>
      <c r="AI899">
        <v>6</v>
      </c>
      <c r="AJ899">
        <v>33</v>
      </c>
      <c r="AK899">
        <v>54</v>
      </c>
      <c r="AL899" t="s">
        <v>3672</v>
      </c>
      <c r="AM899" t="s">
        <v>538</v>
      </c>
      <c r="AN899" t="s">
        <v>3673</v>
      </c>
      <c r="AO899" t="s">
        <v>8415</v>
      </c>
      <c r="AP899" t="s">
        <v>8416</v>
      </c>
      <c r="AQ899" t="s">
        <v>74</v>
      </c>
      <c r="AR899" t="s">
        <v>8417</v>
      </c>
      <c r="AS899" t="s">
        <v>8418</v>
      </c>
      <c r="AT899" t="s">
        <v>3044</v>
      </c>
      <c r="AU899">
        <v>2023</v>
      </c>
      <c r="AV899">
        <v>423</v>
      </c>
      <c r="AW899" t="s">
        <v>74</v>
      </c>
      <c r="AX899" t="s">
        <v>74</v>
      </c>
      <c r="AY899" t="s">
        <v>74</v>
      </c>
      <c r="AZ899" t="s">
        <v>74</v>
      </c>
      <c r="BA899" t="s">
        <v>74</v>
      </c>
      <c r="BB899" t="s">
        <v>74</v>
      </c>
      <c r="BC899" t="s">
        <v>74</v>
      </c>
      <c r="BD899">
        <v>136352</v>
      </c>
      <c r="BE899" t="s">
        <v>17138</v>
      </c>
      <c r="BF899" t="str">
        <f>HYPERLINK("http://dx.doi.org/10.1016/j.foodchem.2023.136352","http://dx.doi.org/10.1016/j.foodchem.2023.136352")</f>
        <v>http://dx.doi.org/10.1016/j.foodchem.2023.136352</v>
      </c>
      <c r="BG899" t="s">
        <v>74</v>
      </c>
      <c r="BH899" t="s">
        <v>15114</v>
      </c>
      <c r="BI899">
        <v>10</v>
      </c>
      <c r="BJ899" t="s">
        <v>8420</v>
      </c>
      <c r="BK899" t="s">
        <v>104</v>
      </c>
      <c r="BL899" t="s">
        <v>8421</v>
      </c>
      <c r="BM899" t="s">
        <v>17139</v>
      </c>
      <c r="BN899">
        <v>37182492</v>
      </c>
      <c r="BO899" t="s">
        <v>74</v>
      </c>
      <c r="BP899" t="s">
        <v>74</v>
      </c>
      <c r="BQ899" t="s">
        <v>74</v>
      </c>
      <c r="BR899" t="s">
        <v>107</v>
      </c>
      <c r="BS899" t="s">
        <v>17140</v>
      </c>
      <c r="BT899" t="str">
        <f>HYPERLINK("https%3A%2F%2Fwww.webofscience.com%2Fwos%2Fwoscc%2Ffull-record%2FWOS:001002820900001","View Full Record in Web of Science")</f>
        <v>View Full Record in Web of Science</v>
      </c>
    </row>
    <row r="900" spans="1:72" x14ac:dyDescent="0.15">
      <c r="A900" t="s">
        <v>72</v>
      </c>
      <c r="B900" t="s">
        <v>17141</v>
      </c>
      <c r="C900" t="s">
        <v>74</v>
      </c>
      <c r="D900" t="s">
        <v>74</v>
      </c>
      <c r="E900" t="s">
        <v>74</v>
      </c>
      <c r="F900" t="s">
        <v>17142</v>
      </c>
      <c r="G900" t="s">
        <v>74</v>
      </c>
      <c r="H900" t="s">
        <v>74</v>
      </c>
      <c r="I900" t="s">
        <v>17143</v>
      </c>
      <c r="J900" t="s">
        <v>7232</v>
      </c>
      <c r="K900" t="s">
        <v>74</v>
      </c>
      <c r="L900" t="s">
        <v>74</v>
      </c>
      <c r="M900" t="s">
        <v>78</v>
      </c>
      <c r="N900" t="s">
        <v>424</v>
      </c>
      <c r="O900" t="s">
        <v>74</v>
      </c>
      <c r="P900" t="s">
        <v>74</v>
      </c>
      <c r="Q900" t="s">
        <v>74</v>
      </c>
      <c r="R900" t="s">
        <v>74</v>
      </c>
      <c r="S900" t="s">
        <v>74</v>
      </c>
      <c r="T900" t="s">
        <v>17144</v>
      </c>
      <c r="U900" t="s">
        <v>17145</v>
      </c>
      <c r="V900" t="s">
        <v>17146</v>
      </c>
      <c r="W900" t="s">
        <v>17147</v>
      </c>
      <c r="X900" t="s">
        <v>17148</v>
      </c>
      <c r="Y900" t="s">
        <v>17149</v>
      </c>
      <c r="Z900" t="s">
        <v>17150</v>
      </c>
      <c r="AA900" t="s">
        <v>17151</v>
      </c>
      <c r="AB900" t="s">
        <v>17152</v>
      </c>
      <c r="AC900" t="s">
        <v>17153</v>
      </c>
      <c r="AD900" t="s">
        <v>17154</v>
      </c>
      <c r="AE900" t="s">
        <v>17155</v>
      </c>
      <c r="AF900" t="s">
        <v>74</v>
      </c>
      <c r="AG900">
        <v>129</v>
      </c>
      <c r="AH900">
        <v>9</v>
      </c>
      <c r="AI900">
        <v>9</v>
      </c>
      <c r="AJ900">
        <v>45</v>
      </c>
      <c r="AK900">
        <v>76</v>
      </c>
      <c r="AL900" t="s">
        <v>172</v>
      </c>
      <c r="AM900" t="s">
        <v>173</v>
      </c>
      <c r="AN900" t="s">
        <v>174</v>
      </c>
      <c r="AO900" t="s">
        <v>7243</v>
      </c>
      <c r="AP900" t="s">
        <v>7244</v>
      </c>
      <c r="AQ900" t="s">
        <v>74</v>
      </c>
      <c r="AR900" t="s">
        <v>7245</v>
      </c>
      <c r="AS900" t="s">
        <v>7246</v>
      </c>
      <c r="AT900" t="s">
        <v>16776</v>
      </c>
      <c r="AU900">
        <v>2023</v>
      </c>
      <c r="AV900">
        <v>68</v>
      </c>
      <c r="AW900">
        <v>9</v>
      </c>
      <c r="AX900" t="s">
        <v>74</v>
      </c>
      <c r="AY900" t="s">
        <v>74</v>
      </c>
      <c r="AZ900" t="s">
        <v>74</v>
      </c>
      <c r="BA900" t="s">
        <v>74</v>
      </c>
      <c r="BB900">
        <v>946</v>
      </c>
      <c r="BC900">
        <v>960</v>
      </c>
      <c r="BD900" t="s">
        <v>74</v>
      </c>
      <c r="BE900" t="s">
        <v>17156</v>
      </c>
      <c r="BF900" t="str">
        <f>HYPERLINK("http://dx.doi.org/10.1016/j.scib.2023.03.049","http://dx.doi.org/10.1016/j.scib.2023.03.049")</f>
        <v>http://dx.doi.org/10.1016/j.scib.2023.03.049</v>
      </c>
      <c r="BG900" t="s">
        <v>74</v>
      </c>
      <c r="BH900" t="s">
        <v>15114</v>
      </c>
      <c r="BI900">
        <v>15</v>
      </c>
      <c r="BJ900" t="s">
        <v>1881</v>
      </c>
      <c r="BK900" t="s">
        <v>104</v>
      </c>
      <c r="BL900" t="s">
        <v>1882</v>
      </c>
      <c r="BM900" t="s">
        <v>17157</v>
      </c>
      <c r="BN900">
        <v>37085399</v>
      </c>
      <c r="BO900" t="s">
        <v>549</v>
      </c>
      <c r="BP900" t="s">
        <v>74</v>
      </c>
      <c r="BQ900" t="s">
        <v>74</v>
      </c>
      <c r="BR900" t="s">
        <v>107</v>
      </c>
      <c r="BS900" t="s">
        <v>17158</v>
      </c>
      <c r="BT900" t="str">
        <f>HYPERLINK("https%3A%2F%2Fwww.webofscience.com%2Fwos%2Fwoscc%2Ffull-record%2FWOS:001001200200001","View Full Record in Web of Science")</f>
        <v>View Full Record in Web of Science</v>
      </c>
    </row>
    <row r="901" spans="1:72" x14ac:dyDescent="0.15">
      <c r="A901" t="s">
        <v>72</v>
      </c>
      <c r="B901" t="s">
        <v>17159</v>
      </c>
      <c r="C901" t="s">
        <v>74</v>
      </c>
      <c r="D901" t="s">
        <v>74</v>
      </c>
      <c r="E901" t="s">
        <v>74</v>
      </c>
      <c r="F901" t="s">
        <v>17160</v>
      </c>
      <c r="G901" t="s">
        <v>74</v>
      </c>
      <c r="H901" t="s">
        <v>74</v>
      </c>
      <c r="I901" t="s">
        <v>17161</v>
      </c>
      <c r="J901" t="s">
        <v>1790</v>
      </c>
      <c r="K901" t="s">
        <v>74</v>
      </c>
      <c r="L901" t="s">
        <v>74</v>
      </c>
      <c r="M901" t="s">
        <v>78</v>
      </c>
      <c r="N901" t="s">
        <v>79</v>
      </c>
      <c r="O901" t="s">
        <v>74</v>
      </c>
      <c r="P901" t="s">
        <v>74</v>
      </c>
      <c r="Q901" t="s">
        <v>74</v>
      </c>
      <c r="R901" t="s">
        <v>74</v>
      </c>
      <c r="S901" t="s">
        <v>74</v>
      </c>
      <c r="T901" t="s">
        <v>17162</v>
      </c>
      <c r="U901" t="s">
        <v>17163</v>
      </c>
      <c r="V901" t="s">
        <v>17164</v>
      </c>
      <c r="W901" t="s">
        <v>17165</v>
      </c>
      <c r="X901" t="s">
        <v>17166</v>
      </c>
      <c r="Y901" t="s">
        <v>17167</v>
      </c>
      <c r="Z901" t="s">
        <v>17168</v>
      </c>
      <c r="AA901" t="s">
        <v>74</v>
      </c>
      <c r="AB901" t="s">
        <v>17169</v>
      </c>
      <c r="AC901" t="s">
        <v>17170</v>
      </c>
      <c r="AD901" t="s">
        <v>17171</v>
      </c>
      <c r="AE901" t="s">
        <v>17172</v>
      </c>
      <c r="AF901" t="s">
        <v>74</v>
      </c>
      <c r="AG901">
        <v>39</v>
      </c>
      <c r="AH901">
        <v>0</v>
      </c>
      <c r="AI901">
        <v>0</v>
      </c>
      <c r="AJ901">
        <v>2</v>
      </c>
      <c r="AK901">
        <v>5</v>
      </c>
      <c r="AL901" t="s">
        <v>1803</v>
      </c>
      <c r="AM901" t="s">
        <v>299</v>
      </c>
      <c r="AN901" t="s">
        <v>1924</v>
      </c>
      <c r="AO901" t="s">
        <v>1806</v>
      </c>
      <c r="AP901" t="s">
        <v>1807</v>
      </c>
      <c r="AQ901" t="s">
        <v>74</v>
      </c>
      <c r="AR901" t="s">
        <v>1808</v>
      </c>
      <c r="AS901" t="s">
        <v>1809</v>
      </c>
      <c r="AT901" t="s">
        <v>8990</v>
      </c>
      <c r="AU901">
        <v>2023</v>
      </c>
      <c r="AV901">
        <v>35</v>
      </c>
      <c r="AW901">
        <v>3</v>
      </c>
      <c r="AX901" t="s">
        <v>74</v>
      </c>
      <c r="AY901" t="s">
        <v>74</v>
      </c>
      <c r="AZ901" t="s">
        <v>74</v>
      </c>
      <c r="BA901" t="s">
        <v>74</v>
      </c>
      <c r="BB901">
        <v>194</v>
      </c>
      <c r="BC901">
        <v>208</v>
      </c>
      <c r="BD901" t="s">
        <v>74</v>
      </c>
      <c r="BE901" t="s">
        <v>17173</v>
      </c>
      <c r="BF901" t="str">
        <f>HYPERLINK("http://dx.doi.org/10.1017/S0954102023000093","http://dx.doi.org/10.1017/S0954102023000093")</f>
        <v>http://dx.doi.org/10.1017/S0954102023000093</v>
      </c>
      <c r="BG901" t="s">
        <v>74</v>
      </c>
      <c r="BH901" t="s">
        <v>15114</v>
      </c>
      <c r="BI901">
        <v>15</v>
      </c>
      <c r="BJ901" t="s">
        <v>1813</v>
      </c>
      <c r="BK901" t="s">
        <v>104</v>
      </c>
      <c r="BL901" t="s">
        <v>1814</v>
      </c>
      <c r="BM901" t="s">
        <v>8993</v>
      </c>
      <c r="BN901" t="s">
        <v>74</v>
      </c>
      <c r="BO901" t="s">
        <v>133</v>
      </c>
      <c r="BP901" t="s">
        <v>74</v>
      </c>
      <c r="BQ901" t="s">
        <v>74</v>
      </c>
      <c r="BR901" t="s">
        <v>107</v>
      </c>
      <c r="BS901" t="s">
        <v>17174</v>
      </c>
      <c r="BT901" t="str">
        <f>HYPERLINK("https%3A%2F%2Fwww.webofscience.com%2Fwos%2Fwoscc%2Ffull-record%2FWOS:000986796900001","View Full Record in Web of Science")</f>
        <v>View Full Record in Web of Science</v>
      </c>
    </row>
    <row r="902" spans="1:72" x14ac:dyDescent="0.15">
      <c r="A902" t="s">
        <v>72</v>
      </c>
      <c r="B902" t="s">
        <v>17175</v>
      </c>
      <c r="C902" t="s">
        <v>74</v>
      </c>
      <c r="D902" t="s">
        <v>74</v>
      </c>
      <c r="E902" t="s">
        <v>74</v>
      </c>
      <c r="F902" t="s">
        <v>17176</v>
      </c>
      <c r="G902" t="s">
        <v>74</v>
      </c>
      <c r="H902" t="s">
        <v>74</v>
      </c>
      <c r="I902" t="s">
        <v>17177</v>
      </c>
      <c r="J902" t="s">
        <v>708</v>
      </c>
      <c r="K902" t="s">
        <v>74</v>
      </c>
      <c r="L902" t="s">
        <v>74</v>
      </c>
      <c r="M902" t="s">
        <v>78</v>
      </c>
      <c r="N902" t="s">
        <v>79</v>
      </c>
      <c r="O902" t="s">
        <v>74</v>
      </c>
      <c r="P902" t="s">
        <v>74</v>
      </c>
      <c r="Q902" t="s">
        <v>74</v>
      </c>
      <c r="R902" t="s">
        <v>74</v>
      </c>
      <c r="S902" t="s">
        <v>74</v>
      </c>
      <c r="T902" t="s">
        <v>17178</v>
      </c>
      <c r="U902" t="s">
        <v>17179</v>
      </c>
      <c r="V902" t="s">
        <v>17180</v>
      </c>
      <c r="W902" t="s">
        <v>17181</v>
      </c>
      <c r="X902" t="s">
        <v>17182</v>
      </c>
      <c r="Y902" t="s">
        <v>17183</v>
      </c>
      <c r="Z902" t="s">
        <v>17184</v>
      </c>
      <c r="AA902" t="s">
        <v>74</v>
      </c>
      <c r="AB902" t="s">
        <v>17185</v>
      </c>
      <c r="AC902" t="s">
        <v>17186</v>
      </c>
      <c r="AD902" t="s">
        <v>17187</v>
      </c>
      <c r="AE902" t="s">
        <v>17188</v>
      </c>
      <c r="AF902" t="s">
        <v>74</v>
      </c>
      <c r="AG902">
        <v>79</v>
      </c>
      <c r="AH902">
        <v>0</v>
      </c>
      <c r="AI902">
        <v>0</v>
      </c>
      <c r="AJ902">
        <v>6</v>
      </c>
      <c r="AK902">
        <v>10</v>
      </c>
      <c r="AL902" t="s">
        <v>369</v>
      </c>
      <c r="AM902" t="s">
        <v>370</v>
      </c>
      <c r="AN902" t="s">
        <v>371</v>
      </c>
      <c r="AO902" t="s">
        <v>74</v>
      </c>
      <c r="AP902" t="s">
        <v>720</v>
      </c>
      <c r="AQ902" t="s">
        <v>74</v>
      </c>
      <c r="AR902" t="s">
        <v>721</v>
      </c>
      <c r="AS902" t="s">
        <v>722</v>
      </c>
      <c r="AT902" t="s">
        <v>17189</v>
      </c>
      <c r="AU902">
        <v>2023</v>
      </c>
      <c r="AV902">
        <v>15</v>
      </c>
      <c r="AW902">
        <v>10</v>
      </c>
      <c r="AX902" t="s">
        <v>74</v>
      </c>
      <c r="AY902" t="s">
        <v>74</v>
      </c>
      <c r="AZ902" t="s">
        <v>74</v>
      </c>
      <c r="BA902" t="s">
        <v>74</v>
      </c>
      <c r="BB902" t="s">
        <v>74</v>
      </c>
      <c r="BC902" t="s">
        <v>74</v>
      </c>
      <c r="BD902">
        <v>2545</v>
      </c>
      <c r="BE902" t="s">
        <v>17190</v>
      </c>
      <c r="BF902" t="str">
        <f>HYPERLINK("http://dx.doi.org/10.3390/rs15102545","http://dx.doi.org/10.3390/rs15102545")</f>
        <v>http://dx.doi.org/10.3390/rs15102545</v>
      </c>
      <c r="BG902" t="s">
        <v>74</v>
      </c>
      <c r="BH902" t="s">
        <v>74</v>
      </c>
      <c r="BI902">
        <v>23</v>
      </c>
      <c r="BJ902" t="s">
        <v>724</v>
      </c>
      <c r="BK902" t="s">
        <v>104</v>
      </c>
      <c r="BL902" t="s">
        <v>725</v>
      </c>
      <c r="BM902" t="s">
        <v>17191</v>
      </c>
      <c r="BN902" t="s">
        <v>74</v>
      </c>
      <c r="BO902" t="s">
        <v>206</v>
      </c>
      <c r="BP902" t="s">
        <v>74</v>
      </c>
      <c r="BQ902" t="s">
        <v>74</v>
      </c>
      <c r="BR902" t="s">
        <v>107</v>
      </c>
      <c r="BS902" t="s">
        <v>17192</v>
      </c>
      <c r="BT902" t="str">
        <f>HYPERLINK("https%3A%2F%2Fwww.webofscience.com%2Fwos%2Fwoscc%2Ffull-record%2FWOS:000998162700001","View Full Record in Web of Science")</f>
        <v>View Full Record in Web of Science</v>
      </c>
    </row>
    <row r="903" spans="1:72" x14ac:dyDescent="0.15">
      <c r="A903" t="s">
        <v>72</v>
      </c>
      <c r="B903" t="s">
        <v>17193</v>
      </c>
      <c r="C903" t="s">
        <v>74</v>
      </c>
      <c r="D903" t="s">
        <v>74</v>
      </c>
      <c r="E903" t="s">
        <v>74</v>
      </c>
      <c r="F903" t="s">
        <v>17194</v>
      </c>
      <c r="G903" t="s">
        <v>74</v>
      </c>
      <c r="H903" t="s">
        <v>74</v>
      </c>
      <c r="I903" t="s">
        <v>17195</v>
      </c>
      <c r="J903" t="s">
        <v>1031</v>
      </c>
      <c r="K903" t="s">
        <v>74</v>
      </c>
      <c r="L903" t="s">
        <v>74</v>
      </c>
      <c r="M903" t="s">
        <v>78</v>
      </c>
      <c r="N903" t="s">
        <v>79</v>
      </c>
      <c r="O903" t="s">
        <v>74</v>
      </c>
      <c r="P903" t="s">
        <v>74</v>
      </c>
      <c r="Q903" t="s">
        <v>74</v>
      </c>
      <c r="R903" t="s">
        <v>74</v>
      </c>
      <c r="S903" t="s">
        <v>74</v>
      </c>
      <c r="T903" t="s">
        <v>17196</v>
      </c>
      <c r="U903" t="s">
        <v>17197</v>
      </c>
      <c r="V903" t="s">
        <v>17198</v>
      </c>
      <c r="W903" t="s">
        <v>17199</v>
      </c>
      <c r="X903" t="s">
        <v>17200</v>
      </c>
      <c r="Y903" t="s">
        <v>17201</v>
      </c>
      <c r="Z903" t="s">
        <v>17202</v>
      </c>
      <c r="AA903" t="s">
        <v>17203</v>
      </c>
      <c r="AB903" t="s">
        <v>17204</v>
      </c>
      <c r="AC903" t="s">
        <v>17205</v>
      </c>
      <c r="AD903" t="s">
        <v>17206</v>
      </c>
      <c r="AE903" t="s">
        <v>17207</v>
      </c>
      <c r="AF903" t="s">
        <v>74</v>
      </c>
      <c r="AG903">
        <v>117</v>
      </c>
      <c r="AH903">
        <v>0</v>
      </c>
      <c r="AI903">
        <v>0</v>
      </c>
      <c r="AJ903">
        <v>6</v>
      </c>
      <c r="AK903">
        <v>8</v>
      </c>
      <c r="AL903" t="s">
        <v>369</v>
      </c>
      <c r="AM903" t="s">
        <v>370</v>
      </c>
      <c r="AN903" t="s">
        <v>371</v>
      </c>
      <c r="AO903" t="s">
        <v>74</v>
      </c>
      <c r="AP903" t="s">
        <v>1042</v>
      </c>
      <c r="AQ903" t="s">
        <v>74</v>
      </c>
      <c r="AR903" t="s">
        <v>1031</v>
      </c>
      <c r="AS903" t="s">
        <v>1043</v>
      </c>
      <c r="AT903" t="s">
        <v>17189</v>
      </c>
      <c r="AU903">
        <v>2023</v>
      </c>
      <c r="AV903">
        <v>12</v>
      </c>
      <c r="AW903">
        <v>5</v>
      </c>
      <c r="AX903" t="s">
        <v>74</v>
      </c>
      <c r="AY903" t="s">
        <v>74</v>
      </c>
      <c r="AZ903" t="s">
        <v>74</v>
      </c>
      <c r="BA903" t="s">
        <v>74</v>
      </c>
      <c r="BB903" t="s">
        <v>74</v>
      </c>
      <c r="BC903" t="s">
        <v>74</v>
      </c>
      <c r="BD903">
        <v>708</v>
      </c>
      <c r="BE903" t="s">
        <v>17208</v>
      </c>
      <c r="BF903" t="str">
        <f>HYPERLINK("http://dx.doi.org/10.3390/biology12050708","http://dx.doi.org/10.3390/biology12050708")</f>
        <v>http://dx.doi.org/10.3390/biology12050708</v>
      </c>
      <c r="BG903" t="s">
        <v>74</v>
      </c>
      <c r="BH903" t="s">
        <v>74</v>
      </c>
      <c r="BI903">
        <v>20</v>
      </c>
      <c r="BJ903" t="s">
        <v>1045</v>
      </c>
      <c r="BK903" t="s">
        <v>104</v>
      </c>
      <c r="BL903" t="s">
        <v>1046</v>
      </c>
      <c r="BM903" t="s">
        <v>17209</v>
      </c>
      <c r="BN903">
        <v>37237522</v>
      </c>
      <c r="BO903" t="s">
        <v>181</v>
      </c>
      <c r="BP903" t="s">
        <v>74</v>
      </c>
      <c r="BQ903" t="s">
        <v>74</v>
      </c>
      <c r="BR903" t="s">
        <v>107</v>
      </c>
      <c r="BS903" t="s">
        <v>17210</v>
      </c>
      <c r="BT903" t="str">
        <f>HYPERLINK("https%3A%2F%2Fwww.webofscience.com%2Fwos%2Fwoscc%2Ffull-record%2FWOS:000995515000001","View Full Record in Web of Science")</f>
        <v>View Full Record in Web of Science</v>
      </c>
    </row>
    <row r="904" spans="1:72" x14ac:dyDescent="0.15">
      <c r="A904" t="s">
        <v>72</v>
      </c>
      <c r="B904" t="s">
        <v>17211</v>
      </c>
      <c r="C904" t="s">
        <v>74</v>
      </c>
      <c r="D904" t="s">
        <v>74</v>
      </c>
      <c r="E904" t="s">
        <v>74</v>
      </c>
      <c r="F904" t="s">
        <v>17212</v>
      </c>
      <c r="G904" t="s">
        <v>74</v>
      </c>
      <c r="H904" t="s">
        <v>74</v>
      </c>
      <c r="I904" t="s">
        <v>17213</v>
      </c>
      <c r="J904" t="s">
        <v>2851</v>
      </c>
      <c r="K904" t="s">
        <v>74</v>
      </c>
      <c r="L904" t="s">
        <v>74</v>
      </c>
      <c r="M904" t="s">
        <v>78</v>
      </c>
      <c r="N904" t="s">
        <v>79</v>
      </c>
      <c r="O904" t="s">
        <v>74</v>
      </c>
      <c r="P904" t="s">
        <v>74</v>
      </c>
      <c r="Q904" t="s">
        <v>74</v>
      </c>
      <c r="R904" t="s">
        <v>74</v>
      </c>
      <c r="S904" t="s">
        <v>74</v>
      </c>
      <c r="T904" t="s">
        <v>17214</v>
      </c>
      <c r="U904" t="s">
        <v>17215</v>
      </c>
      <c r="V904" t="s">
        <v>17216</v>
      </c>
      <c r="W904" t="s">
        <v>17217</v>
      </c>
      <c r="X904" t="s">
        <v>17218</v>
      </c>
      <c r="Y904" t="s">
        <v>17219</v>
      </c>
      <c r="Z904" t="s">
        <v>17220</v>
      </c>
      <c r="AA904" t="s">
        <v>17221</v>
      </c>
      <c r="AB904" t="s">
        <v>17222</v>
      </c>
      <c r="AC904" t="s">
        <v>17223</v>
      </c>
      <c r="AD904" t="s">
        <v>17224</v>
      </c>
      <c r="AE904" t="s">
        <v>17225</v>
      </c>
      <c r="AF904" t="s">
        <v>74</v>
      </c>
      <c r="AG904">
        <v>44</v>
      </c>
      <c r="AH904">
        <v>0</v>
      </c>
      <c r="AI904">
        <v>0</v>
      </c>
      <c r="AJ904">
        <v>1</v>
      </c>
      <c r="AK904">
        <v>3</v>
      </c>
      <c r="AL904" t="s">
        <v>2862</v>
      </c>
      <c r="AM904" t="s">
        <v>2863</v>
      </c>
      <c r="AN904" t="s">
        <v>2864</v>
      </c>
      <c r="AO904" t="s">
        <v>2865</v>
      </c>
      <c r="AP904" t="s">
        <v>2866</v>
      </c>
      <c r="AQ904" t="s">
        <v>74</v>
      </c>
      <c r="AR904" t="s">
        <v>2867</v>
      </c>
      <c r="AS904" t="s">
        <v>2868</v>
      </c>
      <c r="AT904" t="s">
        <v>17189</v>
      </c>
      <c r="AU904">
        <v>2023</v>
      </c>
      <c r="AV904">
        <v>42</v>
      </c>
      <c r="AW904" t="s">
        <v>74</v>
      </c>
      <c r="AX904" t="s">
        <v>74</v>
      </c>
      <c r="AY904" t="s">
        <v>74</v>
      </c>
      <c r="AZ904" t="s">
        <v>74</v>
      </c>
      <c r="BA904" t="s">
        <v>74</v>
      </c>
      <c r="BB904" t="s">
        <v>74</v>
      </c>
      <c r="BC904" t="s">
        <v>74</v>
      </c>
      <c r="BD904" t="s">
        <v>74</v>
      </c>
      <c r="BE904" t="s">
        <v>17226</v>
      </c>
      <c r="BF904" t="str">
        <f>HYPERLINK("http://dx.doi.org/10.33265/polar.v42.8339","http://dx.doi.org/10.33265/polar.v42.8339")</f>
        <v>http://dx.doi.org/10.33265/polar.v42.8339</v>
      </c>
      <c r="BG904" t="s">
        <v>74</v>
      </c>
      <c r="BH904" t="s">
        <v>74</v>
      </c>
      <c r="BI904">
        <v>14</v>
      </c>
      <c r="BJ904" t="s">
        <v>2871</v>
      </c>
      <c r="BK904" t="s">
        <v>104</v>
      </c>
      <c r="BL904" t="s">
        <v>2872</v>
      </c>
      <c r="BM904" t="s">
        <v>17227</v>
      </c>
      <c r="BN904" t="s">
        <v>74</v>
      </c>
      <c r="BO904" t="s">
        <v>206</v>
      </c>
      <c r="BP904" t="s">
        <v>74</v>
      </c>
      <c r="BQ904" t="s">
        <v>74</v>
      </c>
      <c r="BR904" t="s">
        <v>107</v>
      </c>
      <c r="BS904" t="s">
        <v>17228</v>
      </c>
      <c r="BT904" t="str">
        <f>HYPERLINK("https%3A%2F%2Fwww.webofscience.com%2Fwos%2Fwoscc%2Ffull-record%2FWOS:000996259300001","View Full Record in Web of Science")</f>
        <v>View Full Record in Web of Science</v>
      </c>
    </row>
    <row r="905" spans="1:72" x14ac:dyDescent="0.15">
      <c r="A905" t="s">
        <v>72</v>
      </c>
      <c r="B905" t="s">
        <v>17229</v>
      </c>
      <c r="C905" t="s">
        <v>74</v>
      </c>
      <c r="D905" t="s">
        <v>74</v>
      </c>
      <c r="E905" t="s">
        <v>74</v>
      </c>
      <c r="F905" t="s">
        <v>17230</v>
      </c>
      <c r="G905" t="s">
        <v>74</v>
      </c>
      <c r="H905" t="s">
        <v>74</v>
      </c>
      <c r="I905" t="s">
        <v>17231</v>
      </c>
      <c r="J905" t="s">
        <v>1820</v>
      </c>
      <c r="K905" t="s">
        <v>74</v>
      </c>
      <c r="L905" t="s">
        <v>74</v>
      </c>
      <c r="M905" t="s">
        <v>78</v>
      </c>
      <c r="N905" t="s">
        <v>79</v>
      </c>
      <c r="O905" t="s">
        <v>74</v>
      </c>
      <c r="P905" t="s">
        <v>74</v>
      </c>
      <c r="Q905" t="s">
        <v>74</v>
      </c>
      <c r="R905" t="s">
        <v>74</v>
      </c>
      <c r="S905" t="s">
        <v>74</v>
      </c>
      <c r="T905" t="s">
        <v>17232</v>
      </c>
      <c r="U905" t="s">
        <v>17233</v>
      </c>
      <c r="V905" t="s">
        <v>17234</v>
      </c>
      <c r="W905" t="s">
        <v>17235</v>
      </c>
      <c r="X905" t="s">
        <v>17236</v>
      </c>
      <c r="Y905" t="s">
        <v>17237</v>
      </c>
      <c r="Z905" t="s">
        <v>17238</v>
      </c>
      <c r="AA905" t="s">
        <v>74</v>
      </c>
      <c r="AB905" t="s">
        <v>74</v>
      </c>
      <c r="AC905" t="s">
        <v>74</v>
      </c>
      <c r="AD905" t="s">
        <v>74</v>
      </c>
      <c r="AE905" t="s">
        <v>74</v>
      </c>
      <c r="AF905" t="s">
        <v>74</v>
      </c>
      <c r="AG905">
        <v>143</v>
      </c>
      <c r="AH905">
        <v>1</v>
      </c>
      <c r="AI905">
        <v>1</v>
      </c>
      <c r="AJ905">
        <v>2</v>
      </c>
      <c r="AK905">
        <v>11</v>
      </c>
      <c r="AL905" t="s">
        <v>994</v>
      </c>
      <c r="AM905" t="s">
        <v>995</v>
      </c>
      <c r="AN905" t="s">
        <v>996</v>
      </c>
      <c r="AO905" t="s">
        <v>74</v>
      </c>
      <c r="AP905" t="s">
        <v>1833</v>
      </c>
      <c r="AQ905" t="s">
        <v>74</v>
      </c>
      <c r="AR905" t="s">
        <v>1834</v>
      </c>
      <c r="AS905" t="s">
        <v>1835</v>
      </c>
      <c r="AT905" t="s">
        <v>17189</v>
      </c>
      <c r="AU905">
        <v>2023</v>
      </c>
      <c r="AV905">
        <v>14</v>
      </c>
      <c r="AW905" t="s">
        <v>74</v>
      </c>
      <c r="AX905" t="s">
        <v>74</v>
      </c>
      <c r="AY905" t="s">
        <v>74</v>
      </c>
      <c r="AZ905" t="s">
        <v>74</v>
      </c>
      <c r="BA905" t="s">
        <v>74</v>
      </c>
      <c r="BB905" t="s">
        <v>74</v>
      </c>
      <c r="BC905" t="s">
        <v>74</v>
      </c>
      <c r="BD905">
        <v>1156033</v>
      </c>
      <c r="BE905" t="s">
        <v>17239</v>
      </c>
      <c r="BF905" t="str">
        <f>HYPERLINK("http://dx.doi.org/10.3389/fmicb.2023.1156033","http://dx.doi.org/10.3389/fmicb.2023.1156033")</f>
        <v>http://dx.doi.org/10.3389/fmicb.2023.1156033</v>
      </c>
      <c r="BG905" t="s">
        <v>74</v>
      </c>
      <c r="BH905" t="s">
        <v>74</v>
      </c>
      <c r="BI905">
        <v>17</v>
      </c>
      <c r="BJ905" t="s">
        <v>702</v>
      </c>
      <c r="BK905" t="s">
        <v>104</v>
      </c>
      <c r="BL905" t="s">
        <v>702</v>
      </c>
      <c r="BM905" t="s">
        <v>17240</v>
      </c>
      <c r="BN905">
        <v>37250028</v>
      </c>
      <c r="BO905" t="s">
        <v>821</v>
      </c>
      <c r="BP905" t="s">
        <v>74</v>
      </c>
      <c r="BQ905" t="s">
        <v>74</v>
      </c>
      <c r="BR905" t="s">
        <v>107</v>
      </c>
      <c r="BS905" t="s">
        <v>17241</v>
      </c>
      <c r="BT905" t="str">
        <f>HYPERLINK("https%3A%2F%2Fwww.webofscience.com%2Fwos%2Fwoscc%2Ffull-record%2FWOS:000993433300001","View Full Record in Web of Science")</f>
        <v>View Full Record in Web of Science</v>
      </c>
    </row>
    <row r="906" spans="1:72" x14ac:dyDescent="0.15">
      <c r="A906" t="s">
        <v>72</v>
      </c>
      <c r="B906" t="s">
        <v>17242</v>
      </c>
      <c r="C906" t="s">
        <v>74</v>
      </c>
      <c r="D906" t="s">
        <v>74</v>
      </c>
      <c r="E906" t="s">
        <v>74</v>
      </c>
      <c r="F906" t="s">
        <v>17243</v>
      </c>
      <c r="G906" t="s">
        <v>74</v>
      </c>
      <c r="H906" t="s">
        <v>74</v>
      </c>
      <c r="I906" t="s">
        <v>17244</v>
      </c>
      <c r="J906" t="s">
        <v>3107</v>
      </c>
      <c r="K906" t="s">
        <v>74</v>
      </c>
      <c r="L906" t="s">
        <v>74</v>
      </c>
      <c r="M906" t="s">
        <v>78</v>
      </c>
      <c r="N906" t="s">
        <v>79</v>
      </c>
      <c r="O906" t="s">
        <v>74</v>
      </c>
      <c r="P906" t="s">
        <v>74</v>
      </c>
      <c r="Q906" t="s">
        <v>74</v>
      </c>
      <c r="R906" t="s">
        <v>74</v>
      </c>
      <c r="S906" t="s">
        <v>74</v>
      </c>
      <c r="T906" t="s">
        <v>74</v>
      </c>
      <c r="U906" t="s">
        <v>17245</v>
      </c>
      <c r="V906" t="s">
        <v>17246</v>
      </c>
      <c r="W906" t="s">
        <v>17247</v>
      </c>
      <c r="X906" t="s">
        <v>17248</v>
      </c>
      <c r="Y906" t="s">
        <v>17249</v>
      </c>
      <c r="Z906" t="s">
        <v>17250</v>
      </c>
      <c r="AA906" t="s">
        <v>17251</v>
      </c>
      <c r="AB906" t="s">
        <v>17252</v>
      </c>
      <c r="AC906" t="s">
        <v>17253</v>
      </c>
      <c r="AD906" t="s">
        <v>17254</v>
      </c>
      <c r="AE906" t="s">
        <v>17255</v>
      </c>
      <c r="AF906" t="s">
        <v>74</v>
      </c>
      <c r="AG906">
        <v>101</v>
      </c>
      <c r="AH906">
        <v>0</v>
      </c>
      <c r="AI906">
        <v>1</v>
      </c>
      <c r="AJ906">
        <v>1</v>
      </c>
      <c r="AK906">
        <v>1</v>
      </c>
      <c r="AL906" t="s">
        <v>460</v>
      </c>
      <c r="AM906" t="s">
        <v>461</v>
      </c>
      <c r="AN906" t="s">
        <v>462</v>
      </c>
      <c r="AO906" t="s">
        <v>3119</v>
      </c>
      <c r="AP906" t="s">
        <v>3120</v>
      </c>
      <c r="AQ906" t="s">
        <v>74</v>
      </c>
      <c r="AR906" t="s">
        <v>3121</v>
      </c>
      <c r="AS906" t="s">
        <v>3122</v>
      </c>
      <c r="AT906" t="s">
        <v>4557</v>
      </c>
      <c r="AU906">
        <v>2023</v>
      </c>
      <c r="AV906">
        <v>58</v>
      </c>
      <c r="AW906">
        <v>5</v>
      </c>
      <c r="AX906" t="s">
        <v>74</v>
      </c>
      <c r="AY906" t="s">
        <v>74</v>
      </c>
      <c r="AZ906" t="s">
        <v>74</v>
      </c>
      <c r="BA906" t="s">
        <v>74</v>
      </c>
      <c r="BB906">
        <v>643</v>
      </c>
      <c r="BC906">
        <v>671</v>
      </c>
      <c r="BD906" t="s">
        <v>74</v>
      </c>
      <c r="BE906" t="s">
        <v>17256</v>
      </c>
      <c r="BF906" t="str">
        <f>HYPERLINK("http://dx.doi.org/10.1111/maps.13975","http://dx.doi.org/10.1111/maps.13975")</f>
        <v>http://dx.doi.org/10.1111/maps.13975</v>
      </c>
      <c r="BG906" t="s">
        <v>74</v>
      </c>
      <c r="BH906" t="s">
        <v>15114</v>
      </c>
      <c r="BI906">
        <v>29</v>
      </c>
      <c r="BJ906" t="s">
        <v>597</v>
      </c>
      <c r="BK906" t="s">
        <v>104</v>
      </c>
      <c r="BL906" t="s">
        <v>597</v>
      </c>
      <c r="BM906" t="s">
        <v>17257</v>
      </c>
      <c r="BN906" t="s">
        <v>74</v>
      </c>
      <c r="BO906" t="s">
        <v>549</v>
      </c>
      <c r="BP906" t="s">
        <v>74</v>
      </c>
      <c r="BQ906" t="s">
        <v>74</v>
      </c>
      <c r="BR906" t="s">
        <v>107</v>
      </c>
      <c r="BS906" t="s">
        <v>17258</v>
      </c>
      <c r="BT906" t="str">
        <f>HYPERLINK("https%3A%2F%2Fwww.webofscience.com%2Fwos%2Fwoscc%2Ffull-record%2FWOS:000986188000001","View Full Record in Web of Science")</f>
        <v>View Full Record in Web of Science</v>
      </c>
    </row>
    <row r="907" spans="1:72" x14ac:dyDescent="0.15">
      <c r="A907" t="s">
        <v>72</v>
      </c>
      <c r="B907" t="s">
        <v>17259</v>
      </c>
      <c r="C907" t="s">
        <v>74</v>
      </c>
      <c r="D907" t="s">
        <v>74</v>
      </c>
      <c r="E907" t="s">
        <v>74</v>
      </c>
      <c r="F907" t="s">
        <v>17260</v>
      </c>
      <c r="G907" t="s">
        <v>74</v>
      </c>
      <c r="H907" t="s">
        <v>74</v>
      </c>
      <c r="I907" t="s">
        <v>17261</v>
      </c>
      <c r="J907" t="s">
        <v>17262</v>
      </c>
      <c r="K907" t="s">
        <v>74</v>
      </c>
      <c r="L907" t="s">
        <v>74</v>
      </c>
      <c r="M907" t="s">
        <v>78</v>
      </c>
      <c r="N907" t="s">
        <v>2439</v>
      </c>
      <c r="O907" t="s">
        <v>74</v>
      </c>
      <c r="P907" t="s">
        <v>74</v>
      </c>
      <c r="Q907" t="s">
        <v>74</v>
      </c>
      <c r="R907" t="s">
        <v>74</v>
      </c>
      <c r="S907" t="s">
        <v>74</v>
      </c>
      <c r="T907" t="s">
        <v>74</v>
      </c>
      <c r="U907" t="s">
        <v>74</v>
      </c>
      <c r="V907" t="s">
        <v>74</v>
      </c>
      <c r="W907" t="s">
        <v>17263</v>
      </c>
      <c r="X907" t="s">
        <v>17264</v>
      </c>
      <c r="Y907" t="s">
        <v>17265</v>
      </c>
      <c r="Z907" t="s">
        <v>17266</v>
      </c>
      <c r="AA907" t="s">
        <v>74</v>
      </c>
      <c r="AB907" t="s">
        <v>17267</v>
      </c>
      <c r="AC907" t="s">
        <v>74</v>
      </c>
      <c r="AD907" t="s">
        <v>74</v>
      </c>
      <c r="AE907" t="s">
        <v>74</v>
      </c>
      <c r="AF907" t="s">
        <v>74</v>
      </c>
      <c r="AG907">
        <v>1</v>
      </c>
      <c r="AH907">
        <v>0</v>
      </c>
      <c r="AI907">
        <v>0</v>
      </c>
      <c r="AJ907">
        <v>0</v>
      </c>
      <c r="AK907">
        <v>0</v>
      </c>
      <c r="AL907" t="s">
        <v>1803</v>
      </c>
      <c r="AM907" t="s">
        <v>299</v>
      </c>
      <c r="AN907" t="s">
        <v>1924</v>
      </c>
      <c r="AO907" t="s">
        <v>17268</v>
      </c>
      <c r="AP907" t="s">
        <v>17269</v>
      </c>
      <c r="AQ907" t="s">
        <v>74</v>
      </c>
      <c r="AR907" t="s">
        <v>17270</v>
      </c>
      <c r="AS907" t="s">
        <v>17271</v>
      </c>
      <c r="AT907" t="s">
        <v>17272</v>
      </c>
      <c r="AU907">
        <v>2023</v>
      </c>
      <c r="AV907">
        <v>59</v>
      </c>
      <c r="AW907" t="s">
        <v>74</v>
      </c>
      <c r="AX907" t="s">
        <v>74</v>
      </c>
      <c r="AY907" t="s">
        <v>74</v>
      </c>
      <c r="AZ907" t="s">
        <v>74</v>
      </c>
      <c r="BA907" t="s">
        <v>74</v>
      </c>
      <c r="BB907" t="s">
        <v>74</v>
      </c>
      <c r="BC907" t="s">
        <v>74</v>
      </c>
      <c r="BD907" t="s">
        <v>74</v>
      </c>
      <c r="BE907" t="s">
        <v>17273</v>
      </c>
      <c r="BF907" t="str">
        <f>HYPERLINK("http://dx.doi.org/10.1017/S0032247423000098","http://dx.doi.org/10.1017/S0032247423000098")</f>
        <v>http://dx.doi.org/10.1017/S0032247423000098</v>
      </c>
      <c r="BG907" t="s">
        <v>74</v>
      </c>
      <c r="BH907" t="s">
        <v>74</v>
      </c>
      <c r="BI907">
        <v>2</v>
      </c>
      <c r="BJ907" t="s">
        <v>17274</v>
      </c>
      <c r="BK907" t="s">
        <v>104</v>
      </c>
      <c r="BL907" t="s">
        <v>1535</v>
      </c>
      <c r="BM907" t="s">
        <v>17275</v>
      </c>
      <c r="BN907" t="s">
        <v>74</v>
      </c>
      <c r="BO907" t="s">
        <v>133</v>
      </c>
      <c r="BP907" t="s">
        <v>74</v>
      </c>
      <c r="BQ907" t="s">
        <v>74</v>
      </c>
      <c r="BR907" t="s">
        <v>107</v>
      </c>
      <c r="BS907" t="s">
        <v>17276</v>
      </c>
      <c r="BT907" t="str">
        <f>HYPERLINK("https%3A%2F%2Fwww.webofscience.com%2Fwos%2Fwoscc%2Ffull-record%2FWOS:001029445100001","View Full Record in Web of Science")</f>
        <v>View Full Record in Web of Science</v>
      </c>
    </row>
    <row r="908" spans="1:72" x14ac:dyDescent="0.15">
      <c r="A908" t="s">
        <v>72</v>
      </c>
      <c r="B908" t="s">
        <v>17277</v>
      </c>
      <c r="C908" t="s">
        <v>74</v>
      </c>
      <c r="D908" t="s">
        <v>74</v>
      </c>
      <c r="E908" t="s">
        <v>74</v>
      </c>
      <c r="F908" t="s">
        <v>17278</v>
      </c>
      <c r="G908" t="s">
        <v>74</v>
      </c>
      <c r="H908" t="s">
        <v>74</v>
      </c>
      <c r="I908" t="s">
        <v>17279</v>
      </c>
      <c r="J908" t="s">
        <v>7046</v>
      </c>
      <c r="K908" t="s">
        <v>74</v>
      </c>
      <c r="L908" t="s">
        <v>74</v>
      </c>
      <c r="M908" t="s">
        <v>78</v>
      </c>
      <c r="N908" t="s">
        <v>79</v>
      </c>
      <c r="O908" t="s">
        <v>74</v>
      </c>
      <c r="P908" t="s">
        <v>74</v>
      </c>
      <c r="Q908" t="s">
        <v>74</v>
      </c>
      <c r="R908" t="s">
        <v>74</v>
      </c>
      <c r="S908" t="s">
        <v>74</v>
      </c>
      <c r="T908" t="s">
        <v>17280</v>
      </c>
      <c r="U908" t="s">
        <v>17281</v>
      </c>
      <c r="V908" t="s">
        <v>17282</v>
      </c>
      <c r="W908" t="s">
        <v>17283</v>
      </c>
      <c r="X908" t="s">
        <v>17284</v>
      </c>
      <c r="Y908" t="s">
        <v>17285</v>
      </c>
      <c r="Z908" t="s">
        <v>17286</v>
      </c>
      <c r="AA908" t="s">
        <v>17287</v>
      </c>
      <c r="AB908" t="s">
        <v>17288</v>
      </c>
      <c r="AC908" t="s">
        <v>17289</v>
      </c>
      <c r="AD908" t="s">
        <v>17290</v>
      </c>
      <c r="AE908" t="s">
        <v>17291</v>
      </c>
      <c r="AF908" t="s">
        <v>74</v>
      </c>
      <c r="AG908">
        <v>48</v>
      </c>
      <c r="AH908">
        <v>2</v>
      </c>
      <c r="AI908">
        <v>2</v>
      </c>
      <c r="AJ908">
        <v>14</v>
      </c>
      <c r="AK908">
        <v>27</v>
      </c>
      <c r="AL908" t="s">
        <v>1343</v>
      </c>
      <c r="AM908" t="s">
        <v>589</v>
      </c>
      <c r="AN908" t="s">
        <v>1344</v>
      </c>
      <c r="AO908" t="s">
        <v>7057</v>
      </c>
      <c r="AP908" t="s">
        <v>7058</v>
      </c>
      <c r="AQ908" t="s">
        <v>74</v>
      </c>
      <c r="AR908" t="s">
        <v>7059</v>
      </c>
      <c r="AS908" t="s">
        <v>7060</v>
      </c>
      <c r="AT908" t="s">
        <v>17272</v>
      </c>
      <c r="AU908">
        <v>2023</v>
      </c>
      <c r="AV908">
        <v>71</v>
      </c>
      <c r="AW908">
        <v>20</v>
      </c>
      <c r="AX908" t="s">
        <v>74</v>
      </c>
      <c r="AY908" t="s">
        <v>74</v>
      </c>
      <c r="AZ908" t="s">
        <v>74</v>
      </c>
      <c r="BA908" t="s">
        <v>74</v>
      </c>
      <c r="BB908">
        <v>7937</v>
      </c>
      <c r="BC908">
        <v>7946</v>
      </c>
      <c r="BD908" t="s">
        <v>74</v>
      </c>
      <c r="BE908" t="s">
        <v>17292</v>
      </c>
      <c r="BF908" t="str">
        <f>HYPERLINK("http://dx.doi.org/10.1021/acs.jafc.3c00505","http://dx.doi.org/10.1021/acs.jafc.3c00505")</f>
        <v>http://dx.doi.org/10.1021/acs.jafc.3c00505</v>
      </c>
      <c r="BG908" t="s">
        <v>74</v>
      </c>
      <c r="BH908" t="s">
        <v>74</v>
      </c>
      <c r="BI908">
        <v>10</v>
      </c>
      <c r="BJ908" t="s">
        <v>7062</v>
      </c>
      <c r="BK908" t="s">
        <v>104</v>
      </c>
      <c r="BL908" t="s">
        <v>7063</v>
      </c>
      <c r="BM908" t="s">
        <v>17293</v>
      </c>
      <c r="BN908">
        <v>37166010</v>
      </c>
      <c r="BO908" t="s">
        <v>74</v>
      </c>
      <c r="BP908" t="s">
        <v>74</v>
      </c>
      <c r="BQ908" t="s">
        <v>74</v>
      </c>
      <c r="BR908" t="s">
        <v>107</v>
      </c>
      <c r="BS908" t="s">
        <v>17294</v>
      </c>
      <c r="BT908" t="str">
        <f>HYPERLINK("https%3A%2F%2Fwww.webofscience.com%2Fwos%2Fwoscc%2Ffull-record%2FWOS:001011323300001","View Full Record in Web of Science")</f>
        <v>View Full Record in Web of Science</v>
      </c>
    </row>
    <row r="909" spans="1:72" x14ac:dyDescent="0.15">
      <c r="A909" t="s">
        <v>72</v>
      </c>
      <c r="B909" t="s">
        <v>17295</v>
      </c>
      <c r="C909" t="s">
        <v>74</v>
      </c>
      <c r="D909" t="s">
        <v>74</v>
      </c>
      <c r="E909" t="s">
        <v>74</v>
      </c>
      <c r="F909" t="s">
        <v>17296</v>
      </c>
      <c r="G909" t="s">
        <v>74</v>
      </c>
      <c r="H909" t="s">
        <v>74</v>
      </c>
      <c r="I909" t="s">
        <v>17297</v>
      </c>
      <c r="J909" t="s">
        <v>9677</v>
      </c>
      <c r="K909" t="s">
        <v>74</v>
      </c>
      <c r="L909" t="s">
        <v>74</v>
      </c>
      <c r="M909" t="s">
        <v>78</v>
      </c>
      <c r="N909" t="s">
        <v>79</v>
      </c>
      <c r="O909" t="s">
        <v>74</v>
      </c>
      <c r="P909" t="s">
        <v>74</v>
      </c>
      <c r="Q909" t="s">
        <v>74</v>
      </c>
      <c r="R909" t="s">
        <v>74</v>
      </c>
      <c r="S909" t="s">
        <v>74</v>
      </c>
      <c r="T909" t="s">
        <v>17298</v>
      </c>
      <c r="U909" t="s">
        <v>17299</v>
      </c>
      <c r="V909" t="s">
        <v>17300</v>
      </c>
      <c r="W909" t="s">
        <v>17301</v>
      </c>
      <c r="X909" t="s">
        <v>17302</v>
      </c>
      <c r="Y909" t="s">
        <v>17303</v>
      </c>
      <c r="Z909" t="s">
        <v>17304</v>
      </c>
      <c r="AA909" t="s">
        <v>17305</v>
      </c>
      <c r="AB909" t="s">
        <v>17306</v>
      </c>
      <c r="AC909" t="s">
        <v>74</v>
      </c>
      <c r="AD909" t="s">
        <v>74</v>
      </c>
      <c r="AE909" t="s">
        <v>74</v>
      </c>
      <c r="AF909" t="s">
        <v>74</v>
      </c>
      <c r="AG909">
        <v>55</v>
      </c>
      <c r="AH909">
        <v>3</v>
      </c>
      <c r="AI909">
        <v>3</v>
      </c>
      <c r="AJ909">
        <v>0</v>
      </c>
      <c r="AK909">
        <v>0</v>
      </c>
      <c r="AL909" t="s">
        <v>369</v>
      </c>
      <c r="AM909" t="s">
        <v>370</v>
      </c>
      <c r="AN909" t="s">
        <v>371</v>
      </c>
      <c r="AO909" t="s">
        <v>9688</v>
      </c>
      <c r="AP909" t="s">
        <v>74</v>
      </c>
      <c r="AQ909" t="s">
        <v>74</v>
      </c>
      <c r="AR909" t="s">
        <v>9689</v>
      </c>
      <c r="AS909" t="s">
        <v>9690</v>
      </c>
      <c r="AT909" t="s">
        <v>17272</v>
      </c>
      <c r="AU909">
        <v>2023</v>
      </c>
      <c r="AV909">
        <v>13</v>
      </c>
      <c r="AW909">
        <v>10</v>
      </c>
      <c r="AX909" t="s">
        <v>74</v>
      </c>
      <c r="AY909" t="s">
        <v>74</v>
      </c>
      <c r="AZ909" t="s">
        <v>74</v>
      </c>
      <c r="BA909" t="s">
        <v>74</v>
      </c>
      <c r="BB909" t="s">
        <v>74</v>
      </c>
      <c r="BC909" t="s">
        <v>74</v>
      </c>
      <c r="BD909">
        <v>1606</v>
      </c>
      <c r="BE909" t="s">
        <v>17307</v>
      </c>
      <c r="BF909" t="str">
        <f>HYPERLINK("http://dx.doi.org/10.3390/ani13101606","http://dx.doi.org/10.3390/ani13101606")</f>
        <v>http://dx.doi.org/10.3390/ani13101606</v>
      </c>
      <c r="BG909" t="s">
        <v>74</v>
      </c>
      <c r="BH909" t="s">
        <v>74</v>
      </c>
      <c r="BI909">
        <v>19</v>
      </c>
      <c r="BJ909" t="s">
        <v>9692</v>
      </c>
      <c r="BK909" t="s">
        <v>104</v>
      </c>
      <c r="BL909" t="s">
        <v>9693</v>
      </c>
      <c r="BM909" t="s">
        <v>17308</v>
      </c>
      <c r="BN909">
        <v>37238036</v>
      </c>
      <c r="BO909" t="s">
        <v>181</v>
      </c>
      <c r="BP909" t="s">
        <v>74</v>
      </c>
      <c r="BQ909" t="s">
        <v>74</v>
      </c>
      <c r="BR909" t="s">
        <v>107</v>
      </c>
      <c r="BS909" t="s">
        <v>17309</v>
      </c>
      <c r="BT909" t="str">
        <f>HYPERLINK("https%3A%2F%2Fwww.webofscience.com%2Fwos%2Fwoscc%2Ffull-record%2FWOS:000994703400001","View Full Record in Web of Science")</f>
        <v>View Full Record in Web of Science</v>
      </c>
    </row>
    <row r="910" spans="1:72" x14ac:dyDescent="0.15">
      <c r="A910" t="s">
        <v>72</v>
      </c>
      <c r="B910" t="s">
        <v>17310</v>
      </c>
      <c r="C910" t="s">
        <v>74</v>
      </c>
      <c r="D910" t="s">
        <v>74</v>
      </c>
      <c r="E910" t="s">
        <v>74</v>
      </c>
      <c r="F910" t="s">
        <v>17311</v>
      </c>
      <c r="G910" t="s">
        <v>74</v>
      </c>
      <c r="H910" t="s">
        <v>74</v>
      </c>
      <c r="I910" t="s">
        <v>17312</v>
      </c>
      <c r="J910" t="s">
        <v>17313</v>
      </c>
      <c r="K910" t="s">
        <v>74</v>
      </c>
      <c r="L910" t="s">
        <v>74</v>
      </c>
      <c r="M910" t="s">
        <v>78</v>
      </c>
      <c r="N910" t="s">
        <v>79</v>
      </c>
      <c r="O910" t="s">
        <v>74</v>
      </c>
      <c r="P910" t="s">
        <v>74</v>
      </c>
      <c r="Q910" t="s">
        <v>74</v>
      </c>
      <c r="R910" t="s">
        <v>74</v>
      </c>
      <c r="S910" t="s">
        <v>74</v>
      </c>
      <c r="T910" t="s">
        <v>17314</v>
      </c>
      <c r="U910" t="s">
        <v>17315</v>
      </c>
      <c r="V910" t="s">
        <v>17316</v>
      </c>
      <c r="W910" t="s">
        <v>17317</v>
      </c>
      <c r="X910" t="s">
        <v>17318</v>
      </c>
      <c r="Y910" t="s">
        <v>17319</v>
      </c>
      <c r="Z910" t="s">
        <v>17320</v>
      </c>
      <c r="AA910" t="s">
        <v>17321</v>
      </c>
      <c r="AB910" t="s">
        <v>17322</v>
      </c>
      <c r="AC910" t="s">
        <v>17323</v>
      </c>
      <c r="AD910" t="s">
        <v>17324</v>
      </c>
      <c r="AE910" t="s">
        <v>17325</v>
      </c>
      <c r="AF910" t="s">
        <v>74</v>
      </c>
      <c r="AG910">
        <v>62</v>
      </c>
      <c r="AH910">
        <v>0</v>
      </c>
      <c r="AI910">
        <v>0</v>
      </c>
      <c r="AJ910">
        <v>2</v>
      </c>
      <c r="AK910">
        <v>4</v>
      </c>
      <c r="AL910" t="s">
        <v>17326</v>
      </c>
      <c r="AM910" t="s">
        <v>995</v>
      </c>
      <c r="AN910" t="s">
        <v>17327</v>
      </c>
      <c r="AO910" t="s">
        <v>17328</v>
      </c>
      <c r="AP910" t="s">
        <v>17329</v>
      </c>
      <c r="AQ910" t="s">
        <v>74</v>
      </c>
      <c r="AR910" t="s">
        <v>17313</v>
      </c>
      <c r="AS910" t="s">
        <v>17330</v>
      </c>
      <c r="AT910" t="s">
        <v>4689</v>
      </c>
      <c r="AU910">
        <v>2023</v>
      </c>
      <c r="AV910">
        <v>152</v>
      </c>
      <c r="AW910" t="s">
        <v>74</v>
      </c>
      <c r="AX910" t="s">
        <v>74</v>
      </c>
      <c r="AY910" t="s">
        <v>74</v>
      </c>
      <c r="AZ910" t="s">
        <v>74</v>
      </c>
      <c r="BA910" t="s">
        <v>74</v>
      </c>
      <c r="BB910" t="s">
        <v>74</v>
      </c>
      <c r="BC910" t="s">
        <v>74</v>
      </c>
      <c r="BD910">
        <v>108458</v>
      </c>
      <c r="BE910" t="s">
        <v>17331</v>
      </c>
      <c r="BF910" t="str">
        <f>HYPERLINK("http://dx.doi.org/10.1016/j.bioelechem.2023.108458","http://dx.doi.org/10.1016/j.bioelechem.2023.108458")</f>
        <v>http://dx.doi.org/10.1016/j.bioelechem.2023.108458</v>
      </c>
      <c r="BG910" t="s">
        <v>74</v>
      </c>
      <c r="BH910" t="s">
        <v>15114</v>
      </c>
      <c r="BI910">
        <v>11</v>
      </c>
      <c r="BJ910" t="s">
        <v>17332</v>
      </c>
      <c r="BK910" t="s">
        <v>104</v>
      </c>
      <c r="BL910" t="s">
        <v>17333</v>
      </c>
      <c r="BM910" t="s">
        <v>17334</v>
      </c>
      <c r="BN910">
        <v>37178525</v>
      </c>
      <c r="BO910" t="s">
        <v>74</v>
      </c>
      <c r="BP910" t="s">
        <v>74</v>
      </c>
      <c r="BQ910" t="s">
        <v>74</v>
      </c>
      <c r="BR910" t="s">
        <v>107</v>
      </c>
      <c r="BS910" t="s">
        <v>17335</v>
      </c>
      <c r="BT910" t="str">
        <f>HYPERLINK("https%3A%2F%2Fwww.webofscience.com%2Fwos%2Fwoscc%2Ffull-record%2FWOS:001001481300001","View Full Record in Web of Science")</f>
        <v>View Full Record in Web of Science</v>
      </c>
    </row>
    <row r="911" spans="1:72" x14ac:dyDescent="0.15">
      <c r="A911" t="s">
        <v>72</v>
      </c>
      <c r="B911" t="s">
        <v>17336</v>
      </c>
      <c r="C911" t="s">
        <v>74</v>
      </c>
      <c r="D911" t="s">
        <v>74</v>
      </c>
      <c r="E911" t="s">
        <v>74</v>
      </c>
      <c r="F911" t="s">
        <v>17337</v>
      </c>
      <c r="G911" t="s">
        <v>74</v>
      </c>
      <c r="H911" t="s">
        <v>74</v>
      </c>
      <c r="I911" t="s">
        <v>17338</v>
      </c>
      <c r="J911" t="s">
        <v>2470</v>
      </c>
      <c r="K911" t="s">
        <v>74</v>
      </c>
      <c r="L911" t="s">
        <v>74</v>
      </c>
      <c r="M911" t="s">
        <v>78</v>
      </c>
      <c r="N911" t="s">
        <v>79</v>
      </c>
      <c r="O911" t="s">
        <v>74</v>
      </c>
      <c r="P911" t="s">
        <v>74</v>
      </c>
      <c r="Q911" t="s">
        <v>74</v>
      </c>
      <c r="R911" t="s">
        <v>74</v>
      </c>
      <c r="S911" t="s">
        <v>74</v>
      </c>
      <c r="T911" t="s">
        <v>17339</v>
      </c>
      <c r="U911" t="s">
        <v>17340</v>
      </c>
      <c r="V911" t="s">
        <v>17341</v>
      </c>
      <c r="W911" t="s">
        <v>17342</v>
      </c>
      <c r="X911" t="s">
        <v>17343</v>
      </c>
      <c r="Y911" t="s">
        <v>17344</v>
      </c>
      <c r="Z911" t="s">
        <v>17345</v>
      </c>
      <c r="AA911" t="s">
        <v>74</v>
      </c>
      <c r="AB911" t="s">
        <v>74</v>
      </c>
      <c r="AC911" t="s">
        <v>17346</v>
      </c>
      <c r="AD911" t="s">
        <v>17347</v>
      </c>
      <c r="AE911" t="s">
        <v>17348</v>
      </c>
      <c r="AF911" t="s">
        <v>74</v>
      </c>
      <c r="AG911">
        <v>97</v>
      </c>
      <c r="AH911">
        <v>0</v>
      </c>
      <c r="AI911">
        <v>0</v>
      </c>
      <c r="AJ911">
        <v>5</v>
      </c>
      <c r="AK911">
        <v>8</v>
      </c>
      <c r="AL911" t="s">
        <v>2305</v>
      </c>
      <c r="AM911" t="s">
        <v>538</v>
      </c>
      <c r="AN911" t="s">
        <v>2306</v>
      </c>
      <c r="AO911" t="s">
        <v>2482</v>
      </c>
      <c r="AP911" t="s">
        <v>2483</v>
      </c>
      <c r="AQ911" t="s">
        <v>74</v>
      </c>
      <c r="AR911" t="s">
        <v>2484</v>
      </c>
      <c r="AS911" t="s">
        <v>2485</v>
      </c>
      <c r="AT911" t="s">
        <v>12049</v>
      </c>
      <c r="AU911">
        <v>2023</v>
      </c>
      <c r="AV911">
        <v>310</v>
      </c>
      <c r="AW911" t="s">
        <v>74</v>
      </c>
      <c r="AX911" t="s">
        <v>74</v>
      </c>
      <c r="AY911" t="s">
        <v>74</v>
      </c>
      <c r="AZ911" t="s">
        <v>74</v>
      </c>
      <c r="BA911" t="s">
        <v>74</v>
      </c>
      <c r="BB911" t="s">
        <v>74</v>
      </c>
      <c r="BC911" t="s">
        <v>74</v>
      </c>
      <c r="BD911">
        <v>108123</v>
      </c>
      <c r="BE911" t="s">
        <v>17349</v>
      </c>
      <c r="BF911" t="str">
        <f>HYPERLINK("http://dx.doi.org/10.1016/j.quascirev.2023.108123","http://dx.doi.org/10.1016/j.quascirev.2023.108123")</f>
        <v>http://dx.doi.org/10.1016/j.quascirev.2023.108123</v>
      </c>
      <c r="BG911" t="s">
        <v>74</v>
      </c>
      <c r="BH911" t="s">
        <v>15114</v>
      </c>
      <c r="BI911">
        <v>10</v>
      </c>
      <c r="BJ911" t="s">
        <v>1783</v>
      </c>
      <c r="BK911" t="s">
        <v>104</v>
      </c>
      <c r="BL911" t="s">
        <v>1784</v>
      </c>
      <c r="BM911" t="s">
        <v>17350</v>
      </c>
      <c r="BN911" t="s">
        <v>74</v>
      </c>
      <c r="BO911" t="s">
        <v>74</v>
      </c>
      <c r="BP911" t="s">
        <v>74</v>
      </c>
      <c r="BQ911" t="s">
        <v>74</v>
      </c>
      <c r="BR911" t="s">
        <v>107</v>
      </c>
      <c r="BS911" t="s">
        <v>17351</v>
      </c>
      <c r="BT911" t="str">
        <f>HYPERLINK("https%3A%2F%2Fwww.webofscience.com%2Fwos%2Fwoscc%2Ffull-record%2FWOS:001001741500001","View Full Record in Web of Science")</f>
        <v>View Full Record in Web of Science</v>
      </c>
    </row>
    <row r="912" spans="1:72" x14ac:dyDescent="0.15">
      <c r="A912" t="s">
        <v>72</v>
      </c>
      <c r="B912" t="s">
        <v>17352</v>
      </c>
      <c r="C912" t="s">
        <v>74</v>
      </c>
      <c r="D912" t="s">
        <v>74</v>
      </c>
      <c r="E912" t="s">
        <v>74</v>
      </c>
      <c r="F912" t="s">
        <v>17353</v>
      </c>
      <c r="G912" t="s">
        <v>74</v>
      </c>
      <c r="H912" t="s">
        <v>74</v>
      </c>
      <c r="I912" t="s">
        <v>17354</v>
      </c>
      <c r="J912" t="s">
        <v>8663</v>
      </c>
      <c r="K912" t="s">
        <v>74</v>
      </c>
      <c r="L912" t="s">
        <v>74</v>
      </c>
      <c r="M912" t="s">
        <v>78</v>
      </c>
      <c r="N912" t="s">
        <v>79</v>
      </c>
      <c r="O912" t="s">
        <v>74</v>
      </c>
      <c r="P912" t="s">
        <v>74</v>
      </c>
      <c r="Q912" t="s">
        <v>74</v>
      </c>
      <c r="R912" t="s">
        <v>74</v>
      </c>
      <c r="S912" t="s">
        <v>74</v>
      </c>
      <c r="T912" t="s">
        <v>74</v>
      </c>
      <c r="U912" t="s">
        <v>17355</v>
      </c>
      <c r="V912" t="s">
        <v>17356</v>
      </c>
      <c r="W912" t="s">
        <v>17357</v>
      </c>
      <c r="X912" t="s">
        <v>17358</v>
      </c>
      <c r="Y912" t="s">
        <v>17359</v>
      </c>
      <c r="Z912" t="s">
        <v>17360</v>
      </c>
      <c r="AA912" t="s">
        <v>74</v>
      </c>
      <c r="AB912" t="s">
        <v>17361</v>
      </c>
      <c r="AC912" t="s">
        <v>17362</v>
      </c>
      <c r="AD912" t="s">
        <v>17363</v>
      </c>
      <c r="AE912" t="s">
        <v>17364</v>
      </c>
      <c r="AF912" t="s">
        <v>74</v>
      </c>
      <c r="AG912">
        <v>32</v>
      </c>
      <c r="AH912">
        <v>0</v>
      </c>
      <c r="AI912">
        <v>0</v>
      </c>
      <c r="AJ912">
        <v>3</v>
      </c>
      <c r="AK912">
        <v>5</v>
      </c>
      <c r="AL912" t="s">
        <v>1775</v>
      </c>
      <c r="AM912" t="s">
        <v>1776</v>
      </c>
      <c r="AN912" t="s">
        <v>1777</v>
      </c>
      <c r="AO912" t="s">
        <v>8675</v>
      </c>
      <c r="AP912" t="s">
        <v>8676</v>
      </c>
      <c r="AQ912" t="s">
        <v>74</v>
      </c>
      <c r="AR912" t="s">
        <v>8677</v>
      </c>
      <c r="AS912" t="s">
        <v>8678</v>
      </c>
      <c r="AT912" t="s">
        <v>17272</v>
      </c>
      <c r="AU912">
        <v>2023</v>
      </c>
      <c r="AV912">
        <v>19</v>
      </c>
      <c r="AW912">
        <v>3</v>
      </c>
      <c r="AX912" t="s">
        <v>74</v>
      </c>
      <c r="AY912" t="s">
        <v>74</v>
      </c>
      <c r="AZ912" t="s">
        <v>74</v>
      </c>
      <c r="BA912" t="s">
        <v>74</v>
      </c>
      <c r="BB912">
        <v>615</v>
      </c>
      <c r="BC912">
        <v>627</v>
      </c>
      <c r="BD912" t="s">
        <v>74</v>
      </c>
      <c r="BE912" t="s">
        <v>17365</v>
      </c>
      <c r="BF912" t="str">
        <f>HYPERLINK("http://dx.doi.org/10.5194/os-19-615-2023","http://dx.doi.org/10.5194/os-19-615-2023")</f>
        <v>http://dx.doi.org/10.5194/os-19-615-2023</v>
      </c>
      <c r="BG912" t="s">
        <v>74</v>
      </c>
      <c r="BH912" t="s">
        <v>74</v>
      </c>
      <c r="BI912">
        <v>13</v>
      </c>
      <c r="BJ912" t="s">
        <v>4321</v>
      </c>
      <c r="BK912" t="s">
        <v>104</v>
      </c>
      <c r="BL912" t="s">
        <v>4321</v>
      </c>
      <c r="BM912" t="s">
        <v>17366</v>
      </c>
      <c r="BN912" t="s">
        <v>74</v>
      </c>
      <c r="BO912" t="s">
        <v>771</v>
      </c>
      <c r="BP912" t="s">
        <v>74</v>
      </c>
      <c r="BQ912" t="s">
        <v>74</v>
      </c>
      <c r="BR912" t="s">
        <v>107</v>
      </c>
      <c r="BS912" t="s">
        <v>17367</v>
      </c>
      <c r="BT912" t="str">
        <f>HYPERLINK("https%3A%2F%2Fwww.webofscience.com%2Fwos%2Fwoscc%2Ffull-record%2FWOS:000986621600001","View Full Record in Web of Science")</f>
        <v>View Full Record in Web of Science</v>
      </c>
    </row>
    <row r="913" spans="1:72" x14ac:dyDescent="0.15">
      <c r="A913" t="s">
        <v>72</v>
      </c>
      <c r="B913" t="s">
        <v>17368</v>
      </c>
      <c r="C913" t="s">
        <v>74</v>
      </c>
      <c r="D913" t="s">
        <v>74</v>
      </c>
      <c r="E913" t="s">
        <v>74</v>
      </c>
      <c r="F913" t="s">
        <v>17369</v>
      </c>
      <c r="G913" t="s">
        <v>74</v>
      </c>
      <c r="H913" t="s">
        <v>74</v>
      </c>
      <c r="I913" t="s">
        <v>17370</v>
      </c>
      <c r="J913" t="s">
        <v>983</v>
      </c>
      <c r="K913" t="s">
        <v>74</v>
      </c>
      <c r="L913" t="s">
        <v>74</v>
      </c>
      <c r="M913" t="s">
        <v>78</v>
      </c>
      <c r="N913" t="s">
        <v>79</v>
      </c>
      <c r="O913" t="s">
        <v>74</v>
      </c>
      <c r="P913" t="s">
        <v>74</v>
      </c>
      <c r="Q913" t="s">
        <v>74</v>
      </c>
      <c r="R913" t="s">
        <v>74</v>
      </c>
      <c r="S913" t="s">
        <v>74</v>
      </c>
      <c r="T913" t="s">
        <v>17371</v>
      </c>
      <c r="U913" t="s">
        <v>17372</v>
      </c>
      <c r="V913" t="s">
        <v>17373</v>
      </c>
      <c r="W913" t="s">
        <v>17374</v>
      </c>
      <c r="X913" t="s">
        <v>17375</v>
      </c>
      <c r="Y913" t="s">
        <v>17376</v>
      </c>
      <c r="Z913" t="s">
        <v>17377</v>
      </c>
      <c r="AA913" t="s">
        <v>17378</v>
      </c>
      <c r="AB913" t="s">
        <v>17379</v>
      </c>
      <c r="AC913" t="s">
        <v>74</v>
      </c>
      <c r="AD913" t="s">
        <v>74</v>
      </c>
      <c r="AE913" t="s">
        <v>74</v>
      </c>
      <c r="AF913" t="s">
        <v>74</v>
      </c>
      <c r="AG913">
        <v>83</v>
      </c>
      <c r="AH913">
        <v>0</v>
      </c>
      <c r="AI913">
        <v>0</v>
      </c>
      <c r="AJ913">
        <v>1</v>
      </c>
      <c r="AK913">
        <v>1</v>
      </c>
      <c r="AL913" t="s">
        <v>994</v>
      </c>
      <c r="AM913" t="s">
        <v>995</v>
      </c>
      <c r="AN913" t="s">
        <v>996</v>
      </c>
      <c r="AO913" t="s">
        <v>74</v>
      </c>
      <c r="AP913" t="s">
        <v>997</v>
      </c>
      <c r="AQ913" t="s">
        <v>74</v>
      </c>
      <c r="AR913" t="s">
        <v>998</v>
      </c>
      <c r="AS913" t="s">
        <v>999</v>
      </c>
      <c r="AT913" t="s">
        <v>17272</v>
      </c>
      <c r="AU913">
        <v>2023</v>
      </c>
      <c r="AV913">
        <v>10</v>
      </c>
      <c r="AW913" t="s">
        <v>74</v>
      </c>
      <c r="AX913" t="s">
        <v>74</v>
      </c>
      <c r="AY913" t="s">
        <v>74</v>
      </c>
      <c r="AZ913" t="s">
        <v>74</v>
      </c>
      <c r="BA913" t="s">
        <v>74</v>
      </c>
      <c r="BB913" t="s">
        <v>74</v>
      </c>
      <c r="BC913" t="s">
        <v>74</v>
      </c>
      <c r="BD913">
        <v>1118570</v>
      </c>
      <c r="BE913" t="s">
        <v>17380</v>
      </c>
      <c r="BF913" t="str">
        <f>HYPERLINK("http://dx.doi.org/10.3389/fmars.2023.1118570","http://dx.doi.org/10.3389/fmars.2023.1118570")</f>
        <v>http://dx.doi.org/10.3389/fmars.2023.1118570</v>
      </c>
      <c r="BG913" t="s">
        <v>74</v>
      </c>
      <c r="BH913" t="s">
        <v>74</v>
      </c>
      <c r="BI913">
        <v>14</v>
      </c>
      <c r="BJ913" t="s">
        <v>1001</v>
      </c>
      <c r="BK913" t="s">
        <v>104</v>
      </c>
      <c r="BL913" t="s">
        <v>1002</v>
      </c>
      <c r="BM913" t="s">
        <v>17381</v>
      </c>
      <c r="BN913" t="s">
        <v>74</v>
      </c>
      <c r="BO913" t="s">
        <v>4045</v>
      </c>
      <c r="BP913" t="s">
        <v>74</v>
      </c>
      <c r="BQ913" t="s">
        <v>74</v>
      </c>
      <c r="BR913" t="s">
        <v>107</v>
      </c>
      <c r="BS913" t="s">
        <v>17382</v>
      </c>
      <c r="BT913" t="str">
        <f>HYPERLINK("https%3A%2F%2Fwww.webofscience.com%2Fwos%2Fwoscc%2Ffull-record%2FWOS:000992958800001","View Full Record in Web of Science")</f>
        <v>View Full Record in Web of Science</v>
      </c>
    </row>
    <row r="914" spans="1:72" x14ac:dyDescent="0.15">
      <c r="A914" t="s">
        <v>72</v>
      </c>
      <c r="B914" t="s">
        <v>17383</v>
      </c>
      <c r="C914" t="s">
        <v>74</v>
      </c>
      <c r="D914" t="s">
        <v>74</v>
      </c>
      <c r="E914" t="s">
        <v>74</v>
      </c>
      <c r="F914" t="s">
        <v>17384</v>
      </c>
      <c r="G914" t="s">
        <v>74</v>
      </c>
      <c r="H914" t="s">
        <v>74</v>
      </c>
      <c r="I914" t="s">
        <v>17385</v>
      </c>
      <c r="J914" t="s">
        <v>10770</v>
      </c>
      <c r="K914" t="s">
        <v>74</v>
      </c>
      <c r="L914" t="s">
        <v>74</v>
      </c>
      <c r="M914" t="s">
        <v>78</v>
      </c>
      <c r="N914" t="s">
        <v>79</v>
      </c>
      <c r="O914" t="s">
        <v>74</v>
      </c>
      <c r="P914" t="s">
        <v>74</v>
      </c>
      <c r="Q914" t="s">
        <v>74</v>
      </c>
      <c r="R914" t="s">
        <v>74</v>
      </c>
      <c r="S914" t="s">
        <v>74</v>
      </c>
      <c r="T914" t="s">
        <v>17386</v>
      </c>
      <c r="U914" t="s">
        <v>17387</v>
      </c>
      <c r="V914" t="s">
        <v>17388</v>
      </c>
      <c r="W914" t="s">
        <v>17389</v>
      </c>
      <c r="X914" t="s">
        <v>17390</v>
      </c>
      <c r="Y914" t="s">
        <v>17391</v>
      </c>
      <c r="Z914" t="s">
        <v>17392</v>
      </c>
      <c r="AA914" t="s">
        <v>17393</v>
      </c>
      <c r="AB914" t="s">
        <v>17394</v>
      </c>
      <c r="AC914" t="s">
        <v>74</v>
      </c>
      <c r="AD914" t="s">
        <v>74</v>
      </c>
      <c r="AE914" t="s">
        <v>74</v>
      </c>
      <c r="AF914" t="s">
        <v>74</v>
      </c>
      <c r="AG914">
        <v>25</v>
      </c>
      <c r="AH914">
        <v>0</v>
      </c>
      <c r="AI914">
        <v>0</v>
      </c>
      <c r="AJ914">
        <v>9</v>
      </c>
      <c r="AK914">
        <v>18</v>
      </c>
      <c r="AL914" t="s">
        <v>3320</v>
      </c>
      <c r="AM914" t="s">
        <v>3321</v>
      </c>
      <c r="AN914" t="s">
        <v>3322</v>
      </c>
      <c r="AO914" t="s">
        <v>10781</v>
      </c>
      <c r="AP914" t="s">
        <v>10782</v>
      </c>
      <c r="AQ914" t="s">
        <v>74</v>
      </c>
      <c r="AR914" t="s">
        <v>10783</v>
      </c>
      <c r="AS914" t="s">
        <v>10784</v>
      </c>
      <c r="AT914" t="s">
        <v>7344</v>
      </c>
      <c r="AU914">
        <v>2024</v>
      </c>
      <c r="AV914">
        <v>203</v>
      </c>
      <c r="AW914">
        <v>4</v>
      </c>
      <c r="AX914" t="s">
        <v>74</v>
      </c>
      <c r="AY914" t="s">
        <v>74</v>
      </c>
      <c r="AZ914" t="s">
        <v>74</v>
      </c>
      <c r="BA914" t="s">
        <v>74</v>
      </c>
      <c r="BB914">
        <v>809</v>
      </c>
      <c r="BC914">
        <v>824</v>
      </c>
      <c r="BD914" t="s">
        <v>74</v>
      </c>
      <c r="BE914" t="s">
        <v>17395</v>
      </c>
      <c r="BF914" t="str">
        <f>HYPERLINK("http://dx.doi.org/10.1007/s00605-023-01868-5","http://dx.doi.org/10.1007/s00605-023-01868-5")</f>
        <v>http://dx.doi.org/10.1007/s00605-023-01868-5</v>
      </c>
      <c r="BG914" t="s">
        <v>74</v>
      </c>
      <c r="BH914" t="s">
        <v>15114</v>
      </c>
      <c r="BI914">
        <v>16</v>
      </c>
      <c r="BJ914" t="s">
        <v>3820</v>
      </c>
      <c r="BK914" t="s">
        <v>104</v>
      </c>
      <c r="BL914" t="s">
        <v>3820</v>
      </c>
      <c r="BM914" t="s">
        <v>17396</v>
      </c>
      <c r="BN914" t="s">
        <v>74</v>
      </c>
      <c r="BO914" t="s">
        <v>74</v>
      </c>
      <c r="BP914" t="s">
        <v>74</v>
      </c>
      <c r="BQ914" t="s">
        <v>74</v>
      </c>
      <c r="BR914" t="s">
        <v>107</v>
      </c>
      <c r="BS914" t="s">
        <v>17397</v>
      </c>
      <c r="BT914" t="str">
        <f>HYPERLINK("https%3A%2F%2Fwww.webofscience.com%2Fwos%2Fwoscc%2Ffull-record%2FWOS:000986790900001","View Full Record in Web of Science")</f>
        <v>View Full Record in Web of Science</v>
      </c>
    </row>
    <row r="915" spans="1:72" x14ac:dyDescent="0.15">
      <c r="A915" t="s">
        <v>72</v>
      </c>
      <c r="B915" t="s">
        <v>17398</v>
      </c>
      <c r="C915" t="s">
        <v>74</v>
      </c>
      <c r="D915" t="s">
        <v>74</v>
      </c>
      <c r="E915" t="s">
        <v>74</v>
      </c>
      <c r="F915" t="s">
        <v>17399</v>
      </c>
      <c r="G915" t="s">
        <v>74</v>
      </c>
      <c r="H915" t="s">
        <v>74</v>
      </c>
      <c r="I915" t="s">
        <v>17400</v>
      </c>
      <c r="J915" t="s">
        <v>5519</v>
      </c>
      <c r="K915" t="s">
        <v>74</v>
      </c>
      <c r="L915" t="s">
        <v>74</v>
      </c>
      <c r="M915" t="s">
        <v>78</v>
      </c>
      <c r="N915" t="s">
        <v>79</v>
      </c>
      <c r="O915" t="s">
        <v>74</v>
      </c>
      <c r="P915" t="s">
        <v>74</v>
      </c>
      <c r="Q915" t="s">
        <v>74</v>
      </c>
      <c r="R915" t="s">
        <v>74</v>
      </c>
      <c r="S915" t="s">
        <v>74</v>
      </c>
      <c r="T915" t="s">
        <v>74</v>
      </c>
      <c r="U915" t="s">
        <v>17401</v>
      </c>
      <c r="V915" t="s">
        <v>17402</v>
      </c>
      <c r="W915" t="s">
        <v>17403</v>
      </c>
      <c r="X915" t="s">
        <v>17404</v>
      </c>
      <c r="Y915" t="s">
        <v>17405</v>
      </c>
      <c r="Z915" t="s">
        <v>17406</v>
      </c>
      <c r="AA915" t="s">
        <v>17407</v>
      </c>
      <c r="AB915" t="s">
        <v>17408</v>
      </c>
      <c r="AC915" t="s">
        <v>17409</v>
      </c>
      <c r="AD915" t="s">
        <v>17410</v>
      </c>
      <c r="AE915" t="s">
        <v>17411</v>
      </c>
      <c r="AF915" t="s">
        <v>74</v>
      </c>
      <c r="AG915">
        <v>56</v>
      </c>
      <c r="AH915">
        <v>5</v>
      </c>
      <c r="AI915">
        <v>5</v>
      </c>
      <c r="AJ915">
        <v>7</v>
      </c>
      <c r="AK915">
        <v>16</v>
      </c>
      <c r="AL915" t="s">
        <v>5530</v>
      </c>
      <c r="AM915" t="s">
        <v>589</v>
      </c>
      <c r="AN915" t="s">
        <v>5531</v>
      </c>
      <c r="AO915" t="s">
        <v>5532</v>
      </c>
      <c r="AP915" t="s">
        <v>74</v>
      </c>
      <c r="AQ915" t="s">
        <v>74</v>
      </c>
      <c r="AR915" t="s">
        <v>5533</v>
      </c>
      <c r="AS915" t="s">
        <v>5534</v>
      </c>
      <c r="AT915" t="s">
        <v>17412</v>
      </c>
      <c r="AU915">
        <v>2023</v>
      </c>
      <c r="AV915">
        <v>9</v>
      </c>
      <c r="AW915">
        <v>19</v>
      </c>
      <c r="AX915" t="s">
        <v>74</v>
      </c>
      <c r="AY915" t="s">
        <v>74</v>
      </c>
      <c r="AZ915" t="s">
        <v>74</v>
      </c>
      <c r="BA915" t="s">
        <v>74</v>
      </c>
      <c r="BB915" t="s">
        <v>74</v>
      </c>
      <c r="BC915" t="s">
        <v>74</v>
      </c>
      <c r="BD915" t="s">
        <v>17413</v>
      </c>
      <c r="BE915" t="s">
        <v>17414</v>
      </c>
      <c r="BF915" t="str">
        <f>HYPERLINK("http://dx.doi.org/10.1126/sciadv.adf5059","http://dx.doi.org/10.1126/sciadv.adf5059")</f>
        <v>http://dx.doi.org/10.1126/sciadv.adf5059</v>
      </c>
      <c r="BG915" t="s">
        <v>74</v>
      </c>
      <c r="BH915" t="s">
        <v>74</v>
      </c>
      <c r="BI915">
        <v>8</v>
      </c>
      <c r="BJ915" t="s">
        <v>1881</v>
      </c>
      <c r="BK915" t="s">
        <v>104</v>
      </c>
      <c r="BL915" t="s">
        <v>1882</v>
      </c>
      <c r="BM915" t="s">
        <v>17415</v>
      </c>
      <c r="BN915">
        <v>37163600</v>
      </c>
      <c r="BO915" t="s">
        <v>181</v>
      </c>
      <c r="BP915" t="s">
        <v>74</v>
      </c>
      <c r="BQ915" t="s">
        <v>74</v>
      </c>
      <c r="BR915" t="s">
        <v>107</v>
      </c>
      <c r="BS915" t="s">
        <v>17416</v>
      </c>
      <c r="BT915" t="str">
        <f>HYPERLINK("https%3A%2F%2Fwww.webofscience.com%2Fwos%2Fwoscc%2Ffull-record%2FWOS:001004504000018","View Full Record in Web of Science")</f>
        <v>View Full Record in Web of Science</v>
      </c>
    </row>
    <row r="916" spans="1:72" x14ac:dyDescent="0.15">
      <c r="A916" t="s">
        <v>72</v>
      </c>
      <c r="B916" t="s">
        <v>17417</v>
      </c>
      <c r="C916" t="s">
        <v>74</v>
      </c>
      <c r="D916" t="s">
        <v>74</v>
      </c>
      <c r="E916" t="s">
        <v>74</v>
      </c>
      <c r="F916" t="s">
        <v>17418</v>
      </c>
      <c r="G916" t="s">
        <v>74</v>
      </c>
      <c r="H916" t="s">
        <v>74</v>
      </c>
      <c r="I916" t="s">
        <v>17419</v>
      </c>
      <c r="J916" t="s">
        <v>2031</v>
      </c>
      <c r="K916" t="s">
        <v>74</v>
      </c>
      <c r="L916" t="s">
        <v>74</v>
      </c>
      <c r="M916" t="s">
        <v>78</v>
      </c>
      <c r="N916" t="s">
        <v>424</v>
      </c>
      <c r="O916" t="s">
        <v>74</v>
      </c>
      <c r="P916" t="s">
        <v>74</v>
      </c>
      <c r="Q916" t="s">
        <v>74</v>
      </c>
      <c r="R916" t="s">
        <v>74</v>
      </c>
      <c r="S916" t="s">
        <v>74</v>
      </c>
      <c r="T916" t="s">
        <v>17420</v>
      </c>
      <c r="U916" t="s">
        <v>17421</v>
      </c>
      <c r="V916" t="s">
        <v>17422</v>
      </c>
      <c r="W916" t="s">
        <v>17423</v>
      </c>
      <c r="X916" t="s">
        <v>17424</v>
      </c>
      <c r="Y916" t="s">
        <v>17425</v>
      </c>
      <c r="Z916" t="s">
        <v>2757</v>
      </c>
      <c r="AA916" t="s">
        <v>17426</v>
      </c>
      <c r="AB916" t="s">
        <v>17427</v>
      </c>
      <c r="AC916" t="s">
        <v>17428</v>
      </c>
      <c r="AD916" t="s">
        <v>17429</v>
      </c>
      <c r="AE916" t="s">
        <v>17430</v>
      </c>
      <c r="AF916" t="s">
        <v>74</v>
      </c>
      <c r="AG916">
        <v>206</v>
      </c>
      <c r="AH916">
        <v>6</v>
      </c>
      <c r="AI916">
        <v>7</v>
      </c>
      <c r="AJ916">
        <v>63</v>
      </c>
      <c r="AK916">
        <v>112</v>
      </c>
      <c r="AL916" t="s">
        <v>172</v>
      </c>
      <c r="AM916" t="s">
        <v>173</v>
      </c>
      <c r="AN916" t="s">
        <v>174</v>
      </c>
      <c r="AO916" t="s">
        <v>2044</v>
      </c>
      <c r="AP916" t="s">
        <v>2045</v>
      </c>
      <c r="AQ916" t="s">
        <v>74</v>
      </c>
      <c r="AR916" t="s">
        <v>2046</v>
      </c>
      <c r="AS916" t="s">
        <v>2047</v>
      </c>
      <c r="AT916" t="s">
        <v>4024</v>
      </c>
      <c r="AU916">
        <v>2023</v>
      </c>
      <c r="AV916">
        <v>885</v>
      </c>
      <c r="AW916" t="s">
        <v>74</v>
      </c>
      <c r="AX916" t="s">
        <v>74</v>
      </c>
      <c r="AY916" t="s">
        <v>74</v>
      </c>
      <c r="AZ916" t="s">
        <v>74</v>
      </c>
      <c r="BA916" t="s">
        <v>74</v>
      </c>
      <c r="BB916" t="s">
        <v>74</v>
      </c>
      <c r="BC916" t="s">
        <v>74</v>
      </c>
      <c r="BD916">
        <v>163699</v>
      </c>
      <c r="BE916" t="s">
        <v>17431</v>
      </c>
      <c r="BF916" t="str">
        <f>HYPERLINK("http://dx.doi.org/10.1016/j.scitotenv.2023.163699","http://dx.doi.org/10.1016/j.scitotenv.2023.163699")</f>
        <v>http://dx.doi.org/10.1016/j.scitotenv.2023.163699</v>
      </c>
      <c r="BG916" t="s">
        <v>74</v>
      </c>
      <c r="BH916" t="s">
        <v>15114</v>
      </c>
      <c r="BI916">
        <v>15</v>
      </c>
      <c r="BJ916" t="s">
        <v>2050</v>
      </c>
      <c r="BK916" t="s">
        <v>104</v>
      </c>
      <c r="BL916" t="s">
        <v>1535</v>
      </c>
      <c r="BM916" t="s">
        <v>17432</v>
      </c>
      <c r="BN916">
        <v>37149169</v>
      </c>
      <c r="BO916" t="s">
        <v>1217</v>
      </c>
      <c r="BP916" t="s">
        <v>74</v>
      </c>
      <c r="BQ916" t="s">
        <v>74</v>
      </c>
      <c r="BR916" t="s">
        <v>107</v>
      </c>
      <c r="BS916" t="s">
        <v>17433</v>
      </c>
      <c r="BT916" t="str">
        <f>HYPERLINK("https%3A%2F%2Fwww.webofscience.com%2Fwos%2Fwoscc%2Ffull-record%2FWOS:001001454000001","View Full Record in Web of Science")</f>
        <v>View Full Record in Web of Science</v>
      </c>
    </row>
    <row r="917" spans="1:72" x14ac:dyDescent="0.15">
      <c r="A917" t="s">
        <v>72</v>
      </c>
      <c r="B917" t="s">
        <v>17434</v>
      </c>
      <c r="C917" t="s">
        <v>74</v>
      </c>
      <c r="D917" t="s">
        <v>74</v>
      </c>
      <c r="E917" t="s">
        <v>74</v>
      </c>
      <c r="F917" t="s">
        <v>17435</v>
      </c>
      <c r="G917" t="s">
        <v>74</v>
      </c>
      <c r="H917" t="s">
        <v>74</v>
      </c>
      <c r="I917" t="s">
        <v>17436</v>
      </c>
      <c r="J917" t="s">
        <v>3196</v>
      </c>
      <c r="K917" t="s">
        <v>74</v>
      </c>
      <c r="L917" t="s">
        <v>74</v>
      </c>
      <c r="M917" t="s">
        <v>78</v>
      </c>
      <c r="N917" t="s">
        <v>3197</v>
      </c>
      <c r="O917" t="s">
        <v>74</v>
      </c>
      <c r="P917" t="s">
        <v>74</v>
      </c>
      <c r="Q917" t="s">
        <v>74</v>
      </c>
      <c r="R917" t="s">
        <v>74</v>
      </c>
      <c r="S917" t="s">
        <v>74</v>
      </c>
      <c r="T917" t="s">
        <v>17437</v>
      </c>
      <c r="U917" t="s">
        <v>17438</v>
      </c>
      <c r="V917" t="s">
        <v>17439</v>
      </c>
      <c r="W917" t="s">
        <v>17440</v>
      </c>
      <c r="X917" t="s">
        <v>17441</v>
      </c>
      <c r="Y917" t="s">
        <v>17442</v>
      </c>
      <c r="Z917" t="s">
        <v>17443</v>
      </c>
      <c r="AA917" t="s">
        <v>74</v>
      </c>
      <c r="AB917" t="s">
        <v>17444</v>
      </c>
      <c r="AC917" t="s">
        <v>17445</v>
      </c>
      <c r="AD917" t="s">
        <v>17446</v>
      </c>
      <c r="AE917" t="s">
        <v>17447</v>
      </c>
      <c r="AF917" t="s">
        <v>74</v>
      </c>
      <c r="AG917">
        <v>11</v>
      </c>
      <c r="AH917">
        <v>3</v>
      </c>
      <c r="AI917">
        <v>3</v>
      </c>
      <c r="AJ917">
        <v>11</v>
      </c>
      <c r="AK917">
        <v>15</v>
      </c>
      <c r="AL917" t="s">
        <v>3210</v>
      </c>
      <c r="AM917" t="s">
        <v>615</v>
      </c>
      <c r="AN917" t="s">
        <v>3211</v>
      </c>
      <c r="AO917" t="s">
        <v>3212</v>
      </c>
      <c r="AP917" t="s">
        <v>3213</v>
      </c>
      <c r="AQ917" t="s">
        <v>74</v>
      </c>
      <c r="AR917" t="s">
        <v>3214</v>
      </c>
      <c r="AS917" t="s">
        <v>3215</v>
      </c>
      <c r="AT917" t="s">
        <v>17412</v>
      </c>
      <c r="AU917">
        <v>2023</v>
      </c>
      <c r="AV917">
        <v>11</v>
      </c>
      <c r="AW917" t="s">
        <v>74</v>
      </c>
      <c r="AX917" t="s">
        <v>74</v>
      </c>
      <c r="AY917" t="s">
        <v>74</v>
      </c>
      <c r="AZ917" t="s">
        <v>74</v>
      </c>
      <c r="BA917" t="s">
        <v>74</v>
      </c>
      <c r="BB917" t="s">
        <v>74</v>
      </c>
      <c r="BC917" t="s">
        <v>74</v>
      </c>
      <c r="BD917" t="s">
        <v>17448</v>
      </c>
      <c r="BE917" t="s">
        <v>17449</v>
      </c>
      <c r="BF917" t="str">
        <f>HYPERLINK("http://dx.doi.org/10.3897/BDJ.11.e101476","http://dx.doi.org/10.3897/BDJ.11.e101476")</f>
        <v>http://dx.doi.org/10.3897/BDJ.11.e101476</v>
      </c>
      <c r="BG917" t="s">
        <v>74</v>
      </c>
      <c r="BH917" t="s">
        <v>74</v>
      </c>
      <c r="BI917">
        <v>14</v>
      </c>
      <c r="BJ917" t="s">
        <v>444</v>
      </c>
      <c r="BK917" t="s">
        <v>104</v>
      </c>
      <c r="BL917" t="s">
        <v>445</v>
      </c>
      <c r="BM917" t="s">
        <v>17450</v>
      </c>
      <c r="BN917">
        <v>38327356</v>
      </c>
      <c r="BO917" t="s">
        <v>181</v>
      </c>
      <c r="BP917" t="s">
        <v>74</v>
      </c>
      <c r="BQ917" t="s">
        <v>74</v>
      </c>
      <c r="BR917" t="s">
        <v>107</v>
      </c>
      <c r="BS917" t="s">
        <v>17451</v>
      </c>
      <c r="BT917" t="str">
        <f>HYPERLINK("https%3A%2F%2Fwww.webofscience.com%2Fwos%2Fwoscc%2Ffull-record%2FWOS:000995746500004","View Full Record in Web of Science")</f>
        <v>View Full Record in Web of Science</v>
      </c>
    </row>
    <row r="918" spans="1:72" x14ac:dyDescent="0.15">
      <c r="A918" t="s">
        <v>72</v>
      </c>
      <c r="B918" t="s">
        <v>17452</v>
      </c>
      <c r="C918" t="s">
        <v>74</v>
      </c>
      <c r="D918" t="s">
        <v>74</v>
      </c>
      <c r="E918" t="s">
        <v>74</v>
      </c>
      <c r="F918" t="s">
        <v>17453</v>
      </c>
      <c r="G918" t="s">
        <v>74</v>
      </c>
      <c r="H918" t="s">
        <v>74</v>
      </c>
      <c r="I918" t="s">
        <v>17454</v>
      </c>
      <c r="J918" t="s">
        <v>5439</v>
      </c>
      <c r="K918" t="s">
        <v>74</v>
      </c>
      <c r="L918" t="s">
        <v>74</v>
      </c>
      <c r="M918" t="s">
        <v>78</v>
      </c>
      <c r="N918" t="s">
        <v>79</v>
      </c>
      <c r="O918" t="s">
        <v>74</v>
      </c>
      <c r="P918" t="s">
        <v>74</v>
      </c>
      <c r="Q918" t="s">
        <v>74</v>
      </c>
      <c r="R918" t="s">
        <v>74</v>
      </c>
      <c r="S918" t="s">
        <v>74</v>
      </c>
      <c r="T918" t="s">
        <v>17455</v>
      </c>
      <c r="U918" t="s">
        <v>17456</v>
      </c>
      <c r="V918" t="s">
        <v>17457</v>
      </c>
      <c r="W918" t="s">
        <v>17458</v>
      </c>
      <c r="X918" t="s">
        <v>17459</v>
      </c>
      <c r="Y918" t="s">
        <v>17460</v>
      </c>
      <c r="Z918" t="s">
        <v>17461</v>
      </c>
      <c r="AA918" t="s">
        <v>17462</v>
      </c>
      <c r="AB918" t="s">
        <v>17463</v>
      </c>
      <c r="AC918" t="s">
        <v>17464</v>
      </c>
      <c r="AD918" t="s">
        <v>17465</v>
      </c>
      <c r="AE918" t="s">
        <v>17466</v>
      </c>
      <c r="AF918" t="s">
        <v>74</v>
      </c>
      <c r="AG918">
        <v>76</v>
      </c>
      <c r="AH918">
        <v>0</v>
      </c>
      <c r="AI918">
        <v>0</v>
      </c>
      <c r="AJ918">
        <v>0</v>
      </c>
      <c r="AK918">
        <v>0</v>
      </c>
      <c r="AL918" t="s">
        <v>369</v>
      </c>
      <c r="AM918" t="s">
        <v>370</v>
      </c>
      <c r="AN918" t="s">
        <v>371</v>
      </c>
      <c r="AO918" t="s">
        <v>74</v>
      </c>
      <c r="AP918" t="s">
        <v>5446</v>
      </c>
      <c r="AQ918" t="s">
        <v>74</v>
      </c>
      <c r="AR918" t="s">
        <v>5439</v>
      </c>
      <c r="AS918" t="s">
        <v>5447</v>
      </c>
      <c r="AT918" t="s">
        <v>17412</v>
      </c>
      <c r="AU918">
        <v>2023</v>
      </c>
      <c r="AV918">
        <v>15</v>
      </c>
      <c r="AW918">
        <v>5</v>
      </c>
      <c r="AX918" t="s">
        <v>74</v>
      </c>
      <c r="AY918" t="s">
        <v>74</v>
      </c>
      <c r="AZ918" t="s">
        <v>74</v>
      </c>
      <c r="BA918" t="s">
        <v>74</v>
      </c>
      <c r="BB918" t="s">
        <v>74</v>
      </c>
      <c r="BC918" t="s">
        <v>74</v>
      </c>
      <c r="BD918">
        <v>650</v>
      </c>
      <c r="BE918" t="s">
        <v>17467</v>
      </c>
      <c r="BF918" t="str">
        <f>HYPERLINK("http://dx.doi.org/10.3390/d15050650","http://dx.doi.org/10.3390/d15050650")</f>
        <v>http://dx.doi.org/10.3390/d15050650</v>
      </c>
      <c r="BG918" t="s">
        <v>74</v>
      </c>
      <c r="BH918" t="s">
        <v>74</v>
      </c>
      <c r="BI918">
        <v>31</v>
      </c>
      <c r="BJ918" t="s">
        <v>3772</v>
      </c>
      <c r="BK918" t="s">
        <v>104</v>
      </c>
      <c r="BL918" t="s">
        <v>1905</v>
      </c>
      <c r="BM918" t="s">
        <v>17468</v>
      </c>
      <c r="BN918" t="s">
        <v>74</v>
      </c>
      <c r="BO918" t="s">
        <v>206</v>
      </c>
      <c r="BP918" t="s">
        <v>74</v>
      </c>
      <c r="BQ918" t="s">
        <v>74</v>
      </c>
      <c r="BR918" t="s">
        <v>107</v>
      </c>
      <c r="BS918" t="s">
        <v>17469</v>
      </c>
      <c r="BT918" t="str">
        <f>HYPERLINK("https%3A%2F%2Fwww.webofscience.com%2Fwos%2Fwoscc%2Ffull-record%2FWOS:000997228900001","View Full Record in Web of Science")</f>
        <v>View Full Record in Web of Science</v>
      </c>
    </row>
    <row r="919" spans="1:72" x14ac:dyDescent="0.15">
      <c r="A919" t="s">
        <v>72</v>
      </c>
      <c r="B919" t="s">
        <v>17470</v>
      </c>
      <c r="C919" t="s">
        <v>74</v>
      </c>
      <c r="D919" t="s">
        <v>74</v>
      </c>
      <c r="E919" t="s">
        <v>74</v>
      </c>
      <c r="F919" t="s">
        <v>17471</v>
      </c>
      <c r="G919" t="s">
        <v>74</v>
      </c>
      <c r="H919" t="s">
        <v>74</v>
      </c>
      <c r="I919" t="s">
        <v>17472</v>
      </c>
      <c r="J919" t="s">
        <v>4475</v>
      </c>
      <c r="K919" t="s">
        <v>74</v>
      </c>
      <c r="L919" t="s">
        <v>74</v>
      </c>
      <c r="M919" t="s">
        <v>78</v>
      </c>
      <c r="N919" t="s">
        <v>3197</v>
      </c>
      <c r="O919" t="s">
        <v>74</v>
      </c>
      <c r="P919" t="s">
        <v>74</v>
      </c>
      <c r="Q919" t="s">
        <v>74</v>
      </c>
      <c r="R919" t="s">
        <v>74</v>
      </c>
      <c r="S919" t="s">
        <v>74</v>
      </c>
      <c r="T919" t="s">
        <v>74</v>
      </c>
      <c r="U919" t="s">
        <v>17473</v>
      </c>
      <c r="V919" t="s">
        <v>17474</v>
      </c>
      <c r="W919" t="s">
        <v>17475</v>
      </c>
      <c r="X919" t="s">
        <v>17476</v>
      </c>
      <c r="Y919" t="s">
        <v>17477</v>
      </c>
      <c r="Z919" t="s">
        <v>17478</v>
      </c>
      <c r="AA919" t="s">
        <v>17479</v>
      </c>
      <c r="AB919" t="s">
        <v>17480</v>
      </c>
      <c r="AC919" t="s">
        <v>17481</v>
      </c>
      <c r="AD919" t="s">
        <v>17482</v>
      </c>
      <c r="AE919" t="s">
        <v>17483</v>
      </c>
      <c r="AF919" t="s">
        <v>74</v>
      </c>
      <c r="AG919">
        <v>41</v>
      </c>
      <c r="AH919">
        <v>2</v>
      </c>
      <c r="AI919">
        <v>2</v>
      </c>
      <c r="AJ919">
        <v>1</v>
      </c>
      <c r="AK919">
        <v>3</v>
      </c>
      <c r="AL919" t="s">
        <v>146</v>
      </c>
      <c r="AM919" t="s">
        <v>147</v>
      </c>
      <c r="AN919" t="s">
        <v>148</v>
      </c>
      <c r="AO919" t="s">
        <v>74</v>
      </c>
      <c r="AP919" t="s">
        <v>4487</v>
      </c>
      <c r="AQ919" t="s">
        <v>74</v>
      </c>
      <c r="AR919" t="s">
        <v>4488</v>
      </c>
      <c r="AS919" t="s">
        <v>4489</v>
      </c>
      <c r="AT919" t="s">
        <v>17412</v>
      </c>
      <c r="AU919">
        <v>2023</v>
      </c>
      <c r="AV919">
        <v>10</v>
      </c>
      <c r="AW919">
        <v>1</v>
      </c>
      <c r="AX919" t="s">
        <v>74</v>
      </c>
      <c r="AY919" t="s">
        <v>74</v>
      </c>
      <c r="AZ919" t="s">
        <v>74</v>
      </c>
      <c r="BA919" t="s">
        <v>74</v>
      </c>
      <c r="BB919" t="s">
        <v>74</v>
      </c>
      <c r="BC919" t="s">
        <v>74</v>
      </c>
      <c r="BD919">
        <v>265</v>
      </c>
      <c r="BE919" t="s">
        <v>17484</v>
      </c>
      <c r="BF919" t="str">
        <f>HYPERLINK("http://dx.doi.org/10.1038/s41597-023-02172-5","http://dx.doi.org/10.1038/s41597-023-02172-5")</f>
        <v>http://dx.doi.org/10.1038/s41597-023-02172-5</v>
      </c>
      <c r="BG919" t="s">
        <v>74</v>
      </c>
      <c r="BH919" t="s">
        <v>74</v>
      </c>
      <c r="BI919">
        <v>13</v>
      </c>
      <c r="BJ919" t="s">
        <v>1881</v>
      </c>
      <c r="BK919" t="s">
        <v>104</v>
      </c>
      <c r="BL919" t="s">
        <v>1882</v>
      </c>
      <c r="BM919" t="s">
        <v>17485</v>
      </c>
      <c r="BN919">
        <v>37164979</v>
      </c>
      <c r="BO919" t="s">
        <v>6754</v>
      </c>
      <c r="BP919" t="s">
        <v>74</v>
      </c>
      <c r="BQ919" t="s">
        <v>74</v>
      </c>
      <c r="BR919" t="s">
        <v>107</v>
      </c>
      <c r="BS919" t="s">
        <v>17486</v>
      </c>
      <c r="BT919" t="str">
        <f>HYPERLINK("https%3A%2F%2Fwww.webofscience.com%2Fwos%2Fwoscc%2Ffull-record%2FWOS:000985826000004","View Full Record in Web of Science")</f>
        <v>View Full Record in Web of Science</v>
      </c>
    </row>
    <row r="920" spans="1:72" x14ac:dyDescent="0.15">
      <c r="A920" t="s">
        <v>72</v>
      </c>
      <c r="B920" t="s">
        <v>17487</v>
      </c>
      <c r="C920" t="s">
        <v>74</v>
      </c>
      <c r="D920" t="s">
        <v>74</v>
      </c>
      <c r="E920" t="s">
        <v>74</v>
      </c>
      <c r="F920" t="s">
        <v>17488</v>
      </c>
      <c r="G920" t="s">
        <v>74</v>
      </c>
      <c r="H920" t="s">
        <v>74</v>
      </c>
      <c r="I920" t="s">
        <v>17489</v>
      </c>
      <c r="J920" t="s">
        <v>11634</v>
      </c>
      <c r="K920" t="s">
        <v>74</v>
      </c>
      <c r="L920" t="s">
        <v>74</v>
      </c>
      <c r="M920" t="s">
        <v>78</v>
      </c>
      <c r="N920" t="s">
        <v>79</v>
      </c>
      <c r="O920" t="s">
        <v>74</v>
      </c>
      <c r="P920" t="s">
        <v>74</v>
      </c>
      <c r="Q920" t="s">
        <v>74</v>
      </c>
      <c r="R920" t="s">
        <v>74</v>
      </c>
      <c r="S920" t="s">
        <v>74</v>
      </c>
      <c r="T920" t="s">
        <v>74</v>
      </c>
      <c r="U920" t="s">
        <v>17490</v>
      </c>
      <c r="V920" t="s">
        <v>74</v>
      </c>
      <c r="W920" t="s">
        <v>17491</v>
      </c>
      <c r="X920" t="s">
        <v>17492</v>
      </c>
      <c r="Y920" t="s">
        <v>7089</v>
      </c>
      <c r="Z920" t="s">
        <v>17493</v>
      </c>
      <c r="AA920" t="s">
        <v>17494</v>
      </c>
      <c r="AB920" t="s">
        <v>17495</v>
      </c>
      <c r="AC920" t="s">
        <v>17496</v>
      </c>
      <c r="AD920" t="s">
        <v>5717</v>
      </c>
      <c r="AE920" t="s">
        <v>17497</v>
      </c>
      <c r="AF920" t="s">
        <v>74</v>
      </c>
      <c r="AG920">
        <v>29</v>
      </c>
      <c r="AH920">
        <v>8</v>
      </c>
      <c r="AI920">
        <v>8</v>
      </c>
      <c r="AJ920">
        <v>2</v>
      </c>
      <c r="AK920">
        <v>5</v>
      </c>
      <c r="AL920" t="s">
        <v>460</v>
      </c>
      <c r="AM920" t="s">
        <v>461</v>
      </c>
      <c r="AN920" t="s">
        <v>462</v>
      </c>
      <c r="AO920" t="s">
        <v>74</v>
      </c>
      <c r="AP920" t="s">
        <v>11646</v>
      </c>
      <c r="AQ920" t="s">
        <v>74</v>
      </c>
      <c r="AR920" t="s">
        <v>11647</v>
      </c>
      <c r="AS920" t="s">
        <v>11648</v>
      </c>
      <c r="AT920" t="s">
        <v>1810</v>
      </c>
      <c r="AU920">
        <v>2023</v>
      </c>
      <c r="AV920">
        <v>8</v>
      </c>
      <c r="AW920">
        <v>5</v>
      </c>
      <c r="AX920" t="s">
        <v>74</v>
      </c>
      <c r="AY920" t="s">
        <v>74</v>
      </c>
      <c r="AZ920" t="s">
        <v>74</v>
      </c>
      <c r="BA920" t="s">
        <v>74</v>
      </c>
      <c r="BB920">
        <v>685</v>
      </c>
      <c r="BC920">
        <v>691</v>
      </c>
      <c r="BD920" t="s">
        <v>74</v>
      </c>
      <c r="BE920" t="s">
        <v>17498</v>
      </c>
      <c r="BF920" t="str">
        <f>HYPERLINK("http://dx.doi.org/10.1002/lol2.10330","http://dx.doi.org/10.1002/lol2.10330")</f>
        <v>http://dx.doi.org/10.1002/lol2.10330</v>
      </c>
      <c r="BG920" t="s">
        <v>74</v>
      </c>
      <c r="BH920" t="s">
        <v>15114</v>
      </c>
      <c r="BI920">
        <v>7</v>
      </c>
      <c r="BJ920" t="s">
        <v>11650</v>
      </c>
      <c r="BK920" t="s">
        <v>104</v>
      </c>
      <c r="BL920" t="s">
        <v>569</v>
      </c>
      <c r="BM920" t="s">
        <v>11651</v>
      </c>
      <c r="BN920" t="s">
        <v>74</v>
      </c>
      <c r="BO920" t="s">
        <v>206</v>
      </c>
      <c r="BP920" t="s">
        <v>74</v>
      </c>
      <c r="BQ920" t="s">
        <v>74</v>
      </c>
      <c r="BR920" t="s">
        <v>107</v>
      </c>
      <c r="BS920" t="s">
        <v>17499</v>
      </c>
      <c r="BT920" t="str">
        <f>HYPERLINK("https%3A%2F%2Fwww.webofscience.com%2Fwos%2Fwoscc%2Ffull-record%2FWOS:000985186200001","View Full Record in Web of Science")</f>
        <v>View Full Record in Web of Science</v>
      </c>
    </row>
    <row r="921" spans="1:72" x14ac:dyDescent="0.15">
      <c r="A921" t="s">
        <v>72</v>
      </c>
      <c r="B921" t="s">
        <v>17500</v>
      </c>
      <c r="C921" t="s">
        <v>74</v>
      </c>
      <c r="D921" t="s">
        <v>74</v>
      </c>
      <c r="E921" t="s">
        <v>74</v>
      </c>
      <c r="F921" t="s">
        <v>17501</v>
      </c>
      <c r="G921" t="s">
        <v>74</v>
      </c>
      <c r="H921" t="s">
        <v>74</v>
      </c>
      <c r="I921" t="s">
        <v>17502</v>
      </c>
      <c r="J921" t="s">
        <v>1763</v>
      </c>
      <c r="K921" t="s">
        <v>74</v>
      </c>
      <c r="L921" t="s">
        <v>74</v>
      </c>
      <c r="M921" t="s">
        <v>78</v>
      </c>
      <c r="N921" t="s">
        <v>79</v>
      </c>
      <c r="O921" t="s">
        <v>74</v>
      </c>
      <c r="P921" t="s">
        <v>74</v>
      </c>
      <c r="Q921" t="s">
        <v>74</v>
      </c>
      <c r="R921" t="s">
        <v>74</v>
      </c>
      <c r="S921" t="s">
        <v>74</v>
      </c>
      <c r="T921" t="s">
        <v>74</v>
      </c>
      <c r="U921" t="s">
        <v>17503</v>
      </c>
      <c r="V921" t="s">
        <v>17504</v>
      </c>
      <c r="W921" t="s">
        <v>17505</v>
      </c>
      <c r="X921" t="s">
        <v>17506</v>
      </c>
      <c r="Y921" t="s">
        <v>17507</v>
      </c>
      <c r="Z921" t="s">
        <v>17508</v>
      </c>
      <c r="AA921" t="s">
        <v>17509</v>
      </c>
      <c r="AB921" t="s">
        <v>17510</v>
      </c>
      <c r="AC921" t="s">
        <v>17511</v>
      </c>
      <c r="AD921" t="s">
        <v>17512</v>
      </c>
      <c r="AE921" t="s">
        <v>17513</v>
      </c>
      <c r="AF921" t="s">
        <v>74</v>
      </c>
      <c r="AG921">
        <v>72</v>
      </c>
      <c r="AH921">
        <v>2</v>
      </c>
      <c r="AI921">
        <v>2</v>
      </c>
      <c r="AJ921">
        <v>4</v>
      </c>
      <c r="AK921">
        <v>15</v>
      </c>
      <c r="AL921" t="s">
        <v>1775</v>
      </c>
      <c r="AM921" t="s">
        <v>1776</v>
      </c>
      <c r="AN921" t="s">
        <v>1777</v>
      </c>
      <c r="AO921" t="s">
        <v>1778</v>
      </c>
      <c r="AP921" t="s">
        <v>1779</v>
      </c>
      <c r="AQ921" t="s">
        <v>74</v>
      </c>
      <c r="AR921" t="s">
        <v>1763</v>
      </c>
      <c r="AS921" t="s">
        <v>1780</v>
      </c>
      <c r="AT921" t="s">
        <v>17412</v>
      </c>
      <c r="AU921">
        <v>2023</v>
      </c>
      <c r="AV921">
        <v>17</v>
      </c>
      <c r="AW921">
        <v>5</v>
      </c>
      <c r="AX921" t="s">
        <v>74</v>
      </c>
      <c r="AY921" t="s">
        <v>74</v>
      </c>
      <c r="AZ921" t="s">
        <v>74</v>
      </c>
      <c r="BA921" t="s">
        <v>74</v>
      </c>
      <c r="BB921">
        <v>1935</v>
      </c>
      <c r="BC921">
        <v>1965</v>
      </c>
      <c r="BD921" t="s">
        <v>74</v>
      </c>
      <c r="BE921" t="s">
        <v>17514</v>
      </c>
      <c r="BF921" t="str">
        <f>HYPERLINK("http://dx.doi.org/10.5194/tc-17-1935-2023","http://dx.doi.org/10.5194/tc-17-1935-2023")</f>
        <v>http://dx.doi.org/10.5194/tc-17-1935-2023</v>
      </c>
      <c r="BG921" t="s">
        <v>74</v>
      </c>
      <c r="BH921" t="s">
        <v>74</v>
      </c>
      <c r="BI921">
        <v>31</v>
      </c>
      <c r="BJ921" t="s">
        <v>1783</v>
      </c>
      <c r="BK921" t="s">
        <v>104</v>
      </c>
      <c r="BL921" t="s">
        <v>1784</v>
      </c>
      <c r="BM921" t="s">
        <v>17515</v>
      </c>
      <c r="BN921" t="s">
        <v>74</v>
      </c>
      <c r="BO921" t="s">
        <v>3243</v>
      </c>
      <c r="BP921" t="s">
        <v>74</v>
      </c>
      <c r="BQ921" t="s">
        <v>74</v>
      </c>
      <c r="BR921" t="s">
        <v>107</v>
      </c>
      <c r="BS921" t="s">
        <v>17516</v>
      </c>
      <c r="BT921" t="str">
        <f>HYPERLINK("https%3A%2F%2Fwww.webofscience.com%2Fwos%2Fwoscc%2Ffull-record%2FWOS:000985499400001","View Full Record in Web of Science")</f>
        <v>View Full Record in Web of Science</v>
      </c>
    </row>
    <row r="922" spans="1:72" x14ac:dyDescent="0.15">
      <c r="A922" t="s">
        <v>72</v>
      </c>
      <c r="B922" t="s">
        <v>17517</v>
      </c>
      <c r="C922" t="s">
        <v>74</v>
      </c>
      <c r="D922" t="s">
        <v>74</v>
      </c>
      <c r="E922" t="s">
        <v>74</v>
      </c>
      <c r="F922" t="s">
        <v>17518</v>
      </c>
      <c r="G922" t="s">
        <v>74</v>
      </c>
      <c r="H922" t="s">
        <v>74</v>
      </c>
      <c r="I922" t="s">
        <v>17519</v>
      </c>
      <c r="J922" t="s">
        <v>17520</v>
      </c>
      <c r="K922" t="s">
        <v>74</v>
      </c>
      <c r="L922" t="s">
        <v>74</v>
      </c>
      <c r="M922" t="s">
        <v>78</v>
      </c>
      <c r="N922" t="s">
        <v>79</v>
      </c>
      <c r="O922" t="s">
        <v>74</v>
      </c>
      <c r="P922" t="s">
        <v>74</v>
      </c>
      <c r="Q922" t="s">
        <v>74</v>
      </c>
      <c r="R922" t="s">
        <v>74</v>
      </c>
      <c r="S922" t="s">
        <v>74</v>
      </c>
      <c r="T922" t="s">
        <v>17521</v>
      </c>
      <c r="U922" t="s">
        <v>17522</v>
      </c>
      <c r="V922" t="s">
        <v>17523</v>
      </c>
      <c r="W922" t="s">
        <v>17524</v>
      </c>
      <c r="X922" t="s">
        <v>17525</v>
      </c>
      <c r="Y922" t="s">
        <v>17526</v>
      </c>
      <c r="Z922" t="s">
        <v>17527</v>
      </c>
      <c r="AA922" t="s">
        <v>17528</v>
      </c>
      <c r="AB922" t="s">
        <v>17529</v>
      </c>
      <c r="AC922" t="s">
        <v>17530</v>
      </c>
      <c r="AD922" t="s">
        <v>17531</v>
      </c>
      <c r="AE922" t="s">
        <v>17532</v>
      </c>
      <c r="AF922" t="s">
        <v>74</v>
      </c>
      <c r="AG922">
        <v>79</v>
      </c>
      <c r="AH922">
        <v>1</v>
      </c>
      <c r="AI922">
        <v>1</v>
      </c>
      <c r="AJ922">
        <v>1</v>
      </c>
      <c r="AK922">
        <v>4</v>
      </c>
      <c r="AL922" t="s">
        <v>1803</v>
      </c>
      <c r="AM922" t="s">
        <v>1804</v>
      </c>
      <c r="AN922" t="s">
        <v>1805</v>
      </c>
      <c r="AO922" t="s">
        <v>17533</v>
      </c>
      <c r="AP922" t="s">
        <v>17534</v>
      </c>
      <c r="AQ922" t="s">
        <v>74</v>
      </c>
      <c r="AR922" t="s">
        <v>17535</v>
      </c>
      <c r="AS922" t="s">
        <v>17536</v>
      </c>
      <c r="AT922" t="s">
        <v>17537</v>
      </c>
      <c r="AU922">
        <v>2024</v>
      </c>
      <c r="AV922">
        <v>35</v>
      </c>
      <c r="AW922">
        <v>1</v>
      </c>
      <c r="AX922" t="s">
        <v>74</v>
      </c>
      <c r="AY922" t="s">
        <v>74</v>
      </c>
      <c r="AZ922" t="s">
        <v>74</v>
      </c>
      <c r="BA922" t="s">
        <v>74</v>
      </c>
      <c r="BB922">
        <v>149</v>
      </c>
      <c r="BC922">
        <v>162</v>
      </c>
      <c r="BD922" t="s">
        <v>17538</v>
      </c>
      <c r="BE922" t="s">
        <v>17539</v>
      </c>
      <c r="BF922" t="str">
        <f>HYPERLINK("http://dx.doi.org/10.1017/laq.2023.13","http://dx.doi.org/10.1017/laq.2023.13")</f>
        <v>http://dx.doi.org/10.1017/laq.2023.13</v>
      </c>
      <c r="BG922" t="s">
        <v>74</v>
      </c>
      <c r="BH922" t="s">
        <v>15114</v>
      </c>
      <c r="BI922">
        <v>14</v>
      </c>
      <c r="BJ922" t="s">
        <v>17540</v>
      </c>
      <c r="BK922" t="s">
        <v>17541</v>
      </c>
      <c r="BL922" t="s">
        <v>17540</v>
      </c>
      <c r="BM922" t="s">
        <v>17542</v>
      </c>
      <c r="BN922" t="s">
        <v>74</v>
      </c>
      <c r="BO922" t="s">
        <v>74</v>
      </c>
      <c r="BP922" t="s">
        <v>74</v>
      </c>
      <c r="BQ922" t="s">
        <v>74</v>
      </c>
      <c r="BR922" t="s">
        <v>107</v>
      </c>
      <c r="BS922" t="s">
        <v>17543</v>
      </c>
      <c r="BT922" t="str">
        <f>HYPERLINK("https%3A%2F%2Fwww.webofscience.com%2Fwos%2Fwoscc%2Ffull-record%2FWOS:000985169000001","View Full Record in Web of Science")</f>
        <v>View Full Record in Web of Science</v>
      </c>
    </row>
    <row r="923" spans="1:72" x14ac:dyDescent="0.15">
      <c r="A923" t="s">
        <v>72</v>
      </c>
      <c r="B923" t="s">
        <v>17544</v>
      </c>
      <c r="C923" t="s">
        <v>74</v>
      </c>
      <c r="D923" t="s">
        <v>74</v>
      </c>
      <c r="E923" t="s">
        <v>74</v>
      </c>
      <c r="F923" t="s">
        <v>17545</v>
      </c>
      <c r="G923" t="s">
        <v>74</v>
      </c>
      <c r="H923" t="s">
        <v>74</v>
      </c>
      <c r="I923" t="s">
        <v>17546</v>
      </c>
      <c r="J923" t="s">
        <v>5439</v>
      </c>
      <c r="K923" t="s">
        <v>74</v>
      </c>
      <c r="L923" t="s">
        <v>74</v>
      </c>
      <c r="M923" t="s">
        <v>78</v>
      </c>
      <c r="N923" t="s">
        <v>79</v>
      </c>
      <c r="O923" t="s">
        <v>74</v>
      </c>
      <c r="P923" t="s">
        <v>74</v>
      </c>
      <c r="Q923" t="s">
        <v>74</v>
      </c>
      <c r="R923" t="s">
        <v>74</v>
      </c>
      <c r="S923" t="s">
        <v>74</v>
      </c>
      <c r="T923" t="s">
        <v>17547</v>
      </c>
      <c r="U923" t="s">
        <v>17548</v>
      </c>
      <c r="V923" t="s">
        <v>17549</v>
      </c>
      <c r="W923" t="s">
        <v>17550</v>
      </c>
      <c r="X923" t="s">
        <v>74</v>
      </c>
      <c r="Y923" t="s">
        <v>17551</v>
      </c>
      <c r="Z923" t="s">
        <v>17552</v>
      </c>
      <c r="AA923" t="s">
        <v>15830</v>
      </c>
      <c r="AB923" t="s">
        <v>17553</v>
      </c>
      <c r="AC923" t="s">
        <v>17554</v>
      </c>
      <c r="AD923" t="s">
        <v>17555</v>
      </c>
      <c r="AE923" t="s">
        <v>17556</v>
      </c>
      <c r="AF923" t="s">
        <v>74</v>
      </c>
      <c r="AG923">
        <v>59</v>
      </c>
      <c r="AH923">
        <v>0</v>
      </c>
      <c r="AI923">
        <v>0</v>
      </c>
      <c r="AJ923">
        <v>0</v>
      </c>
      <c r="AK923">
        <v>0</v>
      </c>
      <c r="AL923" t="s">
        <v>369</v>
      </c>
      <c r="AM923" t="s">
        <v>370</v>
      </c>
      <c r="AN923" t="s">
        <v>371</v>
      </c>
      <c r="AO923" t="s">
        <v>74</v>
      </c>
      <c r="AP923" t="s">
        <v>5446</v>
      </c>
      <c r="AQ923" t="s">
        <v>74</v>
      </c>
      <c r="AR923" t="s">
        <v>5439</v>
      </c>
      <c r="AS923" t="s">
        <v>5447</v>
      </c>
      <c r="AT923" t="s">
        <v>17557</v>
      </c>
      <c r="AU923">
        <v>2023</v>
      </c>
      <c r="AV923">
        <v>15</v>
      </c>
      <c r="AW923">
        <v>5</v>
      </c>
      <c r="AX923" t="s">
        <v>74</v>
      </c>
      <c r="AY923" t="s">
        <v>74</v>
      </c>
      <c r="AZ923" t="s">
        <v>74</v>
      </c>
      <c r="BA923" t="s">
        <v>74</v>
      </c>
      <c r="BB923" t="s">
        <v>74</v>
      </c>
      <c r="BC923" t="s">
        <v>74</v>
      </c>
      <c r="BD923">
        <v>638</v>
      </c>
      <c r="BE923" t="s">
        <v>17558</v>
      </c>
      <c r="BF923" t="str">
        <f>HYPERLINK("http://dx.doi.org/10.3390/d15050638","http://dx.doi.org/10.3390/d15050638")</f>
        <v>http://dx.doi.org/10.3390/d15050638</v>
      </c>
      <c r="BG923" t="s">
        <v>74</v>
      </c>
      <c r="BH923" t="s">
        <v>74</v>
      </c>
      <c r="BI923">
        <v>12</v>
      </c>
      <c r="BJ923" t="s">
        <v>3772</v>
      </c>
      <c r="BK923" t="s">
        <v>104</v>
      </c>
      <c r="BL923" t="s">
        <v>1905</v>
      </c>
      <c r="BM923" t="s">
        <v>17559</v>
      </c>
      <c r="BN923" t="s">
        <v>74</v>
      </c>
      <c r="BO923" t="s">
        <v>206</v>
      </c>
      <c r="BP923" t="s">
        <v>74</v>
      </c>
      <c r="BQ923" t="s">
        <v>74</v>
      </c>
      <c r="BR923" t="s">
        <v>107</v>
      </c>
      <c r="BS923" t="s">
        <v>17560</v>
      </c>
      <c r="BT923" t="str">
        <f>HYPERLINK("https%3A%2F%2Fwww.webofscience.com%2Fwos%2Fwoscc%2Ffull-record%2FWOS:000996929200001","View Full Record in Web of Science")</f>
        <v>View Full Record in Web of Science</v>
      </c>
    </row>
    <row r="924" spans="1:72" x14ac:dyDescent="0.15">
      <c r="A924" t="s">
        <v>72</v>
      </c>
      <c r="B924" t="s">
        <v>17561</v>
      </c>
      <c r="C924" t="s">
        <v>74</v>
      </c>
      <c r="D924" t="s">
        <v>74</v>
      </c>
      <c r="E924" t="s">
        <v>74</v>
      </c>
      <c r="F924" t="s">
        <v>17562</v>
      </c>
      <c r="G924" t="s">
        <v>74</v>
      </c>
      <c r="H924" t="s">
        <v>74</v>
      </c>
      <c r="I924" t="s">
        <v>17563</v>
      </c>
      <c r="J924" t="s">
        <v>17564</v>
      </c>
      <c r="K924" t="s">
        <v>74</v>
      </c>
      <c r="L924" t="s">
        <v>74</v>
      </c>
      <c r="M924" t="s">
        <v>78</v>
      </c>
      <c r="N924" t="s">
        <v>79</v>
      </c>
      <c r="O924" t="s">
        <v>74</v>
      </c>
      <c r="P924" t="s">
        <v>74</v>
      </c>
      <c r="Q924" t="s">
        <v>74</v>
      </c>
      <c r="R924" t="s">
        <v>74</v>
      </c>
      <c r="S924" t="s">
        <v>74</v>
      </c>
      <c r="T924" t="s">
        <v>17565</v>
      </c>
      <c r="U924" t="s">
        <v>17566</v>
      </c>
      <c r="V924" t="s">
        <v>17567</v>
      </c>
      <c r="W924" t="s">
        <v>17568</v>
      </c>
      <c r="X924" t="s">
        <v>17569</v>
      </c>
      <c r="Y924" t="s">
        <v>17570</v>
      </c>
      <c r="Z924" t="s">
        <v>17571</v>
      </c>
      <c r="AA924" t="s">
        <v>17572</v>
      </c>
      <c r="AB924" t="s">
        <v>17573</v>
      </c>
      <c r="AC924" t="s">
        <v>17574</v>
      </c>
      <c r="AD924" t="s">
        <v>17575</v>
      </c>
      <c r="AE924" t="s">
        <v>17576</v>
      </c>
      <c r="AF924" t="s">
        <v>74</v>
      </c>
      <c r="AG924">
        <v>72</v>
      </c>
      <c r="AH924">
        <v>3</v>
      </c>
      <c r="AI924">
        <v>3</v>
      </c>
      <c r="AJ924">
        <v>7</v>
      </c>
      <c r="AK924">
        <v>14</v>
      </c>
      <c r="AL924" t="s">
        <v>17096</v>
      </c>
      <c r="AM924" t="s">
        <v>17097</v>
      </c>
      <c r="AN924" t="s">
        <v>17098</v>
      </c>
      <c r="AO924" t="s">
        <v>17577</v>
      </c>
      <c r="AP924" t="s">
        <v>17578</v>
      </c>
      <c r="AQ924" t="s">
        <v>74</v>
      </c>
      <c r="AR924" t="s">
        <v>17579</v>
      </c>
      <c r="AS924" t="s">
        <v>17580</v>
      </c>
      <c r="AT924" t="s">
        <v>3612</v>
      </c>
      <c r="AU924">
        <v>2023</v>
      </c>
      <c r="AV924">
        <v>46</v>
      </c>
      <c r="AW924">
        <v>4</v>
      </c>
      <c r="AX924" t="s">
        <v>74</v>
      </c>
      <c r="AY924" t="s">
        <v>74</v>
      </c>
      <c r="AZ924" t="s">
        <v>74</v>
      </c>
      <c r="BA924" t="s">
        <v>74</v>
      </c>
      <c r="BB924" t="s">
        <v>74</v>
      </c>
      <c r="BC924" t="s">
        <v>74</v>
      </c>
      <c r="BD924">
        <v>126424</v>
      </c>
      <c r="BE924" t="s">
        <v>17581</v>
      </c>
      <c r="BF924" t="str">
        <f>HYPERLINK("http://dx.doi.org/10.1016/j.syapm.2023.126424","http://dx.doi.org/10.1016/j.syapm.2023.126424")</f>
        <v>http://dx.doi.org/10.1016/j.syapm.2023.126424</v>
      </c>
      <c r="BG924" t="s">
        <v>74</v>
      </c>
      <c r="BH924" t="s">
        <v>15114</v>
      </c>
      <c r="BI924">
        <v>9</v>
      </c>
      <c r="BJ924" t="s">
        <v>17582</v>
      </c>
      <c r="BK924" t="s">
        <v>104</v>
      </c>
      <c r="BL924" t="s">
        <v>17582</v>
      </c>
      <c r="BM924" t="s">
        <v>17583</v>
      </c>
      <c r="BN924">
        <v>37167755</v>
      </c>
      <c r="BO924" t="s">
        <v>74</v>
      </c>
      <c r="BP924" t="s">
        <v>74</v>
      </c>
      <c r="BQ924" t="s">
        <v>74</v>
      </c>
      <c r="BR924" t="s">
        <v>107</v>
      </c>
      <c r="BS924" t="s">
        <v>17584</v>
      </c>
      <c r="BT924" t="str">
        <f>HYPERLINK("https%3A%2F%2Fwww.webofscience.com%2Fwos%2Fwoscc%2Ffull-record%2FWOS:001001607000001","View Full Record in Web of Science")</f>
        <v>View Full Record in Web of Science</v>
      </c>
    </row>
    <row r="925" spans="1:72" x14ac:dyDescent="0.15">
      <c r="A925" t="s">
        <v>72</v>
      </c>
      <c r="B925" t="s">
        <v>17585</v>
      </c>
      <c r="C925" t="s">
        <v>74</v>
      </c>
      <c r="D925" t="s">
        <v>74</v>
      </c>
      <c r="E925" t="s">
        <v>74</v>
      </c>
      <c r="F925" t="s">
        <v>17586</v>
      </c>
      <c r="G925" t="s">
        <v>74</v>
      </c>
      <c r="H925" t="s">
        <v>74</v>
      </c>
      <c r="I925" t="s">
        <v>17587</v>
      </c>
      <c r="J925" t="s">
        <v>4327</v>
      </c>
      <c r="K925" t="s">
        <v>74</v>
      </c>
      <c r="L925" t="s">
        <v>74</v>
      </c>
      <c r="M925" t="s">
        <v>78</v>
      </c>
      <c r="N925" t="s">
        <v>79</v>
      </c>
      <c r="O925" t="s">
        <v>74</v>
      </c>
      <c r="P925" t="s">
        <v>74</v>
      </c>
      <c r="Q925" t="s">
        <v>74</v>
      </c>
      <c r="R925" t="s">
        <v>74</v>
      </c>
      <c r="S925" t="s">
        <v>74</v>
      </c>
      <c r="T925" t="s">
        <v>17588</v>
      </c>
      <c r="U925" t="s">
        <v>17589</v>
      </c>
      <c r="V925" t="s">
        <v>17590</v>
      </c>
      <c r="W925" t="s">
        <v>17591</v>
      </c>
      <c r="X925" t="s">
        <v>17592</v>
      </c>
      <c r="Y925" t="s">
        <v>17593</v>
      </c>
      <c r="Z925" t="s">
        <v>17594</v>
      </c>
      <c r="AA925" t="s">
        <v>17595</v>
      </c>
      <c r="AB925" t="s">
        <v>17596</v>
      </c>
      <c r="AC925" t="s">
        <v>17597</v>
      </c>
      <c r="AD925" t="s">
        <v>17598</v>
      </c>
      <c r="AE925" t="s">
        <v>17599</v>
      </c>
      <c r="AF925" t="s">
        <v>74</v>
      </c>
      <c r="AG925">
        <v>86</v>
      </c>
      <c r="AH925">
        <v>1</v>
      </c>
      <c r="AI925">
        <v>1</v>
      </c>
      <c r="AJ925">
        <v>3</v>
      </c>
      <c r="AK925">
        <v>8</v>
      </c>
      <c r="AL925" t="s">
        <v>994</v>
      </c>
      <c r="AM925" t="s">
        <v>995</v>
      </c>
      <c r="AN925" t="s">
        <v>996</v>
      </c>
      <c r="AO925" t="s">
        <v>74</v>
      </c>
      <c r="AP925" t="s">
        <v>4340</v>
      </c>
      <c r="AQ925" t="s">
        <v>74</v>
      </c>
      <c r="AR925" t="s">
        <v>4341</v>
      </c>
      <c r="AS925" t="s">
        <v>4342</v>
      </c>
      <c r="AT925" t="s">
        <v>17557</v>
      </c>
      <c r="AU925">
        <v>2023</v>
      </c>
      <c r="AV925">
        <v>11</v>
      </c>
      <c r="AW925" t="s">
        <v>74</v>
      </c>
      <c r="AX925" t="s">
        <v>74</v>
      </c>
      <c r="AY925" t="s">
        <v>74</v>
      </c>
      <c r="AZ925" t="s">
        <v>74</v>
      </c>
      <c r="BA925" t="s">
        <v>74</v>
      </c>
      <c r="BB925" t="s">
        <v>74</v>
      </c>
      <c r="BC925" t="s">
        <v>74</v>
      </c>
      <c r="BD925">
        <v>1154115</v>
      </c>
      <c r="BE925" t="s">
        <v>17600</v>
      </c>
      <c r="BF925" t="str">
        <f>HYPERLINK("http://dx.doi.org/10.3389/fenvs.2023.1154115","http://dx.doi.org/10.3389/fenvs.2023.1154115")</f>
        <v>http://dx.doi.org/10.3389/fenvs.2023.1154115</v>
      </c>
      <c r="BG925" t="s">
        <v>74</v>
      </c>
      <c r="BH925" t="s">
        <v>74</v>
      </c>
      <c r="BI925">
        <v>11</v>
      </c>
      <c r="BJ925" t="s">
        <v>2050</v>
      </c>
      <c r="BK925" t="s">
        <v>104</v>
      </c>
      <c r="BL925" t="s">
        <v>1535</v>
      </c>
      <c r="BM925" t="s">
        <v>17601</v>
      </c>
      <c r="BN925" t="s">
        <v>74</v>
      </c>
      <c r="BO925" t="s">
        <v>4045</v>
      </c>
      <c r="BP925" t="s">
        <v>74</v>
      </c>
      <c r="BQ925" t="s">
        <v>74</v>
      </c>
      <c r="BR925" t="s">
        <v>107</v>
      </c>
      <c r="BS925" t="s">
        <v>17602</v>
      </c>
      <c r="BT925" t="str">
        <f>HYPERLINK("https%3A%2F%2Fwww.webofscience.com%2Fwos%2Fwoscc%2Ffull-record%2FWOS:001000329600001","View Full Record in Web of Science")</f>
        <v>View Full Record in Web of Science</v>
      </c>
    </row>
    <row r="926" spans="1:72" x14ac:dyDescent="0.15">
      <c r="A926" t="s">
        <v>72</v>
      </c>
      <c r="B926" t="s">
        <v>17603</v>
      </c>
      <c r="C926" t="s">
        <v>74</v>
      </c>
      <c r="D926" t="s">
        <v>74</v>
      </c>
      <c r="E926" t="s">
        <v>74</v>
      </c>
      <c r="F926" t="s">
        <v>17604</v>
      </c>
      <c r="G926" t="s">
        <v>74</v>
      </c>
      <c r="H926" t="s">
        <v>74</v>
      </c>
      <c r="I926" t="s">
        <v>17605</v>
      </c>
      <c r="J926" t="s">
        <v>2031</v>
      </c>
      <c r="K926" t="s">
        <v>74</v>
      </c>
      <c r="L926" t="s">
        <v>74</v>
      </c>
      <c r="M926" t="s">
        <v>78</v>
      </c>
      <c r="N926" t="s">
        <v>79</v>
      </c>
      <c r="O926" t="s">
        <v>74</v>
      </c>
      <c r="P926" t="s">
        <v>74</v>
      </c>
      <c r="Q926" t="s">
        <v>74</v>
      </c>
      <c r="R926" t="s">
        <v>74</v>
      </c>
      <c r="S926" t="s">
        <v>74</v>
      </c>
      <c r="T926" t="s">
        <v>17606</v>
      </c>
      <c r="U926" t="s">
        <v>17607</v>
      </c>
      <c r="V926" t="s">
        <v>17608</v>
      </c>
      <c r="W926" t="s">
        <v>17609</v>
      </c>
      <c r="X926" t="s">
        <v>17610</v>
      </c>
      <c r="Y926" t="s">
        <v>17611</v>
      </c>
      <c r="Z926" t="s">
        <v>17612</v>
      </c>
      <c r="AA926" t="s">
        <v>17613</v>
      </c>
      <c r="AB926" t="s">
        <v>17614</v>
      </c>
      <c r="AC926" t="s">
        <v>17615</v>
      </c>
      <c r="AD926" t="s">
        <v>17616</v>
      </c>
      <c r="AE926" t="s">
        <v>17617</v>
      </c>
      <c r="AF926" t="s">
        <v>74</v>
      </c>
      <c r="AG926">
        <v>66</v>
      </c>
      <c r="AH926">
        <v>1</v>
      </c>
      <c r="AI926">
        <v>1</v>
      </c>
      <c r="AJ926">
        <v>16</v>
      </c>
      <c r="AK926">
        <v>39</v>
      </c>
      <c r="AL926" t="s">
        <v>172</v>
      </c>
      <c r="AM926" t="s">
        <v>173</v>
      </c>
      <c r="AN926" t="s">
        <v>174</v>
      </c>
      <c r="AO926" t="s">
        <v>2044</v>
      </c>
      <c r="AP926" t="s">
        <v>2045</v>
      </c>
      <c r="AQ926" t="s">
        <v>74</v>
      </c>
      <c r="AR926" t="s">
        <v>2046</v>
      </c>
      <c r="AS926" t="s">
        <v>2047</v>
      </c>
      <c r="AT926" t="s">
        <v>3551</v>
      </c>
      <c r="AU926">
        <v>2023</v>
      </c>
      <c r="AV926">
        <v>886</v>
      </c>
      <c r="AW926" t="s">
        <v>74</v>
      </c>
      <c r="AX926" t="s">
        <v>74</v>
      </c>
      <c r="AY926" t="s">
        <v>74</v>
      </c>
      <c r="AZ926" t="s">
        <v>74</v>
      </c>
      <c r="BA926" t="s">
        <v>74</v>
      </c>
      <c r="BB926" t="s">
        <v>74</v>
      </c>
      <c r="BC926" t="s">
        <v>74</v>
      </c>
      <c r="BD926">
        <v>163979</v>
      </c>
      <c r="BE926" t="s">
        <v>17618</v>
      </c>
      <c r="BF926" t="str">
        <f>HYPERLINK("http://dx.doi.org/10.1016/j.scitotenv.2023.163979","http://dx.doi.org/10.1016/j.scitotenv.2023.163979")</f>
        <v>http://dx.doi.org/10.1016/j.scitotenv.2023.163979</v>
      </c>
      <c r="BG926" t="s">
        <v>74</v>
      </c>
      <c r="BH926" t="s">
        <v>15114</v>
      </c>
      <c r="BI926">
        <v>10</v>
      </c>
      <c r="BJ926" t="s">
        <v>2050</v>
      </c>
      <c r="BK926" t="s">
        <v>104</v>
      </c>
      <c r="BL926" t="s">
        <v>1535</v>
      </c>
      <c r="BM926" t="s">
        <v>17619</v>
      </c>
      <c r="BN926">
        <v>37164088</v>
      </c>
      <c r="BO926" t="s">
        <v>74</v>
      </c>
      <c r="BP926" t="s">
        <v>74</v>
      </c>
      <c r="BQ926" t="s">
        <v>74</v>
      </c>
      <c r="BR926" t="s">
        <v>107</v>
      </c>
      <c r="BS926" t="s">
        <v>17620</v>
      </c>
      <c r="BT926" t="str">
        <f>HYPERLINK("https%3A%2F%2Fwww.webofscience.com%2Fwos%2Fwoscc%2Ffull-record%2FWOS:001000664100001","View Full Record in Web of Science")</f>
        <v>View Full Record in Web of Science</v>
      </c>
    </row>
    <row r="927" spans="1:72" x14ac:dyDescent="0.15">
      <c r="A927" t="s">
        <v>72</v>
      </c>
      <c r="B927" t="s">
        <v>17621</v>
      </c>
      <c r="C927" t="s">
        <v>74</v>
      </c>
      <c r="D927" t="s">
        <v>74</v>
      </c>
      <c r="E927" t="s">
        <v>74</v>
      </c>
      <c r="F927" t="s">
        <v>17622</v>
      </c>
      <c r="G927" t="s">
        <v>74</v>
      </c>
      <c r="H927" t="s">
        <v>74</v>
      </c>
      <c r="I927" t="s">
        <v>17623</v>
      </c>
      <c r="J927" t="s">
        <v>3334</v>
      </c>
      <c r="K927" t="s">
        <v>74</v>
      </c>
      <c r="L927" t="s">
        <v>74</v>
      </c>
      <c r="M927" t="s">
        <v>78</v>
      </c>
      <c r="N927" t="s">
        <v>79</v>
      </c>
      <c r="O927" t="s">
        <v>74</v>
      </c>
      <c r="P927" t="s">
        <v>74</v>
      </c>
      <c r="Q927" t="s">
        <v>74</v>
      </c>
      <c r="R927" t="s">
        <v>74</v>
      </c>
      <c r="S927" t="s">
        <v>74</v>
      </c>
      <c r="T927" t="s">
        <v>74</v>
      </c>
      <c r="U927" t="s">
        <v>17624</v>
      </c>
      <c r="V927" t="s">
        <v>17625</v>
      </c>
      <c r="W927" t="s">
        <v>17626</v>
      </c>
      <c r="X927" t="s">
        <v>17627</v>
      </c>
      <c r="Y927" t="s">
        <v>17628</v>
      </c>
      <c r="Z927" t="s">
        <v>17629</v>
      </c>
      <c r="AA927" t="s">
        <v>17630</v>
      </c>
      <c r="AB927" t="s">
        <v>17631</v>
      </c>
      <c r="AC927" t="s">
        <v>17632</v>
      </c>
      <c r="AD927" t="s">
        <v>17633</v>
      </c>
      <c r="AE927" t="s">
        <v>17634</v>
      </c>
      <c r="AF927" t="s">
        <v>74</v>
      </c>
      <c r="AG927">
        <v>93</v>
      </c>
      <c r="AH927">
        <v>0</v>
      </c>
      <c r="AI927">
        <v>0</v>
      </c>
      <c r="AJ927">
        <v>2</v>
      </c>
      <c r="AK927">
        <v>4</v>
      </c>
      <c r="AL927" t="s">
        <v>1775</v>
      </c>
      <c r="AM927" t="s">
        <v>1776</v>
      </c>
      <c r="AN927" t="s">
        <v>1777</v>
      </c>
      <c r="AO927" t="s">
        <v>3346</v>
      </c>
      <c r="AP927" t="s">
        <v>3347</v>
      </c>
      <c r="AQ927" t="s">
        <v>74</v>
      </c>
      <c r="AR927" t="s">
        <v>3348</v>
      </c>
      <c r="AS927" t="s">
        <v>3349</v>
      </c>
      <c r="AT927" t="s">
        <v>17557</v>
      </c>
      <c r="AU927">
        <v>2023</v>
      </c>
      <c r="AV927">
        <v>19</v>
      </c>
      <c r="AW927">
        <v>5</v>
      </c>
      <c r="AX927" t="s">
        <v>74</v>
      </c>
      <c r="AY927" t="s">
        <v>74</v>
      </c>
      <c r="AZ927" t="s">
        <v>74</v>
      </c>
      <c r="BA927" t="s">
        <v>74</v>
      </c>
      <c r="BB927">
        <v>943</v>
      </c>
      <c r="BC927">
        <v>957</v>
      </c>
      <c r="BD927" t="s">
        <v>74</v>
      </c>
      <c r="BE927" t="s">
        <v>17635</v>
      </c>
      <c r="BF927" t="str">
        <f>HYPERLINK("http://dx.doi.org/10.5194/cp-19-943-2023","http://dx.doi.org/10.5194/cp-19-943-2023")</f>
        <v>http://dx.doi.org/10.5194/cp-19-943-2023</v>
      </c>
      <c r="BG927" t="s">
        <v>74</v>
      </c>
      <c r="BH927" t="s">
        <v>74</v>
      </c>
      <c r="BI927">
        <v>15</v>
      </c>
      <c r="BJ927" t="s">
        <v>3351</v>
      </c>
      <c r="BK927" t="s">
        <v>104</v>
      </c>
      <c r="BL927" t="s">
        <v>3352</v>
      </c>
      <c r="BM927" t="s">
        <v>17636</v>
      </c>
      <c r="BN927" t="s">
        <v>74</v>
      </c>
      <c r="BO927" t="s">
        <v>771</v>
      </c>
      <c r="BP927" t="s">
        <v>74</v>
      </c>
      <c r="BQ927" t="s">
        <v>74</v>
      </c>
      <c r="BR927" t="s">
        <v>107</v>
      </c>
      <c r="BS927" t="s">
        <v>17637</v>
      </c>
      <c r="BT927" t="str">
        <f>HYPERLINK("https%3A%2F%2Fwww.webofscience.com%2Fwos%2Fwoscc%2Ffull-record%2FWOS:000984655800001","View Full Record in Web of Science")</f>
        <v>View Full Record in Web of Science</v>
      </c>
    </row>
    <row r="928" spans="1:72" x14ac:dyDescent="0.15">
      <c r="A928" t="s">
        <v>72</v>
      </c>
      <c r="B928" t="s">
        <v>17638</v>
      </c>
      <c r="C928" t="s">
        <v>74</v>
      </c>
      <c r="D928" t="s">
        <v>74</v>
      </c>
      <c r="E928" t="s">
        <v>74</v>
      </c>
      <c r="F928" t="s">
        <v>17639</v>
      </c>
      <c r="G928" t="s">
        <v>74</v>
      </c>
      <c r="H928" t="s">
        <v>74</v>
      </c>
      <c r="I928" t="s">
        <v>17640</v>
      </c>
      <c r="J928" t="s">
        <v>983</v>
      </c>
      <c r="K928" t="s">
        <v>74</v>
      </c>
      <c r="L928" t="s">
        <v>74</v>
      </c>
      <c r="M928" t="s">
        <v>78</v>
      </c>
      <c r="N928" t="s">
        <v>79</v>
      </c>
      <c r="O928" t="s">
        <v>74</v>
      </c>
      <c r="P928" t="s">
        <v>74</v>
      </c>
      <c r="Q928" t="s">
        <v>74</v>
      </c>
      <c r="R928" t="s">
        <v>74</v>
      </c>
      <c r="S928" t="s">
        <v>74</v>
      </c>
      <c r="T928" t="s">
        <v>17641</v>
      </c>
      <c r="U928" t="s">
        <v>17642</v>
      </c>
      <c r="V928" t="s">
        <v>17643</v>
      </c>
      <c r="W928" t="s">
        <v>17644</v>
      </c>
      <c r="X928" t="s">
        <v>17645</v>
      </c>
      <c r="Y928" t="s">
        <v>17646</v>
      </c>
      <c r="Z928" t="s">
        <v>17647</v>
      </c>
      <c r="AA928" t="s">
        <v>17648</v>
      </c>
      <c r="AB928" t="s">
        <v>17649</v>
      </c>
      <c r="AC928" t="s">
        <v>17650</v>
      </c>
      <c r="AD928" t="s">
        <v>17651</v>
      </c>
      <c r="AE928" t="s">
        <v>17652</v>
      </c>
      <c r="AF928" t="s">
        <v>74</v>
      </c>
      <c r="AG928">
        <v>85</v>
      </c>
      <c r="AH928">
        <v>3</v>
      </c>
      <c r="AI928">
        <v>3</v>
      </c>
      <c r="AJ928">
        <v>9</v>
      </c>
      <c r="AK928">
        <v>13</v>
      </c>
      <c r="AL928" t="s">
        <v>994</v>
      </c>
      <c r="AM928" t="s">
        <v>995</v>
      </c>
      <c r="AN928" t="s">
        <v>996</v>
      </c>
      <c r="AO928" t="s">
        <v>74</v>
      </c>
      <c r="AP928" t="s">
        <v>997</v>
      </c>
      <c r="AQ928" t="s">
        <v>74</v>
      </c>
      <c r="AR928" t="s">
        <v>998</v>
      </c>
      <c r="AS928" t="s">
        <v>999</v>
      </c>
      <c r="AT928" t="s">
        <v>17557</v>
      </c>
      <c r="AU928">
        <v>2023</v>
      </c>
      <c r="AV928">
        <v>10</v>
      </c>
      <c r="AW928" t="s">
        <v>74</v>
      </c>
      <c r="AX928" t="s">
        <v>74</v>
      </c>
      <c r="AY928" t="s">
        <v>74</v>
      </c>
      <c r="AZ928" t="s">
        <v>74</v>
      </c>
      <c r="BA928" t="s">
        <v>74</v>
      </c>
      <c r="BB928" t="s">
        <v>74</v>
      </c>
      <c r="BC928" t="s">
        <v>74</v>
      </c>
      <c r="BD928">
        <v>1148899</v>
      </c>
      <c r="BE928" t="s">
        <v>17653</v>
      </c>
      <c r="BF928" t="str">
        <f>HYPERLINK("http://dx.doi.org/10.3389/fmars.2023.1148899","http://dx.doi.org/10.3389/fmars.2023.1148899")</f>
        <v>http://dx.doi.org/10.3389/fmars.2023.1148899</v>
      </c>
      <c r="BG928" t="s">
        <v>74</v>
      </c>
      <c r="BH928" t="s">
        <v>74</v>
      </c>
      <c r="BI928">
        <v>17</v>
      </c>
      <c r="BJ928" t="s">
        <v>1001</v>
      </c>
      <c r="BK928" t="s">
        <v>104</v>
      </c>
      <c r="BL928" t="s">
        <v>1002</v>
      </c>
      <c r="BM928" t="s">
        <v>17654</v>
      </c>
      <c r="BN928" t="s">
        <v>74</v>
      </c>
      <c r="BO928" t="s">
        <v>181</v>
      </c>
      <c r="BP928" t="s">
        <v>74</v>
      </c>
      <c r="BQ928" t="s">
        <v>74</v>
      </c>
      <c r="BR928" t="s">
        <v>107</v>
      </c>
      <c r="BS928" t="s">
        <v>17655</v>
      </c>
      <c r="BT928" t="str">
        <f>HYPERLINK("https%3A%2F%2Fwww.webofscience.com%2Fwos%2Fwoscc%2Ffull-record%2FWOS:000994436400001","View Full Record in Web of Science")</f>
        <v>View Full Record in Web of Science</v>
      </c>
    </row>
    <row r="929" spans="1:72" x14ac:dyDescent="0.15">
      <c r="A929" t="s">
        <v>72</v>
      </c>
      <c r="B929" t="s">
        <v>17656</v>
      </c>
      <c r="C929" t="s">
        <v>74</v>
      </c>
      <c r="D929" t="s">
        <v>74</v>
      </c>
      <c r="E929" t="s">
        <v>74</v>
      </c>
      <c r="F929" t="s">
        <v>17657</v>
      </c>
      <c r="G929" t="s">
        <v>74</v>
      </c>
      <c r="H929" t="s">
        <v>74</v>
      </c>
      <c r="I929" t="s">
        <v>17658</v>
      </c>
      <c r="J929" t="s">
        <v>17659</v>
      </c>
      <c r="K929" t="s">
        <v>74</v>
      </c>
      <c r="L929" t="s">
        <v>74</v>
      </c>
      <c r="M929" t="s">
        <v>78</v>
      </c>
      <c r="N929" t="s">
        <v>79</v>
      </c>
      <c r="O929" t="s">
        <v>74</v>
      </c>
      <c r="P929" t="s">
        <v>74</v>
      </c>
      <c r="Q929" t="s">
        <v>74</v>
      </c>
      <c r="R929" t="s">
        <v>74</v>
      </c>
      <c r="S929" t="s">
        <v>74</v>
      </c>
      <c r="T929" t="s">
        <v>17660</v>
      </c>
      <c r="U929" t="s">
        <v>17661</v>
      </c>
      <c r="V929" t="s">
        <v>17662</v>
      </c>
      <c r="W929" t="s">
        <v>17663</v>
      </c>
      <c r="X929" t="s">
        <v>17664</v>
      </c>
      <c r="Y929" t="s">
        <v>17665</v>
      </c>
      <c r="Z929" t="s">
        <v>17666</v>
      </c>
      <c r="AA929" t="s">
        <v>17667</v>
      </c>
      <c r="AB929" t="s">
        <v>74</v>
      </c>
      <c r="AC929" t="s">
        <v>17668</v>
      </c>
      <c r="AD929" t="s">
        <v>17669</v>
      </c>
      <c r="AE929" t="s">
        <v>17670</v>
      </c>
      <c r="AF929" t="s">
        <v>74</v>
      </c>
      <c r="AG929">
        <v>53</v>
      </c>
      <c r="AH929">
        <v>2</v>
      </c>
      <c r="AI929">
        <v>2</v>
      </c>
      <c r="AJ929">
        <v>13</v>
      </c>
      <c r="AK929">
        <v>25</v>
      </c>
      <c r="AL929" t="s">
        <v>17671</v>
      </c>
      <c r="AM929" t="s">
        <v>17672</v>
      </c>
      <c r="AN929" t="s">
        <v>17673</v>
      </c>
      <c r="AO929" t="s">
        <v>17674</v>
      </c>
      <c r="AP929" t="s">
        <v>17675</v>
      </c>
      <c r="AQ929" t="s">
        <v>74</v>
      </c>
      <c r="AR929" t="s">
        <v>17676</v>
      </c>
      <c r="AS929" t="s">
        <v>17677</v>
      </c>
      <c r="AT929" t="s">
        <v>97</v>
      </c>
      <c r="AU929">
        <v>2023</v>
      </c>
      <c r="AV929">
        <v>36</v>
      </c>
      <c r="AW929">
        <v>9</v>
      </c>
      <c r="AX929" t="s">
        <v>74</v>
      </c>
      <c r="AY929" t="s">
        <v>74</v>
      </c>
      <c r="AZ929" t="s">
        <v>74</v>
      </c>
      <c r="BA929" t="s">
        <v>74</v>
      </c>
      <c r="BB929">
        <v>1421</v>
      </c>
      <c r="BC929">
        <v>1432</v>
      </c>
      <c r="BD929" t="s">
        <v>74</v>
      </c>
      <c r="BE929" t="s">
        <v>17678</v>
      </c>
      <c r="BF929" t="str">
        <f>HYPERLINK("http://dx.doi.org/10.1007/s40195-023-01561-4","http://dx.doi.org/10.1007/s40195-023-01561-4")</f>
        <v>http://dx.doi.org/10.1007/s40195-023-01561-4</v>
      </c>
      <c r="BG929" t="s">
        <v>74</v>
      </c>
      <c r="BH929" t="s">
        <v>15114</v>
      </c>
      <c r="BI929">
        <v>12</v>
      </c>
      <c r="BJ929" t="s">
        <v>17679</v>
      </c>
      <c r="BK929" t="s">
        <v>104</v>
      </c>
      <c r="BL929" t="s">
        <v>17679</v>
      </c>
      <c r="BM929" t="s">
        <v>17680</v>
      </c>
      <c r="BN929" t="s">
        <v>74</v>
      </c>
      <c r="BO929" t="s">
        <v>133</v>
      </c>
      <c r="BP929" t="s">
        <v>74</v>
      </c>
      <c r="BQ929" t="s">
        <v>74</v>
      </c>
      <c r="BR929" t="s">
        <v>107</v>
      </c>
      <c r="BS929" t="s">
        <v>17681</v>
      </c>
      <c r="BT929" t="str">
        <f>HYPERLINK("https%3A%2F%2Fwww.webofscience.com%2Fwos%2Fwoscc%2Ffull-record%2FWOS:000983567400001","View Full Record in Web of Science")</f>
        <v>View Full Record in Web of Science</v>
      </c>
    </row>
    <row r="930" spans="1:72" x14ac:dyDescent="0.15">
      <c r="A930" t="s">
        <v>72</v>
      </c>
      <c r="B930" t="s">
        <v>17682</v>
      </c>
      <c r="C930" t="s">
        <v>74</v>
      </c>
      <c r="D930" t="s">
        <v>74</v>
      </c>
      <c r="E930" t="s">
        <v>74</v>
      </c>
      <c r="F930" t="s">
        <v>17683</v>
      </c>
      <c r="G930" t="s">
        <v>74</v>
      </c>
      <c r="H930" t="s">
        <v>74</v>
      </c>
      <c r="I930" t="s">
        <v>17684</v>
      </c>
      <c r="J930" t="s">
        <v>17685</v>
      </c>
      <c r="K930" t="s">
        <v>74</v>
      </c>
      <c r="L930" t="s">
        <v>74</v>
      </c>
      <c r="M930" t="s">
        <v>78</v>
      </c>
      <c r="N930" t="s">
        <v>79</v>
      </c>
      <c r="O930" t="s">
        <v>74</v>
      </c>
      <c r="P930" t="s">
        <v>74</v>
      </c>
      <c r="Q930" t="s">
        <v>74</v>
      </c>
      <c r="R930" t="s">
        <v>74</v>
      </c>
      <c r="S930" t="s">
        <v>74</v>
      </c>
      <c r="T930" t="s">
        <v>17686</v>
      </c>
      <c r="U930" t="s">
        <v>17687</v>
      </c>
      <c r="V930" t="s">
        <v>17688</v>
      </c>
      <c r="W930" t="s">
        <v>17689</v>
      </c>
      <c r="X930" t="s">
        <v>17690</v>
      </c>
      <c r="Y930" t="s">
        <v>17691</v>
      </c>
      <c r="Z930" t="s">
        <v>17692</v>
      </c>
      <c r="AA930" t="s">
        <v>17693</v>
      </c>
      <c r="AB930" t="s">
        <v>17694</v>
      </c>
      <c r="AC930" t="s">
        <v>17695</v>
      </c>
      <c r="AD930" t="s">
        <v>17696</v>
      </c>
      <c r="AE930" t="s">
        <v>17697</v>
      </c>
      <c r="AF930" t="s">
        <v>74</v>
      </c>
      <c r="AG930">
        <v>53</v>
      </c>
      <c r="AH930">
        <v>0</v>
      </c>
      <c r="AI930">
        <v>0</v>
      </c>
      <c r="AJ930">
        <v>9</v>
      </c>
      <c r="AK930">
        <v>14</v>
      </c>
      <c r="AL930" t="s">
        <v>2762</v>
      </c>
      <c r="AM930" t="s">
        <v>2763</v>
      </c>
      <c r="AN930" t="s">
        <v>2764</v>
      </c>
      <c r="AO930" t="s">
        <v>17698</v>
      </c>
      <c r="AP930" t="s">
        <v>17699</v>
      </c>
      <c r="AQ930" t="s">
        <v>74</v>
      </c>
      <c r="AR930" t="s">
        <v>17700</v>
      </c>
      <c r="AS930" t="s">
        <v>17701</v>
      </c>
      <c r="AT930" t="s">
        <v>17702</v>
      </c>
      <c r="AU930">
        <v>2024</v>
      </c>
      <c r="AV930">
        <v>103</v>
      </c>
      <c r="AW930">
        <v>4</v>
      </c>
      <c r="AX930" t="s">
        <v>74</v>
      </c>
      <c r="AY930" t="s">
        <v>74</v>
      </c>
      <c r="AZ930" t="s">
        <v>74</v>
      </c>
      <c r="BA930" t="s">
        <v>74</v>
      </c>
      <c r="BB930">
        <v>734</v>
      </c>
      <c r="BC930">
        <v>747</v>
      </c>
      <c r="BD930" t="s">
        <v>74</v>
      </c>
      <c r="BE930" t="s">
        <v>17703</v>
      </c>
      <c r="BF930" t="str">
        <f>HYPERLINK("http://dx.doi.org/10.1080/00036811.2023.2207589","http://dx.doi.org/10.1080/00036811.2023.2207589")</f>
        <v>http://dx.doi.org/10.1080/00036811.2023.2207589</v>
      </c>
      <c r="BG930" t="s">
        <v>74</v>
      </c>
      <c r="BH930" t="s">
        <v>15114</v>
      </c>
      <c r="BI930">
        <v>14</v>
      </c>
      <c r="BJ930" t="s">
        <v>11919</v>
      </c>
      <c r="BK930" t="s">
        <v>104</v>
      </c>
      <c r="BL930" t="s">
        <v>3820</v>
      </c>
      <c r="BM930" t="s">
        <v>17704</v>
      </c>
      <c r="BN930" t="s">
        <v>74</v>
      </c>
      <c r="BO930" t="s">
        <v>1128</v>
      </c>
      <c r="BP930" t="s">
        <v>74</v>
      </c>
      <c r="BQ930" t="s">
        <v>74</v>
      </c>
      <c r="BR930" t="s">
        <v>107</v>
      </c>
      <c r="BS930" t="s">
        <v>17705</v>
      </c>
      <c r="BT930" t="str">
        <f>HYPERLINK("https%3A%2F%2Fwww.webofscience.com%2Fwos%2Fwoscc%2Ffull-record%2FWOS:000983151000001","View Full Record in Web of Science")</f>
        <v>View Full Record in Web of Science</v>
      </c>
    </row>
    <row r="931" spans="1:72" x14ac:dyDescent="0.15">
      <c r="A931" t="s">
        <v>72</v>
      </c>
      <c r="B931" t="s">
        <v>17706</v>
      </c>
      <c r="C931" t="s">
        <v>74</v>
      </c>
      <c r="D931" t="s">
        <v>74</v>
      </c>
      <c r="E931" t="s">
        <v>74</v>
      </c>
      <c r="F931" t="s">
        <v>17707</v>
      </c>
      <c r="G931" t="s">
        <v>74</v>
      </c>
      <c r="H931" t="s">
        <v>74</v>
      </c>
      <c r="I931" t="s">
        <v>17708</v>
      </c>
      <c r="J931" t="s">
        <v>7957</v>
      </c>
      <c r="K931" t="s">
        <v>74</v>
      </c>
      <c r="L931" t="s">
        <v>74</v>
      </c>
      <c r="M931" t="s">
        <v>78</v>
      </c>
      <c r="N931" t="s">
        <v>79</v>
      </c>
      <c r="O931" t="s">
        <v>74</v>
      </c>
      <c r="P931" t="s">
        <v>74</v>
      </c>
      <c r="Q931" t="s">
        <v>74</v>
      </c>
      <c r="R931" t="s">
        <v>74</v>
      </c>
      <c r="S931" t="s">
        <v>74</v>
      </c>
      <c r="T931" t="s">
        <v>17709</v>
      </c>
      <c r="U931" t="s">
        <v>17710</v>
      </c>
      <c r="V931" t="s">
        <v>17711</v>
      </c>
      <c r="W931" t="s">
        <v>17712</v>
      </c>
      <c r="X931" t="s">
        <v>17713</v>
      </c>
      <c r="Y931" t="s">
        <v>17714</v>
      </c>
      <c r="Z931" t="s">
        <v>17715</v>
      </c>
      <c r="AA931" t="s">
        <v>17716</v>
      </c>
      <c r="AB931" t="s">
        <v>17717</v>
      </c>
      <c r="AC931" t="s">
        <v>17718</v>
      </c>
      <c r="AD931" t="s">
        <v>17719</v>
      </c>
      <c r="AE931" t="s">
        <v>17720</v>
      </c>
      <c r="AF931" t="s">
        <v>74</v>
      </c>
      <c r="AG931">
        <v>79</v>
      </c>
      <c r="AH931">
        <v>1</v>
      </c>
      <c r="AI931">
        <v>1</v>
      </c>
      <c r="AJ931">
        <v>1</v>
      </c>
      <c r="AK931">
        <v>1</v>
      </c>
      <c r="AL931" t="s">
        <v>1803</v>
      </c>
      <c r="AM931" t="s">
        <v>1804</v>
      </c>
      <c r="AN931" t="s">
        <v>1805</v>
      </c>
      <c r="AO931" t="s">
        <v>7967</v>
      </c>
      <c r="AP931" t="s">
        <v>7968</v>
      </c>
      <c r="AQ931" t="s">
        <v>74</v>
      </c>
      <c r="AR931" t="s">
        <v>7969</v>
      </c>
      <c r="AS931" t="s">
        <v>7970</v>
      </c>
      <c r="AT931" t="s">
        <v>1810</v>
      </c>
      <c r="AU931">
        <v>2023</v>
      </c>
      <c r="AV931">
        <v>69</v>
      </c>
      <c r="AW931">
        <v>277</v>
      </c>
      <c r="AX931" t="s">
        <v>74</v>
      </c>
      <c r="AY931" t="s">
        <v>74</v>
      </c>
      <c r="AZ931" t="s">
        <v>74</v>
      </c>
      <c r="BA931" t="s">
        <v>74</v>
      </c>
      <c r="BB931">
        <v>1241</v>
      </c>
      <c r="BC931">
        <v>1259</v>
      </c>
      <c r="BD931" t="s">
        <v>17721</v>
      </c>
      <c r="BE931" t="s">
        <v>17722</v>
      </c>
      <c r="BF931" t="str">
        <f>HYPERLINK("http://dx.doi.org/10.1017/jog.2023.13","http://dx.doi.org/10.1017/jog.2023.13")</f>
        <v>http://dx.doi.org/10.1017/jog.2023.13</v>
      </c>
      <c r="BG931" t="s">
        <v>74</v>
      </c>
      <c r="BH931" t="s">
        <v>15114</v>
      </c>
      <c r="BI931">
        <v>19</v>
      </c>
      <c r="BJ931" t="s">
        <v>1783</v>
      </c>
      <c r="BK931" t="s">
        <v>104</v>
      </c>
      <c r="BL931" t="s">
        <v>1784</v>
      </c>
      <c r="BM931" t="s">
        <v>14708</v>
      </c>
      <c r="BN931" t="s">
        <v>74</v>
      </c>
      <c r="BO931" t="s">
        <v>206</v>
      </c>
      <c r="BP931" t="s">
        <v>74</v>
      </c>
      <c r="BQ931" t="s">
        <v>74</v>
      </c>
      <c r="BR931" t="s">
        <v>107</v>
      </c>
      <c r="BS931" t="s">
        <v>17723</v>
      </c>
      <c r="BT931" t="str">
        <f>HYPERLINK("https%3A%2F%2Fwww.webofscience.com%2Fwos%2Fwoscc%2Ffull-record%2FWOS:000984637000001","View Full Record in Web of Science")</f>
        <v>View Full Record in Web of Science</v>
      </c>
    </row>
    <row r="932" spans="1:72" x14ac:dyDescent="0.15">
      <c r="A932" t="s">
        <v>72</v>
      </c>
      <c r="B932" t="s">
        <v>17724</v>
      </c>
      <c r="C932" t="s">
        <v>74</v>
      </c>
      <c r="D932" t="s">
        <v>74</v>
      </c>
      <c r="E932" t="s">
        <v>74</v>
      </c>
      <c r="F932" t="s">
        <v>17725</v>
      </c>
      <c r="G932" t="s">
        <v>74</v>
      </c>
      <c r="H932" t="s">
        <v>74</v>
      </c>
      <c r="I932" t="s">
        <v>17726</v>
      </c>
      <c r="J932" t="s">
        <v>9486</v>
      </c>
      <c r="K932" t="s">
        <v>74</v>
      </c>
      <c r="L932" t="s">
        <v>74</v>
      </c>
      <c r="M932" t="s">
        <v>78</v>
      </c>
      <c r="N932" t="s">
        <v>79</v>
      </c>
      <c r="O932" t="s">
        <v>74</v>
      </c>
      <c r="P932" t="s">
        <v>74</v>
      </c>
      <c r="Q932" t="s">
        <v>74</v>
      </c>
      <c r="R932" t="s">
        <v>74</v>
      </c>
      <c r="S932" t="s">
        <v>74</v>
      </c>
      <c r="T932" t="s">
        <v>17727</v>
      </c>
      <c r="U932" t="s">
        <v>17728</v>
      </c>
      <c r="V932" t="s">
        <v>17729</v>
      </c>
      <c r="W932" t="s">
        <v>17730</v>
      </c>
      <c r="X932" t="s">
        <v>17731</v>
      </c>
      <c r="Y932" t="s">
        <v>17732</v>
      </c>
      <c r="Z932" t="s">
        <v>17733</v>
      </c>
      <c r="AA932" t="s">
        <v>17734</v>
      </c>
      <c r="AB932" t="s">
        <v>17735</v>
      </c>
      <c r="AC932" t="s">
        <v>17736</v>
      </c>
      <c r="AD932" t="s">
        <v>17737</v>
      </c>
      <c r="AE932" t="s">
        <v>17738</v>
      </c>
      <c r="AF932" t="s">
        <v>74</v>
      </c>
      <c r="AG932">
        <v>62</v>
      </c>
      <c r="AH932">
        <v>2</v>
      </c>
      <c r="AI932">
        <v>2</v>
      </c>
      <c r="AJ932">
        <v>2</v>
      </c>
      <c r="AK932">
        <v>8</v>
      </c>
      <c r="AL932" t="s">
        <v>369</v>
      </c>
      <c r="AM932" t="s">
        <v>370</v>
      </c>
      <c r="AN932" t="s">
        <v>371</v>
      </c>
      <c r="AO932" t="s">
        <v>74</v>
      </c>
      <c r="AP932" t="s">
        <v>9496</v>
      </c>
      <c r="AQ932" t="s">
        <v>74</v>
      </c>
      <c r="AR932" t="s">
        <v>9497</v>
      </c>
      <c r="AS932" t="s">
        <v>9498</v>
      </c>
      <c r="AT932" t="s">
        <v>17739</v>
      </c>
      <c r="AU932">
        <v>2023</v>
      </c>
      <c r="AV932">
        <v>14</v>
      </c>
      <c r="AW932">
        <v>5</v>
      </c>
      <c r="AX932" t="s">
        <v>74</v>
      </c>
      <c r="AY932" t="s">
        <v>74</v>
      </c>
      <c r="AZ932" t="s">
        <v>74</v>
      </c>
      <c r="BA932" t="s">
        <v>74</v>
      </c>
      <c r="BB932" t="s">
        <v>74</v>
      </c>
      <c r="BC932" t="s">
        <v>74</v>
      </c>
      <c r="BD932">
        <v>1051</v>
      </c>
      <c r="BE932" t="s">
        <v>17740</v>
      </c>
      <c r="BF932" t="str">
        <f>HYPERLINK("http://dx.doi.org/10.3390/genes14051051","http://dx.doi.org/10.3390/genes14051051")</f>
        <v>http://dx.doi.org/10.3390/genes14051051</v>
      </c>
      <c r="BG932" t="s">
        <v>74</v>
      </c>
      <c r="BH932" t="s">
        <v>74</v>
      </c>
      <c r="BI932">
        <v>16</v>
      </c>
      <c r="BJ932" t="s">
        <v>9500</v>
      </c>
      <c r="BK932" t="s">
        <v>104</v>
      </c>
      <c r="BL932" t="s">
        <v>9500</v>
      </c>
      <c r="BM932" t="s">
        <v>17741</v>
      </c>
      <c r="BN932">
        <v>37239412</v>
      </c>
      <c r="BO932" t="s">
        <v>821</v>
      </c>
      <c r="BP932" t="s">
        <v>74</v>
      </c>
      <c r="BQ932" t="s">
        <v>74</v>
      </c>
      <c r="BR932" t="s">
        <v>107</v>
      </c>
      <c r="BS932" t="s">
        <v>17742</v>
      </c>
      <c r="BT932" t="str">
        <f>HYPERLINK("https%3A%2F%2Fwww.webofscience.com%2Fwos%2Fwoscc%2Ffull-record%2FWOS:000997311800001","View Full Record in Web of Science")</f>
        <v>View Full Record in Web of Science</v>
      </c>
    </row>
    <row r="933" spans="1:72" x14ac:dyDescent="0.15">
      <c r="A933" t="s">
        <v>72</v>
      </c>
      <c r="B933" t="s">
        <v>17743</v>
      </c>
      <c r="C933" t="s">
        <v>74</v>
      </c>
      <c r="D933" t="s">
        <v>74</v>
      </c>
      <c r="E933" t="s">
        <v>74</v>
      </c>
      <c r="F933" t="s">
        <v>17744</v>
      </c>
      <c r="G933" t="s">
        <v>74</v>
      </c>
      <c r="H933" t="s">
        <v>74</v>
      </c>
      <c r="I933" t="s">
        <v>17745</v>
      </c>
      <c r="J933" t="s">
        <v>17746</v>
      </c>
      <c r="K933" t="s">
        <v>74</v>
      </c>
      <c r="L933" t="s">
        <v>74</v>
      </c>
      <c r="M933" t="s">
        <v>78</v>
      </c>
      <c r="N933" t="s">
        <v>79</v>
      </c>
      <c r="O933" t="s">
        <v>74</v>
      </c>
      <c r="P933" t="s">
        <v>74</v>
      </c>
      <c r="Q933" t="s">
        <v>74</v>
      </c>
      <c r="R933" t="s">
        <v>74</v>
      </c>
      <c r="S933" t="s">
        <v>74</v>
      </c>
      <c r="T933" t="s">
        <v>74</v>
      </c>
      <c r="U933" t="s">
        <v>17747</v>
      </c>
      <c r="V933" t="s">
        <v>17748</v>
      </c>
      <c r="W933" t="s">
        <v>17749</v>
      </c>
      <c r="X933" t="s">
        <v>17750</v>
      </c>
      <c r="Y933" t="s">
        <v>17751</v>
      </c>
      <c r="Z933" t="s">
        <v>17752</v>
      </c>
      <c r="AA933" t="s">
        <v>17753</v>
      </c>
      <c r="AB933" t="s">
        <v>17754</v>
      </c>
      <c r="AC933" t="s">
        <v>17755</v>
      </c>
      <c r="AD933" t="s">
        <v>17756</v>
      </c>
      <c r="AE933" t="s">
        <v>17757</v>
      </c>
      <c r="AF933" t="s">
        <v>74</v>
      </c>
      <c r="AG933">
        <v>63</v>
      </c>
      <c r="AH933">
        <v>3</v>
      </c>
      <c r="AI933">
        <v>3</v>
      </c>
      <c r="AJ933">
        <v>13</v>
      </c>
      <c r="AK933">
        <v>26</v>
      </c>
      <c r="AL933" t="s">
        <v>1527</v>
      </c>
      <c r="AM933" t="s">
        <v>1528</v>
      </c>
      <c r="AN933" t="s">
        <v>1529</v>
      </c>
      <c r="AO933" t="s">
        <v>17758</v>
      </c>
      <c r="AP933" t="s">
        <v>74</v>
      </c>
      <c r="AQ933" t="s">
        <v>74</v>
      </c>
      <c r="AR933" t="s">
        <v>17746</v>
      </c>
      <c r="AS933" t="s">
        <v>17759</v>
      </c>
      <c r="AT933" t="s">
        <v>17739</v>
      </c>
      <c r="AU933">
        <v>2023</v>
      </c>
      <c r="AV933">
        <v>11</v>
      </c>
      <c r="AW933">
        <v>1</v>
      </c>
      <c r="AX933" t="s">
        <v>74</v>
      </c>
      <c r="AY933" t="s">
        <v>74</v>
      </c>
      <c r="AZ933" t="s">
        <v>74</v>
      </c>
      <c r="BA933" t="s">
        <v>74</v>
      </c>
      <c r="BB933" t="s">
        <v>74</v>
      </c>
      <c r="BC933" t="s">
        <v>74</v>
      </c>
      <c r="BD933">
        <v>103</v>
      </c>
      <c r="BE933" t="s">
        <v>17760</v>
      </c>
      <c r="BF933" t="str">
        <f>HYPERLINK("http://dx.doi.org/10.1186/s40168-023-01554-6","http://dx.doi.org/10.1186/s40168-023-01554-6")</f>
        <v>http://dx.doi.org/10.1186/s40168-023-01554-6</v>
      </c>
      <c r="BG933" t="s">
        <v>74</v>
      </c>
      <c r="BH933" t="s">
        <v>74</v>
      </c>
      <c r="BI933">
        <v>8</v>
      </c>
      <c r="BJ933" t="s">
        <v>702</v>
      </c>
      <c r="BK933" t="s">
        <v>104</v>
      </c>
      <c r="BL933" t="s">
        <v>702</v>
      </c>
      <c r="BM933" t="s">
        <v>17761</v>
      </c>
      <c r="BN933">
        <v>37158954</v>
      </c>
      <c r="BO933" t="s">
        <v>2934</v>
      </c>
      <c r="BP933" t="s">
        <v>74</v>
      </c>
      <c r="BQ933" t="s">
        <v>74</v>
      </c>
      <c r="BR933" t="s">
        <v>107</v>
      </c>
      <c r="BS933" t="s">
        <v>17762</v>
      </c>
      <c r="BT933" t="str">
        <f>HYPERLINK("https%3A%2F%2Fwww.webofscience.com%2Fwos%2Fwoscc%2Ffull-record%2FWOS:000988422000001","View Full Record in Web of Science")</f>
        <v>View Full Record in Web of Science</v>
      </c>
    </row>
    <row r="934" spans="1:72" x14ac:dyDescent="0.15">
      <c r="A934" t="s">
        <v>72</v>
      </c>
      <c r="B934" t="s">
        <v>17763</v>
      </c>
      <c r="C934" t="s">
        <v>74</v>
      </c>
      <c r="D934" t="s">
        <v>74</v>
      </c>
      <c r="E934" t="s">
        <v>74</v>
      </c>
      <c r="F934" t="s">
        <v>17764</v>
      </c>
      <c r="G934" t="s">
        <v>74</v>
      </c>
      <c r="H934" t="s">
        <v>17765</v>
      </c>
      <c r="I934" t="s">
        <v>17766</v>
      </c>
      <c r="J934" t="s">
        <v>3334</v>
      </c>
      <c r="K934" t="s">
        <v>74</v>
      </c>
      <c r="L934" t="s">
        <v>74</v>
      </c>
      <c r="M934" t="s">
        <v>78</v>
      </c>
      <c r="N934" t="s">
        <v>424</v>
      </c>
      <c r="O934" t="s">
        <v>74</v>
      </c>
      <c r="P934" t="s">
        <v>74</v>
      </c>
      <c r="Q934" t="s">
        <v>74</v>
      </c>
      <c r="R934" t="s">
        <v>74</v>
      </c>
      <c r="S934" t="s">
        <v>74</v>
      </c>
      <c r="T934" t="s">
        <v>74</v>
      </c>
      <c r="U934" t="s">
        <v>17767</v>
      </c>
      <c r="V934" t="s">
        <v>17768</v>
      </c>
      <c r="W934" t="s">
        <v>17769</v>
      </c>
      <c r="X934" t="s">
        <v>917</v>
      </c>
      <c r="Y934" t="s">
        <v>17770</v>
      </c>
      <c r="Z934" t="s">
        <v>17771</v>
      </c>
      <c r="AA934" t="s">
        <v>17772</v>
      </c>
      <c r="AB934" t="s">
        <v>17773</v>
      </c>
      <c r="AC934" t="s">
        <v>17774</v>
      </c>
      <c r="AD934" t="s">
        <v>17775</v>
      </c>
      <c r="AE934" t="s">
        <v>17776</v>
      </c>
      <c r="AF934" t="s">
        <v>74</v>
      </c>
      <c r="AG934">
        <v>193</v>
      </c>
      <c r="AH934">
        <v>4</v>
      </c>
      <c r="AI934">
        <v>4</v>
      </c>
      <c r="AJ934">
        <v>4</v>
      </c>
      <c r="AK934">
        <v>10</v>
      </c>
      <c r="AL934" t="s">
        <v>1775</v>
      </c>
      <c r="AM934" t="s">
        <v>1776</v>
      </c>
      <c r="AN934" t="s">
        <v>1777</v>
      </c>
      <c r="AO934" t="s">
        <v>3346</v>
      </c>
      <c r="AP934" t="s">
        <v>3347</v>
      </c>
      <c r="AQ934" t="s">
        <v>74</v>
      </c>
      <c r="AR934" t="s">
        <v>3348</v>
      </c>
      <c r="AS934" t="s">
        <v>3349</v>
      </c>
      <c r="AT934" t="s">
        <v>17739</v>
      </c>
      <c r="AU934">
        <v>2023</v>
      </c>
      <c r="AV934">
        <v>19</v>
      </c>
      <c r="AW934">
        <v>5</v>
      </c>
      <c r="AX934" t="s">
        <v>74</v>
      </c>
      <c r="AY934" t="s">
        <v>74</v>
      </c>
      <c r="AZ934" t="s">
        <v>74</v>
      </c>
      <c r="BA934" t="s">
        <v>74</v>
      </c>
      <c r="BB934">
        <v>915</v>
      </c>
      <c r="BC934">
        <v>942</v>
      </c>
      <c r="BD934" t="s">
        <v>74</v>
      </c>
      <c r="BE934" t="s">
        <v>17777</v>
      </c>
      <c r="BF934" t="str">
        <f>HYPERLINK("http://dx.doi.org/10.5194/cp-19-915-2023","http://dx.doi.org/10.5194/cp-19-915-2023")</f>
        <v>http://dx.doi.org/10.5194/cp-19-915-2023</v>
      </c>
      <c r="BG934" t="s">
        <v>74</v>
      </c>
      <c r="BH934" t="s">
        <v>74</v>
      </c>
      <c r="BI934">
        <v>28</v>
      </c>
      <c r="BJ934" t="s">
        <v>3351</v>
      </c>
      <c r="BK934" t="s">
        <v>104</v>
      </c>
      <c r="BL934" t="s">
        <v>3352</v>
      </c>
      <c r="BM934" t="s">
        <v>17778</v>
      </c>
      <c r="BN934" t="s">
        <v>74</v>
      </c>
      <c r="BO934" t="s">
        <v>7579</v>
      </c>
      <c r="BP934" t="s">
        <v>74</v>
      </c>
      <c r="BQ934" t="s">
        <v>74</v>
      </c>
      <c r="BR934" t="s">
        <v>107</v>
      </c>
      <c r="BS934" t="s">
        <v>17779</v>
      </c>
      <c r="BT934" t="str">
        <f>HYPERLINK("https%3A%2F%2Fwww.webofscience.com%2Fwos%2Fwoscc%2Ffull-record%2FWOS:000983066900001","View Full Record in Web of Science")</f>
        <v>View Full Record in Web of Science</v>
      </c>
    </row>
    <row r="935" spans="1:72" x14ac:dyDescent="0.15">
      <c r="A935" t="s">
        <v>72</v>
      </c>
      <c r="B935" t="s">
        <v>17780</v>
      </c>
      <c r="C935" t="s">
        <v>74</v>
      </c>
      <c r="D935" t="s">
        <v>74</v>
      </c>
      <c r="E935" t="s">
        <v>74</v>
      </c>
      <c r="F935" t="s">
        <v>17781</v>
      </c>
      <c r="G935" t="s">
        <v>74</v>
      </c>
      <c r="H935" t="s">
        <v>74</v>
      </c>
      <c r="I935" t="s">
        <v>17782</v>
      </c>
      <c r="J935" t="s">
        <v>708</v>
      </c>
      <c r="K935" t="s">
        <v>74</v>
      </c>
      <c r="L935" t="s">
        <v>74</v>
      </c>
      <c r="M935" t="s">
        <v>78</v>
      </c>
      <c r="N935" t="s">
        <v>79</v>
      </c>
      <c r="O935" t="s">
        <v>74</v>
      </c>
      <c r="P935" t="s">
        <v>74</v>
      </c>
      <c r="Q935" t="s">
        <v>74</v>
      </c>
      <c r="R935" t="s">
        <v>74</v>
      </c>
      <c r="S935" t="s">
        <v>74</v>
      </c>
      <c r="T935" t="s">
        <v>17783</v>
      </c>
      <c r="U935" t="s">
        <v>17784</v>
      </c>
      <c r="V935" t="s">
        <v>17785</v>
      </c>
      <c r="W935" t="s">
        <v>17786</v>
      </c>
      <c r="X935" t="s">
        <v>17787</v>
      </c>
      <c r="Y935" t="s">
        <v>17788</v>
      </c>
      <c r="Z935" t="s">
        <v>17789</v>
      </c>
      <c r="AA935" t="s">
        <v>17790</v>
      </c>
      <c r="AB935" t="s">
        <v>17791</v>
      </c>
      <c r="AC935" t="s">
        <v>17792</v>
      </c>
      <c r="AD935" t="s">
        <v>17793</v>
      </c>
      <c r="AE935" t="s">
        <v>17794</v>
      </c>
      <c r="AF935" t="s">
        <v>74</v>
      </c>
      <c r="AG935">
        <v>57</v>
      </c>
      <c r="AH935">
        <v>1</v>
      </c>
      <c r="AI935">
        <v>1</v>
      </c>
      <c r="AJ935">
        <v>11</v>
      </c>
      <c r="AK935">
        <v>15</v>
      </c>
      <c r="AL935" t="s">
        <v>369</v>
      </c>
      <c r="AM935" t="s">
        <v>370</v>
      </c>
      <c r="AN935" t="s">
        <v>371</v>
      </c>
      <c r="AO935" t="s">
        <v>74</v>
      </c>
      <c r="AP935" t="s">
        <v>720</v>
      </c>
      <c r="AQ935" t="s">
        <v>74</v>
      </c>
      <c r="AR935" t="s">
        <v>721</v>
      </c>
      <c r="AS935" t="s">
        <v>722</v>
      </c>
      <c r="AT935" t="s">
        <v>17739</v>
      </c>
      <c r="AU935">
        <v>2023</v>
      </c>
      <c r="AV935">
        <v>15</v>
      </c>
      <c r="AW935">
        <v>9</v>
      </c>
      <c r="AX935" t="s">
        <v>74</v>
      </c>
      <c r="AY935" t="s">
        <v>74</v>
      </c>
      <c r="AZ935" t="s">
        <v>74</v>
      </c>
      <c r="BA935" t="s">
        <v>74</v>
      </c>
      <c r="BB935" t="s">
        <v>74</v>
      </c>
      <c r="BC935" t="s">
        <v>74</v>
      </c>
      <c r="BD935">
        <v>2462</v>
      </c>
      <c r="BE935" t="s">
        <v>17795</v>
      </c>
      <c r="BF935" t="str">
        <f>HYPERLINK("http://dx.doi.org/10.3390/rs15092462","http://dx.doi.org/10.3390/rs15092462")</f>
        <v>http://dx.doi.org/10.3390/rs15092462</v>
      </c>
      <c r="BG935" t="s">
        <v>74</v>
      </c>
      <c r="BH935" t="s">
        <v>74</v>
      </c>
      <c r="BI935">
        <v>22</v>
      </c>
      <c r="BJ935" t="s">
        <v>724</v>
      </c>
      <c r="BK935" t="s">
        <v>104</v>
      </c>
      <c r="BL935" t="s">
        <v>725</v>
      </c>
      <c r="BM935" t="s">
        <v>17796</v>
      </c>
      <c r="BN935" t="s">
        <v>74</v>
      </c>
      <c r="BO935" t="s">
        <v>206</v>
      </c>
      <c r="BP935" t="s">
        <v>74</v>
      </c>
      <c r="BQ935" t="s">
        <v>74</v>
      </c>
      <c r="BR935" t="s">
        <v>107</v>
      </c>
      <c r="BS935" t="s">
        <v>17797</v>
      </c>
      <c r="BT935" t="str">
        <f>HYPERLINK("https%3A%2F%2Fwww.webofscience.com%2Fwos%2Fwoscc%2Ffull-record%2FWOS:000987800300001","View Full Record in Web of Science")</f>
        <v>View Full Record in Web of Science</v>
      </c>
    </row>
    <row r="936" spans="1:72" x14ac:dyDescent="0.15">
      <c r="A936" t="s">
        <v>72</v>
      </c>
      <c r="B936" t="s">
        <v>17798</v>
      </c>
      <c r="C936" t="s">
        <v>74</v>
      </c>
      <c r="D936" t="s">
        <v>74</v>
      </c>
      <c r="E936" t="s">
        <v>74</v>
      </c>
      <c r="F936" t="s">
        <v>17799</v>
      </c>
      <c r="G936" t="s">
        <v>74</v>
      </c>
      <c r="H936" t="s">
        <v>74</v>
      </c>
      <c r="I936" t="s">
        <v>17800</v>
      </c>
      <c r="J936" t="s">
        <v>17801</v>
      </c>
      <c r="K936" t="s">
        <v>74</v>
      </c>
      <c r="L936" t="s">
        <v>74</v>
      </c>
      <c r="M936" t="s">
        <v>78</v>
      </c>
      <c r="N936" t="s">
        <v>79</v>
      </c>
      <c r="O936" t="s">
        <v>74</v>
      </c>
      <c r="P936" t="s">
        <v>74</v>
      </c>
      <c r="Q936" t="s">
        <v>74</v>
      </c>
      <c r="R936" t="s">
        <v>74</v>
      </c>
      <c r="S936" t="s">
        <v>74</v>
      </c>
      <c r="T936" t="s">
        <v>74</v>
      </c>
      <c r="U936" t="s">
        <v>17802</v>
      </c>
      <c r="V936" t="s">
        <v>17803</v>
      </c>
      <c r="W936" t="s">
        <v>17804</v>
      </c>
      <c r="X936" t="s">
        <v>17805</v>
      </c>
      <c r="Y936" t="s">
        <v>17806</v>
      </c>
      <c r="Z936" t="s">
        <v>17807</v>
      </c>
      <c r="AA936" t="s">
        <v>17808</v>
      </c>
      <c r="AB936" t="s">
        <v>17809</v>
      </c>
      <c r="AC936" t="s">
        <v>17810</v>
      </c>
      <c r="AD936" t="s">
        <v>17810</v>
      </c>
      <c r="AE936" t="s">
        <v>17811</v>
      </c>
      <c r="AF936" t="s">
        <v>74</v>
      </c>
      <c r="AG936">
        <v>55</v>
      </c>
      <c r="AH936">
        <v>0</v>
      </c>
      <c r="AI936">
        <v>0</v>
      </c>
      <c r="AJ936">
        <v>6</v>
      </c>
      <c r="AK936">
        <v>8</v>
      </c>
      <c r="AL936" t="s">
        <v>2987</v>
      </c>
      <c r="AM936" t="s">
        <v>1804</v>
      </c>
      <c r="AN936" t="s">
        <v>2988</v>
      </c>
      <c r="AO936" t="s">
        <v>17812</v>
      </c>
      <c r="AP936" t="s">
        <v>17813</v>
      </c>
      <c r="AQ936" t="s">
        <v>74</v>
      </c>
      <c r="AR936" t="s">
        <v>17814</v>
      </c>
      <c r="AS936" t="s">
        <v>17815</v>
      </c>
      <c r="AT936" t="s">
        <v>13613</v>
      </c>
      <c r="AU936">
        <v>2023</v>
      </c>
      <c r="AV936">
        <v>15</v>
      </c>
      <c r="AW936">
        <v>21</v>
      </c>
      <c r="AX936" t="s">
        <v>74</v>
      </c>
      <c r="AY936" t="s">
        <v>74</v>
      </c>
      <c r="AZ936" t="s">
        <v>74</v>
      </c>
      <c r="BA936" t="s">
        <v>74</v>
      </c>
      <c r="BB936">
        <v>2631</v>
      </c>
      <c r="BC936">
        <v>2640</v>
      </c>
      <c r="BD936" t="s">
        <v>74</v>
      </c>
      <c r="BE936" t="s">
        <v>17816</v>
      </c>
      <c r="BF936" t="str">
        <f>HYPERLINK("http://dx.doi.org/10.1039/d3ay00278k","http://dx.doi.org/10.1039/d3ay00278k")</f>
        <v>http://dx.doi.org/10.1039/d3ay00278k</v>
      </c>
      <c r="BG936" t="s">
        <v>74</v>
      </c>
      <c r="BH936" t="s">
        <v>15114</v>
      </c>
      <c r="BI936">
        <v>10</v>
      </c>
      <c r="BJ936" t="s">
        <v>17817</v>
      </c>
      <c r="BK936" t="s">
        <v>104</v>
      </c>
      <c r="BL936" t="s">
        <v>17818</v>
      </c>
      <c r="BM936" t="s">
        <v>17819</v>
      </c>
      <c r="BN936">
        <v>37199214</v>
      </c>
      <c r="BO936" t="s">
        <v>74</v>
      </c>
      <c r="BP936" t="s">
        <v>74</v>
      </c>
      <c r="BQ936" t="s">
        <v>74</v>
      </c>
      <c r="BR936" t="s">
        <v>107</v>
      </c>
      <c r="BS936" t="s">
        <v>17820</v>
      </c>
      <c r="BT936" t="str">
        <f>HYPERLINK("https%3A%2F%2Fwww.webofscience.com%2Fwos%2Fwoscc%2Ffull-record%2FWOS:000989928600001","View Full Record in Web of Science")</f>
        <v>View Full Record in Web of Science</v>
      </c>
    </row>
    <row r="937" spans="1:72" x14ac:dyDescent="0.15">
      <c r="A937" t="s">
        <v>72</v>
      </c>
      <c r="B937" t="s">
        <v>17821</v>
      </c>
      <c r="C937" t="s">
        <v>74</v>
      </c>
      <c r="D937" t="s">
        <v>74</v>
      </c>
      <c r="E937" t="s">
        <v>74</v>
      </c>
      <c r="F937" t="s">
        <v>17822</v>
      </c>
      <c r="G937" t="s">
        <v>74</v>
      </c>
      <c r="H937" t="s">
        <v>74</v>
      </c>
      <c r="I937" t="s">
        <v>17823</v>
      </c>
      <c r="J937" t="s">
        <v>776</v>
      </c>
      <c r="K937" t="s">
        <v>74</v>
      </c>
      <c r="L937" t="s">
        <v>74</v>
      </c>
      <c r="M937" t="s">
        <v>78</v>
      </c>
      <c r="N937" t="s">
        <v>79</v>
      </c>
      <c r="O937" t="s">
        <v>74</v>
      </c>
      <c r="P937" t="s">
        <v>74</v>
      </c>
      <c r="Q937" t="s">
        <v>74</v>
      </c>
      <c r="R937" t="s">
        <v>74</v>
      </c>
      <c r="S937" t="s">
        <v>74</v>
      </c>
      <c r="T937" t="s">
        <v>17824</v>
      </c>
      <c r="U937" t="s">
        <v>17825</v>
      </c>
      <c r="V937" t="s">
        <v>17826</v>
      </c>
      <c r="W937" t="s">
        <v>17827</v>
      </c>
      <c r="X937" t="s">
        <v>17828</v>
      </c>
      <c r="Y937" t="s">
        <v>17829</v>
      </c>
      <c r="Z937" t="s">
        <v>17830</v>
      </c>
      <c r="AA937" t="s">
        <v>17831</v>
      </c>
      <c r="AB937" t="s">
        <v>17832</v>
      </c>
      <c r="AC937" t="s">
        <v>17833</v>
      </c>
      <c r="AD937" t="s">
        <v>17834</v>
      </c>
      <c r="AE937" t="s">
        <v>17835</v>
      </c>
      <c r="AF937" t="s">
        <v>74</v>
      </c>
      <c r="AG937">
        <v>62</v>
      </c>
      <c r="AH937">
        <v>1</v>
      </c>
      <c r="AI937">
        <v>1</v>
      </c>
      <c r="AJ937">
        <v>0</v>
      </c>
      <c r="AK937">
        <v>2</v>
      </c>
      <c r="AL937" t="s">
        <v>369</v>
      </c>
      <c r="AM937" t="s">
        <v>370</v>
      </c>
      <c r="AN937" t="s">
        <v>371</v>
      </c>
      <c r="AO937" t="s">
        <v>74</v>
      </c>
      <c r="AP937" t="s">
        <v>790</v>
      </c>
      <c r="AQ937" t="s">
        <v>74</v>
      </c>
      <c r="AR937" t="s">
        <v>791</v>
      </c>
      <c r="AS937" t="s">
        <v>792</v>
      </c>
      <c r="AT937" t="s">
        <v>17739</v>
      </c>
      <c r="AU937">
        <v>2023</v>
      </c>
      <c r="AV937">
        <v>24</v>
      </c>
      <c r="AW937">
        <v>9</v>
      </c>
      <c r="AX937" t="s">
        <v>74</v>
      </c>
      <c r="AY937" t="s">
        <v>74</v>
      </c>
      <c r="AZ937" t="s">
        <v>74</v>
      </c>
      <c r="BA937" t="s">
        <v>74</v>
      </c>
      <c r="BB937" t="s">
        <v>74</v>
      </c>
      <c r="BC937" t="s">
        <v>74</v>
      </c>
      <c r="BD937">
        <v>8459</v>
      </c>
      <c r="BE937" t="s">
        <v>17836</v>
      </c>
      <c r="BF937" t="str">
        <f>HYPERLINK("http://dx.doi.org/10.3390/ijms24098459","http://dx.doi.org/10.3390/ijms24098459")</f>
        <v>http://dx.doi.org/10.3390/ijms24098459</v>
      </c>
      <c r="BG937" t="s">
        <v>74</v>
      </c>
      <c r="BH937" t="s">
        <v>74</v>
      </c>
      <c r="BI937">
        <v>16</v>
      </c>
      <c r="BJ937" t="s">
        <v>794</v>
      </c>
      <c r="BK937" t="s">
        <v>104</v>
      </c>
      <c r="BL937" t="s">
        <v>795</v>
      </c>
      <c r="BM937" t="s">
        <v>17837</v>
      </c>
      <c r="BN937">
        <v>37176166</v>
      </c>
      <c r="BO937" t="s">
        <v>821</v>
      </c>
      <c r="BP937" t="s">
        <v>74</v>
      </c>
      <c r="BQ937" t="s">
        <v>74</v>
      </c>
      <c r="BR937" t="s">
        <v>107</v>
      </c>
      <c r="BS937" t="s">
        <v>17838</v>
      </c>
      <c r="BT937" t="str">
        <f>HYPERLINK("https%3A%2F%2Fwww.webofscience.com%2Fwos%2Fwoscc%2Ffull-record%2FWOS:000987714800001","View Full Record in Web of Science")</f>
        <v>View Full Record in Web of Science</v>
      </c>
    </row>
    <row r="938" spans="1:72" x14ac:dyDescent="0.15">
      <c r="A938" t="s">
        <v>72</v>
      </c>
      <c r="B938" t="s">
        <v>17839</v>
      </c>
      <c r="C938" t="s">
        <v>74</v>
      </c>
      <c r="D938" t="s">
        <v>74</v>
      </c>
      <c r="E938" t="s">
        <v>74</v>
      </c>
      <c r="F938" t="s">
        <v>17840</v>
      </c>
      <c r="G938" t="s">
        <v>74</v>
      </c>
      <c r="H938" t="s">
        <v>74</v>
      </c>
      <c r="I938" t="s">
        <v>17841</v>
      </c>
      <c r="J938" t="s">
        <v>17842</v>
      </c>
      <c r="K938" t="s">
        <v>74</v>
      </c>
      <c r="L938" t="s">
        <v>74</v>
      </c>
      <c r="M938" t="s">
        <v>78</v>
      </c>
      <c r="N938" t="s">
        <v>79</v>
      </c>
      <c r="O938" t="s">
        <v>74</v>
      </c>
      <c r="P938" t="s">
        <v>74</v>
      </c>
      <c r="Q938" t="s">
        <v>74</v>
      </c>
      <c r="R938" t="s">
        <v>74</v>
      </c>
      <c r="S938" t="s">
        <v>74</v>
      </c>
      <c r="T938" t="s">
        <v>17843</v>
      </c>
      <c r="U938" t="s">
        <v>17844</v>
      </c>
      <c r="V938" t="s">
        <v>17845</v>
      </c>
      <c r="W938" t="s">
        <v>17846</v>
      </c>
      <c r="X938" t="s">
        <v>17847</v>
      </c>
      <c r="Y938" t="s">
        <v>17848</v>
      </c>
      <c r="Z938" t="s">
        <v>17849</v>
      </c>
      <c r="AA938" t="s">
        <v>17850</v>
      </c>
      <c r="AB938" t="s">
        <v>17851</v>
      </c>
      <c r="AC938" t="s">
        <v>17852</v>
      </c>
      <c r="AD938" t="s">
        <v>17853</v>
      </c>
      <c r="AE938" t="s">
        <v>17854</v>
      </c>
      <c r="AF938" t="s">
        <v>74</v>
      </c>
      <c r="AG938">
        <v>63</v>
      </c>
      <c r="AH938">
        <v>0</v>
      </c>
      <c r="AI938">
        <v>0</v>
      </c>
      <c r="AJ938">
        <v>2</v>
      </c>
      <c r="AK938">
        <v>4</v>
      </c>
      <c r="AL938" t="s">
        <v>1477</v>
      </c>
      <c r="AM938" t="s">
        <v>1478</v>
      </c>
      <c r="AN938" t="s">
        <v>1479</v>
      </c>
      <c r="AO938" t="s">
        <v>17855</v>
      </c>
      <c r="AP938" t="s">
        <v>17856</v>
      </c>
      <c r="AQ938" t="s">
        <v>74</v>
      </c>
      <c r="AR938" t="s">
        <v>17842</v>
      </c>
      <c r="AS938" t="s">
        <v>17857</v>
      </c>
      <c r="AT938" t="s">
        <v>97</v>
      </c>
      <c r="AU938">
        <v>2023</v>
      </c>
      <c r="AV938">
        <v>20</v>
      </c>
      <c r="AW938">
        <v>9</v>
      </c>
      <c r="AX938" t="s">
        <v>74</v>
      </c>
      <c r="AY938" t="s">
        <v>74</v>
      </c>
      <c r="AZ938" t="s">
        <v>74</v>
      </c>
      <c r="BA938" t="s">
        <v>74</v>
      </c>
      <c r="BB938">
        <v>1883</v>
      </c>
      <c r="BC938">
        <v>1892</v>
      </c>
      <c r="BD938" t="s">
        <v>74</v>
      </c>
      <c r="BE938" t="s">
        <v>17858</v>
      </c>
      <c r="BF938" t="str">
        <f>HYPERLINK("http://dx.doi.org/10.1007/s10346-023-02075-x","http://dx.doi.org/10.1007/s10346-023-02075-x")</f>
        <v>http://dx.doi.org/10.1007/s10346-023-02075-x</v>
      </c>
      <c r="BG938" t="s">
        <v>74</v>
      </c>
      <c r="BH938" t="s">
        <v>15114</v>
      </c>
      <c r="BI938">
        <v>10</v>
      </c>
      <c r="BJ938" t="s">
        <v>17859</v>
      </c>
      <c r="BK938" t="s">
        <v>104</v>
      </c>
      <c r="BL938" t="s">
        <v>15155</v>
      </c>
      <c r="BM938" t="s">
        <v>17860</v>
      </c>
      <c r="BN938" t="s">
        <v>74</v>
      </c>
      <c r="BO938" t="s">
        <v>549</v>
      </c>
      <c r="BP938" t="s">
        <v>74</v>
      </c>
      <c r="BQ938" t="s">
        <v>74</v>
      </c>
      <c r="BR938" t="s">
        <v>107</v>
      </c>
      <c r="BS938" t="s">
        <v>17861</v>
      </c>
      <c r="BT938" t="str">
        <f>HYPERLINK("https%3A%2F%2Fwww.webofscience.com%2Fwos%2Fwoscc%2Ffull-record%2FWOS:000983936800002","View Full Record in Web of Science")</f>
        <v>View Full Record in Web of Science</v>
      </c>
    </row>
    <row r="939" spans="1:72" x14ac:dyDescent="0.15">
      <c r="A939" t="s">
        <v>72</v>
      </c>
      <c r="B939" t="s">
        <v>17862</v>
      </c>
      <c r="C939" t="s">
        <v>74</v>
      </c>
      <c r="D939" t="s">
        <v>74</v>
      </c>
      <c r="E939" t="s">
        <v>74</v>
      </c>
      <c r="F939" t="s">
        <v>17863</v>
      </c>
      <c r="G939" t="s">
        <v>74</v>
      </c>
      <c r="H939" t="s">
        <v>74</v>
      </c>
      <c r="I939" t="s">
        <v>17864</v>
      </c>
      <c r="J939" t="s">
        <v>17865</v>
      </c>
      <c r="K939" t="s">
        <v>74</v>
      </c>
      <c r="L939" t="s">
        <v>74</v>
      </c>
      <c r="M939" t="s">
        <v>78</v>
      </c>
      <c r="N939" t="s">
        <v>16996</v>
      </c>
      <c r="O939" t="s">
        <v>74</v>
      </c>
      <c r="P939" t="s">
        <v>74</v>
      </c>
      <c r="Q939" t="s">
        <v>74</v>
      </c>
      <c r="R939" t="s">
        <v>74</v>
      </c>
      <c r="S939" t="s">
        <v>74</v>
      </c>
      <c r="T939" t="s">
        <v>74</v>
      </c>
      <c r="U939" t="s">
        <v>17866</v>
      </c>
      <c r="V939" t="s">
        <v>74</v>
      </c>
      <c r="W939" t="s">
        <v>17867</v>
      </c>
      <c r="X939" t="s">
        <v>17868</v>
      </c>
      <c r="Y939" t="s">
        <v>17869</v>
      </c>
      <c r="Z939" t="s">
        <v>17870</v>
      </c>
      <c r="AA939" t="s">
        <v>74</v>
      </c>
      <c r="AB939" t="s">
        <v>17871</v>
      </c>
      <c r="AC939" t="s">
        <v>74</v>
      </c>
      <c r="AD939" t="s">
        <v>74</v>
      </c>
      <c r="AE939" t="s">
        <v>74</v>
      </c>
      <c r="AF939" t="s">
        <v>74</v>
      </c>
      <c r="AG939">
        <v>34</v>
      </c>
      <c r="AH939">
        <v>0</v>
      </c>
      <c r="AI939">
        <v>0</v>
      </c>
      <c r="AJ939">
        <v>0</v>
      </c>
      <c r="AK939">
        <v>0</v>
      </c>
      <c r="AL939" t="s">
        <v>460</v>
      </c>
      <c r="AM939" t="s">
        <v>461</v>
      </c>
      <c r="AN939" t="s">
        <v>462</v>
      </c>
      <c r="AO939" t="s">
        <v>17872</v>
      </c>
      <c r="AP939" t="s">
        <v>17873</v>
      </c>
      <c r="AQ939" t="s">
        <v>74</v>
      </c>
      <c r="AR939" t="s">
        <v>17865</v>
      </c>
      <c r="AS939" t="s">
        <v>4598</v>
      </c>
      <c r="AT939" t="s">
        <v>8990</v>
      </c>
      <c r="AU939">
        <v>2023</v>
      </c>
      <c r="AV939">
        <v>48</v>
      </c>
      <c r="AW939">
        <v>6</v>
      </c>
      <c r="AX939" t="s">
        <v>74</v>
      </c>
      <c r="AY939" t="s">
        <v>74</v>
      </c>
      <c r="AZ939" t="s">
        <v>74</v>
      </c>
      <c r="BA939" t="s">
        <v>74</v>
      </c>
      <c r="BB939">
        <v>228</v>
      </c>
      <c r="BC939">
        <v>232</v>
      </c>
      <c r="BD939" t="s">
        <v>74</v>
      </c>
      <c r="BE939" t="s">
        <v>17874</v>
      </c>
      <c r="BF939" t="str">
        <f>HYPERLINK("http://dx.doi.org/10.1002/fsh.10919","http://dx.doi.org/10.1002/fsh.10919")</f>
        <v>http://dx.doi.org/10.1002/fsh.10919</v>
      </c>
      <c r="BG939" t="s">
        <v>74</v>
      </c>
      <c r="BH939" t="s">
        <v>15114</v>
      </c>
      <c r="BI939">
        <v>5</v>
      </c>
      <c r="BJ939" t="s">
        <v>4598</v>
      </c>
      <c r="BK939" t="s">
        <v>104</v>
      </c>
      <c r="BL939" t="s">
        <v>4598</v>
      </c>
      <c r="BM939" t="s">
        <v>17875</v>
      </c>
      <c r="BN939" t="s">
        <v>74</v>
      </c>
      <c r="BO939" t="s">
        <v>133</v>
      </c>
      <c r="BP939" t="s">
        <v>74</v>
      </c>
      <c r="BQ939" t="s">
        <v>74</v>
      </c>
      <c r="BR939" t="s">
        <v>107</v>
      </c>
      <c r="BS939" t="s">
        <v>17876</v>
      </c>
      <c r="BT939" t="str">
        <f>HYPERLINK("https%3A%2F%2Fwww.webofscience.com%2Fwos%2Fwoscc%2Ffull-record%2FWOS:000983672400001","View Full Record in Web of Science")</f>
        <v>View Full Record in Web of Science</v>
      </c>
    </row>
    <row r="940" spans="1:72" x14ac:dyDescent="0.15">
      <c r="A940" t="s">
        <v>72</v>
      </c>
      <c r="B940" t="s">
        <v>17877</v>
      </c>
      <c r="C940" t="s">
        <v>74</v>
      </c>
      <c r="D940" t="s">
        <v>74</v>
      </c>
      <c r="E940" t="s">
        <v>74</v>
      </c>
      <c r="F940" t="s">
        <v>17878</v>
      </c>
      <c r="G940" t="s">
        <v>74</v>
      </c>
      <c r="H940" t="s">
        <v>74</v>
      </c>
      <c r="I940" t="s">
        <v>17879</v>
      </c>
      <c r="J940" t="s">
        <v>7978</v>
      </c>
      <c r="K940" t="s">
        <v>74</v>
      </c>
      <c r="L940" t="s">
        <v>74</v>
      </c>
      <c r="M940" t="s">
        <v>78</v>
      </c>
      <c r="N940" t="s">
        <v>79</v>
      </c>
      <c r="O940" t="s">
        <v>74</v>
      </c>
      <c r="P940" t="s">
        <v>74</v>
      </c>
      <c r="Q940" t="s">
        <v>74</v>
      </c>
      <c r="R940" t="s">
        <v>74</v>
      </c>
      <c r="S940" t="s">
        <v>74</v>
      </c>
      <c r="T940" t="s">
        <v>17880</v>
      </c>
      <c r="U940" t="s">
        <v>17881</v>
      </c>
      <c r="V940" t="s">
        <v>17882</v>
      </c>
      <c r="W940" t="s">
        <v>17883</v>
      </c>
      <c r="X940" t="s">
        <v>17884</v>
      </c>
      <c r="Y940" t="s">
        <v>17885</v>
      </c>
      <c r="Z940" t="s">
        <v>17886</v>
      </c>
      <c r="AA940" t="s">
        <v>17887</v>
      </c>
      <c r="AB940" t="s">
        <v>17888</v>
      </c>
      <c r="AC940" t="s">
        <v>17889</v>
      </c>
      <c r="AD940" t="s">
        <v>1232</v>
      </c>
      <c r="AE940" t="s">
        <v>17890</v>
      </c>
      <c r="AF940" t="s">
        <v>74</v>
      </c>
      <c r="AG940">
        <v>20</v>
      </c>
      <c r="AH940">
        <v>0</v>
      </c>
      <c r="AI940">
        <v>0</v>
      </c>
      <c r="AJ940">
        <v>1</v>
      </c>
      <c r="AK940">
        <v>1</v>
      </c>
      <c r="AL940" t="s">
        <v>1803</v>
      </c>
      <c r="AM940" t="s">
        <v>1804</v>
      </c>
      <c r="AN940" t="s">
        <v>1805</v>
      </c>
      <c r="AO940" t="s">
        <v>7990</v>
      </c>
      <c r="AP940" t="s">
        <v>7991</v>
      </c>
      <c r="AQ940" t="s">
        <v>74</v>
      </c>
      <c r="AR940" t="s">
        <v>7992</v>
      </c>
      <c r="AS940" t="s">
        <v>7993</v>
      </c>
      <c r="AT940" t="s">
        <v>97</v>
      </c>
      <c r="AU940">
        <v>2022</v>
      </c>
      <c r="AV940">
        <v>63</v>
      </c>
      <c r="AW940" t="s">
        <v>7994</v>
      </c>
      <c r="AX940" t="s">
        <v>74</v>
      </c>
      <c r="AY940" t="s">
        <v>74</v>
      </c>
      <c r="AZ940" t="s">
        <v>74</v>
      </c>
      <c r="BA940" t="s">
        <v>74</v>
      </c>
      <c r="BB940">
        <v>121</v>
      </c>
      <c r="BC940">
        <v>124</v>
      </c>
      <c r="BD940" t="s">
        <v>17891</v>
      </c>
      <c r="BE940" t="s">
        <v>17892</v>
      </c>
      <c r="BF940" t="str">
        <f>HYPERLINK("http://dx.doi.org/10.1017/aog.2023.28","http://dx.doi.org/10.1017/aog.2023.28")</f>
        <v>http://dx.doi.org/10.1017/aog.2023.28</v>
      </c>
      <c r="BG940" t="s">
        <v>74</v>
      </c>
      <c r="BH940" t="s">
        <v>15114</v>
      </c>
      <c r="BI940">
        <v>4</v>
      </c>
      <c r="BJ940" t="s">
        <v>1783</v>
      </c>
      <c r="BK940" t="s">
        <v>104</v>
      </c>
      <c r="BL940" t="s">
        <v>1784</v>
      </c>
      <c r="BM940" t="s">
        <v>7996</v>
      </c>
      <c r="BN940" t="s">
        <v>74</v>
      </c>
      <c r="BO940" t="s">
        <v>206</v>
      </c>
      <c r="BP940" t="s">
        <v>74</v>
      </c>
      <c r="BQ940" t="s">
        <v>74</v>
      </c>
      <c r="BR940" t="s">
        <v>107</v>
      </c>
      <c r="BS940" t="s">
        <v>17893</v>
      </c>
      <c r="BT940" t="str">
        <f>HYPERLINK("https%3A%2F%2Fwww.webofscience.com%2Fwos%2Fwoscc%2Ffull-record%2FWOS:000982978800001","View Full Record in Web of Science")</f>
        <v>View Full Record in Web of Science</v>
      </c>
    </row>
    <row r="941" spans="1:72" x14ac:dyDescent="0.15">
      <c r="A941" t="s">
        <v>72</v>
      </c>
      <c r="B941" t="s">
        <v>17894</v>
      </c>
      <c r="C941" t="s">
        <v>74</v>
      </c>
      <c r="D941" t="s">
        <v>74</v>
      </c>
      <c r="E941" t="s">
        <v>74</v>
      </c>
      <c r="F941" t="s">
        <v>17895</v>
      </c>
      <c r="G941" t="s">
        <v>74</v>
      </c>
      <c r="H941" t="s">
        <v>74</v>
      </c>
      <c r="I941" t="s">
        <v>17896</v>
      </c>
      <c r="J941" t="s">
        <v>1971</v>
      </c>
      <c r="K941" t="s">
        <v>74</v>
      </c>
      <c r="L941" t="s">
        <v>74</v>
      </c>
      <c r="M941" t="s">
        <v>78</v>
      </c>
      <c r="N941" t="s">
        <v>79</v>
      </c>
      <c r="O941" t="s">
        <v>74</v>
      </c>
      <c r="P941" t="s">
        <v>74</v>
      </c>
      <c r="Q941" t="s">
        <v>74</v>
      </c>
      <c r="R941" t="s">
        <v>74</v>
      </c>
      <c r="S941" t="s">
        <v>74</v>
      </c>
      <c r="T941" t="s">
        <v>17897</v>
      </c>
      <c r="U941" t="s">
        <v>17898</v>
      </c>
      <c r="V941" t="s">
        <v>17899</v>
      </c>
      <c r="W941" t="s">
        <v>17900</v>
      </c>
      <c r="X941" t="s">
        <v>17901</v>
      </c>
      <c r="Y941" t="s">
        <v>17902</v>
      </c>
      <c r="Z941" t="s">
        <v>17903</v>
      </c>
      <c r="AA941" t="s">
        <v>17904</v>
      </c>
      <c r="AB941" t="s">
        <v>17905</v>
      </c>
      <c r="AC941" t="s">
        <v>17906</v>
      </c>
      <c r="AD941" t="s">
        <v>17907</v>
      </c>
      <c r="AE941" t="s">
        <v>17908</v>
      </c>
      <c r="AF941" t="s">
        <v>74</v>
      </c>
      <c r="AG941">
        <v>54</v>
      </c>
      <c r="AH941">
        <v>0</v>
      </c>
      <c r="AI941">
        <v>0</v>
      </c>
      <c r="AJ941">
        <v>6</v>
      </c>
      <c r="AK941">
        <v>17</v>
      </c>
      <c r="AL941" t="s">
        <v>298</v>
      </c>
      <c r="AM941" t="s">
        <v>299</v>
      </c>
      <c r="AN941" t="s">
        <v>300</v>
      </c>
      <c r="AO941" t="s">
        <v>1984</v>
      </c>
      <c r="AP941" t="s">
        <v>1985</v>
      </c>
      <c r="AQ941" t="s">
        <v>74</v>
      </c>
      <c r="AR941" t="s">
        <v>1986</v>
      </c>
      <c r="AS941" t="s">
        <v>1987</v>
      </c>
      <c r="AT941" t="s">
        <v>3082</v>
      </c>
      <c r="AU941">
        <v>2023</v>
      </c>
      <c r="AV941">
        <v>61</v>
      </c>
      <c r="AW941" t="s">
        <v>415</v>
      </c>
      <c r="AX941" t="s">
        <v>74</v>
      </c>
      <c r="AY941" t="s">
        <v>74</v>
      </c>
      <c r="AZ941" t="s">
        <v>74</v>
      </c>
      <c r="BA941" t="s">
        <v>74</v>
      </c>
      <c r="BB941">
        <v>4377</v>
      </c>
      <c r="BC941">
        <v>4391</v>
      </c>
      <c r="BD941" t="s">
        <v>74</v>
      </c>
      <c r="BE941" t="s">
        <v>17909</v>
      </c>
      <c r="BF941" t="str">
        <f>HYPERLINK("http://dx.doi.org/10.1007/s00382-023-06810-x","http://dx.doi.org/10.1007/s00382-023-06810-x")</f>
        <v>http://dx.doi.org/10.1007/s00382-023-06810-x</v>
      </c>
      <c r="BG941" t="s">
        <v>74</v>
      </c>
      <c r="BH941" t="s">
        <v>15114</v>
      </c>
      <c r="BI941">
        <v>15</v>
      </c>
      <c r="BJ941" t="s">
        <v>103</v>
      </c>
      <c r="BK941" t="s">
        <v>104</v>
      </c>
      <c r="BL941" t="s">
        <v>103</v>
      </c>
      <c r="BM941" t="s">
        <v>16599</v>
      </c>
      <c r="BN941" t="s">
        <v>74</v>
      </c>
      <c r="BO941" t="s">
        <v>418</v>
      </c>
      <c r="BP941" t="s">
        <v>74</v>
      </c>
      <c r="BQ941" t="s">
        <v>74</v>
      </c>
      <c r="BR941" t="s">
        <v>107</v>
      </c>
      <c r="BS941" t="s">
        <v>17910</v>
      </c>
      <c r="BT941" t="str">
        <f>HYPERLINK("https%3A%2F%2Fwww.webofscience.com%2Fwos%2Fwoscc%2Ffull-record%2FWOS:000983874100001","View Full Record in Web of Science")</f>
        <v>View Full Record in Web of Science</v>
      </c>
    </row>
    <row r="942" spans="1:72" x14ac:dyDescent="0.15">
      <c r="A942" t="s">
        <v>72</v>
      </c>
      <c r="B942" t="s">
        <v>17911</v>
      </c>
      <c r="C942" t="s">
        <v>74</v>
      </c>
      <c r="D942" t="s">
        <v>74</v>
      </c>
      <c r="E942" t="s">
        <v>74</v>
      </c>
      <c r="F942" t="s">
        <v>17912</v>
      </c>
      <c r="G942" t="s">
        <v>74</v>
      </c>
      <c r="H942" t="s">
        <v>74</v>
      </c>
      <c r="I942" t="s">
        <v>17913</v>
      </c>
      <c r="J942" t="s">
        <v>3756</v>
      </c>
      <c r="K942" t="s">
        <v>74</v>
      </c>
      <c r="L942" t="s">
        <v>74</v>
      </c>
      <c r="M942" t="s">
        <v>78</v>
      </c>
      <c r="N942" t="s">
        <v>79</v>
      </c>
      <c r="O942" t="s">
        <v>74</v>
      </c>
      <c r="P942" t="s">
        <v>74</v>
      </c>
      <c r="Q942" t="s">
        <v>74</v>
      </c>
      <c r="R942" t="s">
        <v>74</v>
      </c>
      <c r="S942" t="s">
        <v>74</v>
      </c>
      <c r="T942" t="s">
        <v>17914</v>
      </c>
      <c r="U942" t="s">
        <v>17915</v>
      </c>
      <c r="V942" t="s">
        <v>17916</v>
      </c>
      <c r="W942" t="s">
        <v>17917</v>
      </c>
      <c r="X942" t="s">
        <v>17918</v>
      </c>
      <c r="Y942" t="s">
        <v>17919</v>
      </c>
      <c r="Z942" t="s">
        <v>17920</v>
      </c>
      <c r="AA942" t="s">
        <v>17921</v>
      </c>
      <c r="AB942" t="s">
        <v>17922</v>
      </c>
      <c r="AC942" t="s">
        <v>17923</v>
      </c>
      <c r="AD942" t="s">
        <v>17924</v>
      </c>
      <c r="AE942" t="s">
        <v>17925</v>
      </c>
      <c r="AF942" t="s">
        <v>74</v>
      </c>
      <c r="AG942">
        <v>27</v>
      </c>
      <c r="AH942">
        <v>0</v>
      </c>
      <c r="AI942">
        <v>0</v>
      </c>
      <c r="AJ942">
        <v>0</v>
      </c>
      <c r="AK942">
        <v>0</v>
      </c>
      <c r="AL942" t="s">
        <v>298</v>
      </c>
      <c r="AM942" t="s">
        <v>299</v>
      </c>
      <c r="AN942" t="s">
        <v>300</v>
      </c>
      <c r="AO942" t="s">
        <v>3767</v>
      </c>
      <c r="AP942" t="s">
        <v>3768</v>
      </c>
      <c r="AQ942" t="s">
        <v>74</v>
      </c>
      <c r="AR942" t="s">
        <v>3769</v>
      </c>
      <c r="AS942" t="s">
        <v>3770</v>
      </c>
      <c r="AT942" t="s">
        <v>8990</v>
      </c>
      <c r="AU942">
        <v>2023</v>
      </c>
      <c r="AV942">
        <v>46</v>
      </c>
      <c r="AW942">
        <v>6</v>
      </c>
      <c r="AX942" t="s">
        <v>74</v>
      </c>
      <c r="AY942" t="s">
        <v>74</v>
      </c>
      <c r="AZ942" t="s">
        <v>74</v>
      </c>
      <c r="BA942" t="s">
        <v>74</v>
      </c>
      <c r="BB942">
        <v>539</v>
      </c>
      <c r="BC942">
        <v>544</v>
      </c>
      <c r="BD942" t="s">
        <v>74</v>
      </c>
      <c r="BE942" t="s">
        <v>17926</v>
      </c>
      <c r="BF942" t="str">
        <f>HYPERLINK("http://dx.doi.org/10.1007/s00300-023-03142-8","http://dx.doi.org/10.1007/s00300-023-03142-8")</f>
        <v>http://dx.doi.org/10.1007/s00300-023-03142-8</v>
      </c>
      <c r="BG942" t="s">
        <v>74</v>
      </c>
      <c r="BH942" t="s">
        <v>15114</v>
      </c>
      <c r="BI942">
        <v>6</v>
      </c>
      <c r="BJ942" t="s">
        <v>3772</v>
      </c>
      <c r="BK942" t="s">
        <v>104</v>
      </c>
      <c r="BL942" t="s">
        <v>1905</v>
      </c>
      <c r="BM942" t="s">
        <v>16613</v>
      </c>
      <c r="BN942" t="s">
        <v>74</v>
      </c>
      <c r="BO942" t="s">
        <v>74</v>
      </c>
      <c r="BP942" t="s">
        <v>74</v>
      </c>
      <c r="BQ942" t="s">
        <v>74</v>
      </c>
      <c r="BR942" t="s">
        <v>107</v>
      </c>
      <c r="BS942" t="s">
        <v>17927</v>
      </c>
      <c r="BT942" t="str">
        <f>HYPERLINK("https%3A%2F%2Fwww.webofscience.com%2Fwos%2Fwoscc%2Ffull-record%2FWOS:000983011100001","View Full Record in Web of Science")</f>
        <v>View Full Record in Web of Science</v>
      </c>
    </row>
    <row r="943" spans="1:72" x14ac:dyDescent="0.15">
      <c r="A943" t="s">
        <v>72</v>
      </c>
      <c r="B943" t="s">
        <v>17928</v>
      </c>
      <c r="C943" t="s">
        <v>74</v>
      </c>
      <c r="D943" t="s">
        <v>74</v>
      </c>
      <c r="E943" t="s">
        <v>74</v>
      </c>
      <c r="F943" t="s">
        <v>17929</v>
      </c>
      <c r="G943" t="s">
        <v>74</v>
      </c>
      <c r="H943" t="s">
        <v>74</v>
      </c>
      <c r="I943" t="s">
        <v>17930</v>
      </c>
      <c r="J943" t="s">
        <v>3154</v>
      </c>
      <c r="K943" t="s">
        <v>74</v>
      </c>
      <c r="L943" t="s">
        <v>74</v>
      </c>
      <c r="M943" t="s">
        <v>78</v>
      </c>
      <c r="N943" t="s">
        <v>79</v>
      </c>
      <c r="O943" t="s">
        <v>74</v>
      </c>
      <c r="P943" t="s">
        <v>74</v>
      </c>
      <c r="Q943" t="s">
        <v>74</v>
      </c>
      <c r="R943" t="s">
        <v>74</v>
      </c>
      <c r="S943" t="s">
        <v>74</v>
      </c>
      <c r="T943" t="s">
        <v>17931</v>
      </c>
      <c r="U943" t="s">
        <v>17932</v>
      </c>
      <c r="V943" t="s">
        <v>17933</v>
      </c>
      <c r="W943" t="s">
        <v>17934</v>
      </c>
      <c r="X943" t="s">
        <v>17935</v>
      </c>
      <c r="Y943" t="s">
        <v>17936</v>
      </c>
      <c r="Z943" t="s">
        <v>17937</v>
      </c>
      <c r="AA943" t="s">
        <v>17938</v>
      </c>
      <c r="AB943" t="s">
        <v>17939</v>
      </c>
      <c r="AC943" t="s">
        <v>17940</v>
      </c>
      <c r="AD943" t="s">
        <v>17941</v>
      </c>
      <c r="AE943" t="s">
        <v>17942</v>
      </c>
      <c r="AF943" t="s">
        <v>74</v>
      </c>
      <c r="AG943">
        <v>63</v>
      </c>
      <c r="AH943">
        <v>1</v>
      </c>
      <c r="AI943">
        <v>1</v>
      </c>
      <c r="AJ943">
        <v>0</v>
      </c>
      <c r="AK943">
        <v>0</v>
      </c>
      <c r="AL943" t="s">
        <v>2305</v>
      </c>
      <c r="AM943" t="s">
        <v>538</v>
      </c>
      <c r="AN943" t="s">
        <v>2306</v>
      </c>
      <c r="AO943" t="s">
        <v>3167</v>
      </c>
      <c r="AP943" t="s">
        <v>3168</v>
      </c>
      <c r="AQ943" t="s">
        <v>74</v>
      </c>
      <c r="AR943" t="s">
        <v>3169</v>
      </c>
      <c r="AS943" t="s">
        <v>3170</v>
      </c>
      <c r="AT943" t="s">
        <v>12049</v>
      </c>
      <c r="AU943">
        <v>2023</v>
      </c>
      <c r="AV943">
        <v>351</v>
      </c>
      <c r="AW943" t="s">
        <v>74</v>
      </c>
      <c r="AX943" t="s">
        <v>74</v>
      </c>
      <c r="AY943" t="s">
        <v>74</v>
      </c>
      <c r="AZ943" t="s">
        <v>74</v>
      </c>
      <c r="BA943" t="s">
        <v>74</v>
      </c>
      <c r="BB943">
        <v>66</v>
      </c>
      <c r="BC943">
        <v>77</v>
      </c>
      <c r="BD943" t="s">
        <v>74</v>
      </c>
      <c r="BE943" t="s">
        <v>17943</v>
      </c>
      <c r="BF943" t="str">
        <f>HYPERLINK("http://dx.doi.org/10.1016/j.gca.2023.04.019","http://dx.doi.org/10.1016/j.gca.2023.04.019")</f>
        <v>http://dx.doi.org/10.1016/j.gca.2023.04.019</v>
      </c>
      <c r="BG943" t="s">
        <v>74</v>
      </c>
      <c r="BH943" t="s">
        <v>15114</v>
      </c>
      <c r="BI943">
        <v>12</v>
      </c>
      <c r="BJ943" t="s">
        <v>597</v>
      </c>
      <c r="BK943" t="s">
        <v>104</v>
      </c>
      <c r="BL943" t="s">
        <v>597</v>
      </c>
      <c r="BM943" t="s">
        <v>17944</v>
      </c>
      <c r="BN943" t="s">
        <v>74</v>
      </c>
      <c r="BO943" t="s">
        <v>74</v>
      </c>
      <c r="BP943" t="s">
        <v>74</v>
      </c>
      <c r="BQ943" t="s">
        <v>74</v>
      </c>
      <c r="BR943" t="s">
        <v>107</v>
      </c>
      <c r="BS943" t="s">
        <v>17945</v>
      </c>
      <c r="BT943" t="str">
        <f>HYPERLINK("https%3A%2F%2Fwww.webofscience.com%2Fwos%2Fwoscc%2Ffull-record%2FWOS:001001637600001","View Full Record in Web of Science")</f>
        <v>View Full Record in Web of Science</v>
      </c>
    </row>
    <row r="944" spans="1:72" x14ac:dyDescent="0.15">
      <c r="A944" t="s">
        <v>72</v>
      </c>
      <c r="B944" t="s">
        <v>17946</v>
      </c>
      <c r="C944" t="s">
        <v>74</v>
      </c>
      <c r="D944" t="s">
        <v>74</v>
      </c>
      <c r="E944" t="s">
        <v>74</v>
      </c>
      <c r="F944" t="s">
        <v>17947</v>
      </c>
      <c r="G944" t="s">
        <v>74</v>
      </c>
      <c r="H944" t="s">
        <v>74</v>
      </c>
      <c r="I944" t="s">
        <v>17948</v>
      </c>
      <c r="J944" t="s">
        <v>5439</v>
      </c>
      <c r="K944" t="s">
        <v>74</v>
      </c>
      <c r="L944" t="s">
        <v>74</v>
      </c>
      <c r="M944" t="s">
        <v>78</v>
      </c>
      <c r="N944" t="s">
        <v>79</v>
      </c>
      <c r="O944" t="s">
        <v>74</v>
      </c>
      <c r="P944" t="s">
        <v>74</v>
      </c>
      <c r="Q944" t="s">
        <v>74</v>
      </c>
      <c r="R944" t="s">
        <v>74</v>
      </c>
      <c r="S944" t="s">
        <v>74</v>
      </c>
      <c r="T944" t="s">
        <v>17949</v>
      </c>
      <c r="U944" t="s">
        <v>17950</v>
      </c>
      <c r="V944" t="s">
        <v>17951</v>
      </c>
      <c r="W944" t="s">
        <v>17952</v>
      </c>
      <c r="X944" t="s">
        <v>17953</v>
      </c>
      <c r="Y944" t="s">
        <v>17954</v>
      </c>
      <c r="Z944" t="s">
        <v>17955</v>
      </c>
      <c r="AA944" t="s">
        <v>17956</v>
      </c>
      <c r="AB944" t="s">
        <v>17957</v>
      </c>
      <c r="AC944" t="s">
        <v>17958</v>
      </c>
      <c r="AD944" t="s">
        <v>17959</v>
      </c>
      <c r="AE944" t="s">
        <v>17960</v>
      </c>
      <c r="AF944" t="s">
        <v>74</v>
      </c>
      <c r="AG944">
        <v>82</v>
      </c>
      <c r="AH944">
        <v>0</v>
      </c>
      <c r="AI944">
        <v>0</v>
      </c>
      <c r="AJ944">
        <v>2</v>
      </c>
      <c r="AK944">
        <v>6</v>
      </c>
      <c r="AL944" t="s">
        <v>369</v>
      </c>
      <c r="AM944" t="s">
        <v>370</v>
      </c>
      <c r="AN944" t="s">
        <v>371</v>
      </c>
      <c r="AO944" t="s">
        <v>74</v>
      </c>
      <c r="AP944" t="s">
        <v>5446</v>
      </c>
      <c r="AQ944" t="s">
        <v>74</v>
      </c>
      <c r="AR944" t="s">
        <v>5439</v>
      </c>
      <c r="AS944" t="s">
        <v>5447</v>
      </c>
      <c r="AT944" t="s">
        <v>17961</v>
      </c>
      <c r="AU944">
        <v>2023</v>
      </c>
      <c r="AV944">
        <v>15</v>
      </c>
      <c r="AW944">
        <v>5</v>
      </c>
      <c r="AX944" t="s">
        <v>74</v>
      </c>
      <c r="AY944" t="s">
        <v>74</v>
      </c>
      <c r="AZ944" t="s">
        <v>74</v>
      </c>
      <c r="BA944" t="s">
        <v>74</v>
      </c>
      <c r="BB944" t="s">
        <v>74</v>
      </c>
      <c r="BC944" t="s">
        <v>74</v>
      </c>
      <c r="BD944">
        <v>632</v>
      </c>
      <c r="BE944" t="s">
        <v>17962</v>
      </c>
      <c r="BF944" t="str">
        <f>HYPERLINK("http://dx.doi.org/10.3390/d15050632","http://dx.doi.org/10.3390/d15050632")</f>
        <v>http://dx.doi.org/10.3390/d15050632</v>
      </c>
      <c r="BG944" t="s">
        <v>74</v>
      </c>
      <c r="BH944" t="s">
        <v>74</v>
      </c>
      <c r="BI944">
        <v>13</v>
      </c>
      <c r="BJ944" t="s">
        <v>3772</v>
      </c>
      <c r="BK944" t="s">
        <v>104</v>
      </c>
      <c r="BL944" t="s">
        <v>1905</v>
      </c>
      <c r="BM944" t="s">
        <v>17963</v>
      </c>
      <c r="BN944" t="s">
        <v>74</v>
      </c>
      <c r="BO944" t="s">
        <v>206</v>
      </c>
      <c r="BP944" t="s">
        <v>74</v>
      </c>
      <c r="BQ944" t="s">
        <v>74</v>
      </c>
      <c r="BR944" t="s">
        <v>107</v>
      </c>
      <c r="BS944" t="s">
        <v>17964</v>
      </c>
      <c r="BT944" t="str">
        <f>HYPERLINK("https%3A%2F%2Fwww.webofscience.com%2Fwos%2Fwoscc%2Ffull-record%2FWOS:000997221000001","View Full Record in Web of Science")</f>
        <v>View Full Record in Web of Science</v>
      </c>
    </row>
    <row r="945" spans="1:72" x14ac:dyDescent="0.15">
      <c r="A945" t="s">
        <v>72</v>
      </c>
      <c r="B945" t="s">
        <v>17965</v>
      </c>
      <c r="C945" t="s">
        <v>74</v>
      </c>
      <c r="D945" t="s">
        <v>74</v>
      </c>
      <c r="E945" t="s">
        <v>74</v>
      </c>
      <c r="F945" t="s">
        <v>17966</v>
      </c>
      <c r="G945" t="s">
        <v>74</v>
      </c>
      <c r="H945" t="s">
        <v>74</v>
      </c>
      <c r="I945" t="s">
        <v>17967</v>
      </c>
      <c r="J945" t="s">
        <v>1763</v>
      </c>
      <c r="K945" t="s">
        <v>74</v>
      </c>
      <c r="L945" t="s">
        <v>74</v>
      </c>
      <c r="M945" t="s">
        <v>78</v>
      </c>
      <c r="N945" t="s">
        <v>79</v>
      </c>
      <c r="O945" t="s">
        <v>74</v>
      </c>
      <c r="P945" t="s">
        <v>74</v>
      </c>
      <c r="Q945" t="s">
        <v>74</v>
      </c>
      <c r="R945" t="s">
        <v>74</v>
      </c>
      <c r="S945" t="s">
        <v>74</v>
      </c>
      <c r="T945" t="s">
        <v>74</v>
      </c>
      <c r="U945" t="s">
        <v>17968</v>
      </c>
      <c r="V945" t="s">
        <v>17969</v>
      </c>
      <c r="W945" t="s">
        <v>17970</v>
      </c>
      <c r="X945" t="s">
        <v>17971</v>
      </c>
      <c r="Y945" t="s">
        <v>17972</v>
      </c>
      <c r="Z945" t="s">
        <v>17973</v>
      </c>
      <c r="AA945" t="s">
        <v>17974</v>
      </c>
      <c r="AB945" t="s">
        <v>17975</v>
      </c>
      <c r="AC945" t="s">
        <v>17976</v>
      </c>
      <c r="AD945" t="s">
        <v>7575</v>
      </c>
      <c r="AE945" t="s">
        <v>17977</v>
      </c>
      <c r="AF945" t="s">
        <v>74</v>
      </c>
      <c r="AG945">
        <v>53</v>
      </c>
      <c r="AH945">
        <v>5</v>
      </c>
      <c r="AI945">
        <v>5</v>
      </c>
      <c r="AJ945">
        <v>2</v>
      </c>
      <c r="AK945">
        <v>3</v>
      </c>
      <c r="AL945" t="s">
        <v>1775</v>
      </c>
      <c r="AM945" t="s">
        <v>1776</v>
      </c>
      <c r="AN945" t="s">
        <v>1777</v>
      </c>
      <c r="AO945" t="s">
        <v>1778</v>
      </c>
      <c r="AP945" t="s">
        <v>1779</v>
      </c>
      <c r="AQ945" t="s">
        <v>74</v>
      </c>
      <c r="AR945" t="s">
        <v>1763</v>
      </c>
      <c r="AS945" t="s">
        <v>1780</v>
      </c>
      <c r="AT945" t="s">
        <v>17978</v>
      </c>
      <c r="AU945">
        <v>2023</v>
      </c>
      <c r="AV945">
        <v>17</v>
      </c>
      <c r="AW945">
        <v>5</v>
      </c>
      <c r="AX945" t="s">
        <v>74</v>
      </c>
      <c r="AY945" t="s">
        <v>74</v>
      </c>
      <c r="AZ945" t="s">
        <v>74</v>
      </c>
      <c r="BA945" t="s">
        <v>74</v>
      </c>
      <c r="BB945">
        <v>1821</v>
      </c>
      <c r="BC945">
        <v>1837</v>
      </c>
      <c r="BD945" t="s">
        <v>74</v>
      </c>
      <c r="BE945" t="s">
        <v>17979</v>
      </c>
      <c r="BF945" t="str">
        <f>HYPERLINK("http://dx.doi.org/10.5194/tc-17-1821-2023","http://dx.doi.org/10.5194/tc-17-1821-2023")</f>
        <v>http://dx.doi.org/10.5194/tc-17-1821-2023</v>
      </c>
      <c r="BG945" t="s">
        <v>74</v>
      </c>
      <c r="BH945" t="s">
        <v>74</v>
      </c>
      <c r="BI945">
        <v>17</v>
      </c>
      <c r="BJ945" t="s">
        <v>1783</v>
      </c>
      <c r="BK945" t="s">
        <v>104</v>
      </c>
      <c r="BL945" t="s">
        <v>1784</v>
      </c>
      <c r="BM945" t="s">
        <v>17980</v>
      </c>
      <c r="BN945" t="s">
        <v>74</v>
      </c>
      <c r="BO945" t="s">
        <v>17981</v>
      </c>
      <c r="BP945" t="s">
        <v>74</v>
      </c>
      <c r="BQ945" t="s">
        <v>74</v>
      </c>
      <c r="BR945" t="s">
        <v>107</v>
      </c>
      <c r="BS945" t="s">
        <v>17982</v>
      </c>
      <c r="BT945" t="str">
        <f>HYPERLINK("https%3A%2F%2Fwww.webofscience.com%2Fwos%2Fwoscc%2Ffull-record%2FWOS:000982115600001","View Full Record in Web of Science")</f>
        <v>View Full Record in Web of Science</v>
      </c>
    </row>
    <row r="946" spans="1:72" x14ac:dyDescent="0.15">
      <c r="A946" t="s">
        <v>72</v>
      </c>
      <c r="B946" t="s">
        <v>17983</v>
      </c>
      <c r="C946" t="s">
        <v>74</v>
      </c>
      <c r="D946" t="s">
        <v>74</v>
      </c>
      <c r="E946" t="s">
        <v>74</v>
      </c>
      <c r="F946" t="s">
        <v>17984</v>
      </c>
      <c r="G946" t="s">
        <v>74</v>
      </c>
      <c r="H946" t="s">
        <v>74</v>
      </c>
      <c r="I946" t="s">
        <v>17985</v>
      </c>
      <c r="J946" t="s">
        <v>2610</v>
      </c>
      <c r="K946" t="s">
        <v>74</v>
      </c>
      <c r="L946" t="s">
        <v>74</v>
      </c>
      <c r="M946" t="s">
        <v>78</v>
      </c>
      <c r="N946" t="s">
        <v>79</v>
      </c>
      <c r="O946" t="s">
        <v>74</v>
      </c>
      <c r="P946" t="s">
        <v>74</v>
      </c>
      <c r="Q946" t="s">
        <v>74</v>
      </c>
      <c r="R946" t="s">
        <v>74</v>
      </c>
      <c r="S946" t="s">
        <v>74</v>
      </c>
      <c r="T946" t="s">
        <v>74</v>
      </c>
      <c r="U946" t="s">
        <v>17986</v>
      </c>
      <c r="V946" t="s">
        <v>17987</v>
      </c>
      <c r="W946" t="s">
        <v>17988</v>
      </c>
      <c r="X946" t="s">
        <v>17989</v>
      </c>
      <c r="Y946" t="s">
        <v>17990</v>
      </c>
      <c r="Z946" t="s">
        <v>17991</v>
      </c>
      <c r="AA946" t="s">
        <v>17992</v>
      </c>
      <c r="AB946" t="s">
        <v>17993</v>
      </c>
      <c r="AC946" t="s">
        <v>17994</v>
      </c>
      <c r="AD946" t="s">
        <v>17995</v>
      </c>
      <c r="AE946" t="s">
        <v>17996</v>
      </c>
      <c r="AF946" t="s">
        <v>74</v>
      </c>
      <c r="AG946">
        <v>92</v>
      </c>
      <c r="AH946">
        <v>3</v>
      </c>
      <c r="AI946">
        <v>3</v>
      </c>
      <c r="AJ946">
        <v>0</v>
      </c>
      <c r="AK946">
        <v>4</v>
      </c>
      <c r="AL946" t="s">
        <v>2617</v>
      </c>
      <c r="AM946" t="s">
        <v>1528</v>
      </c>
      <c r="AN946" t="s">
        <v>2618</v>
      </c>
      <c r="AO946" t="s">
        <v>74</v>
      </c>
      <c r="AP946" t="s">
        <v>2619</v>
      </c>
      <c r="AQ946" t="s">
        <v>74</v>
      </c>
      <c r="AR946" t="s">
        <v>2620</v>
      </c>
      <c r="AS946" t="s">
        <v>2621</v>
      </c>
      <c r="AT946" t="s">
        <v>17978</v>
      </c>
      <c r="AU946">
        <v>2023</v>
      </c>
      <c r="AV946">
        <v>4</v>
      </c>
      <c r="AW946">
        <v>1</v>
      </c>
      <c r="AX946" t="s">
        <v>74</v>
      </c>
      <c r="AY946" t="s">
        <v>74</v>
      </c>
      <c r="AZ946" t="s">
        <v>74</v>
      </c>
      <c r="BA946" t="s">
        <v>74</v>
      </c>
      <c r="BB946" t="s">
        <v>74</v>
      </c>
      <c r="BC946" t="s">
        <v>74</v>
      </c>
      <c r="BD946">
        <v>153</v>
      </c>
      <c r="BE946" t="s">
        <v>17997</v>
      </c>
      <c r="BF946" t="str">
        <f>HYPERLINK("http://dx.doi.org/10.1038/s43247-023-00793-7","http://dx.doi.org/10.1038/s43247-023-00793-7")</f>
        <v>http://dx.doi.org/10.1038/s43247-023-00793-7</v>
      </c>
      <c r="BG946" t="s">
        <v>74</v>
      </c>
      <c r="BH946" t="s">
        <v>74</v>
      </c>
      <c r="BI946">
        <v>20</v>
      </c>
      <c r="BJ946" t="s">
        <v>1214</v>
      </c>
      <c r="BK946" t="s">
        <v>104</v>
      </c>
      <c r="BL946" t="s">
        <v>1215</v>
      </c>
      <c r="BM946" t="s">
        <v>17998</v>
      </c>
      <c r="BN946" t="s">
        <v>74</v>
      </c>
      <c r="BO946" t="s">
        <v>7816</v>
      </c>
      <c r="BP946" t="s">
        <v>74</v>
      </c>
      <c r="BQ946" t="s">
        <v>74</v>
      </c>
      <c r="BR946" t="s">
        <v>107</v>
      </c>
      <c r="BS946" t="s">
        <v>17999</v>
      </c>
      <c r="BT946" t="str">
        <f>HYPERLINK("https%3A%2F%2Fwww.webofscience.com%2Fwos%2Fwoscc%2Ffull-record%2FWOS:000983267400001","View Full Record in Web of Science")</f>
        <v>View Full Record in Web of Science</v>
      </c>
    </row>
    <row r="947" spans="1:72" x14ac:dyDescent="0.15">
      <c r="A947" t="s">
        <v>72</v>
      </c>
      <c r="B947" t="s">
        <v>18000</v>
      </c>
      <c r="C947" t="s">
        <v>74</v>
      </c>
      <c r="D947" t="s">
        <v>74</v>
      </c>
      <c r="E947" t="s">
        <v>74</v>
      </c>
      <c r="F947" t="s">
        <v>18001</v>
      </c>
      <c r="G947" t="s">
        <v>74</v>
      </c>
      <c r="H947" t="s">
        <v>74</v>
      </c>
      <c r="I947" t="s">
        <v>18002</v>
      </c>
      <c r="J947" t="s">
        <v>18003</v>
      </c>
      <c r="K947" t="s">
        <v>74</v>
      </c>
      <c r="L947" t="s">
        <v>74</v>
      </c>
      <c r="M947" t="s">
        <v>78</v>
      </c>
      <c r="N947" t="s">
        <v>79</v>
      </c>
      <c r="O947" t="s">
        <v>74</v>
      </c>
      <c r="P947" t="s">
        <v>74</v>
      </c>
      <c r="Q947" t="s">
        <v>74</v>
      </c>
      <c r="R947" t="s">
        <v>74</v>
      </c>
      <c r="S947" t="s">
        <v>74</v>
      </c>
      <c r="T947" t="s">
        <v>18004</v>
      </c>
      <c r="U947" t="s">
        <v>18005</v>
      </c>
      <c r="V947" t="s">
        <v>18006</v>
      </c>
      <c r="W947" t="s">
        <v>18007</v>
      </c>
      <c r="X947" t="s">
        <v>18008</v>
      </c>
      <c r="Y947" t="s">
        <v>18009</v>
      </c>
      <c r="Z947" t="s">
        <v>18010</v>
      </c>
      <c r="AA947" t="s">
        <v>18011</v>
      </c>
      <c r="AB947" t="s">
        <v>18012</v>
      </c>
      <c r="AC947" t="s">
        <v>18013</v>
      </c>
      <c r="AD947" t="s">
        <v>18014</v>
      </c>
      <c r="AE947" t="s">
        <v>18013</v>
      </c>
      <c r="AF947" t="s">
        <v>74</v>
      </c>
      <c r="AG947">
        <v>93</v>
      </c>
      <c r="AH947">
        <v>2</v>
      </c>
      <c r="AI947">
        <v>2</v>
      </c>
      <c r="AJ947">
        <v>3</v>
      </c>
      <c r="AK947">
        <v>13</v>
      </c>
      <c r="AL947" t="s">
        <v>460</v>
      </c>
      <c r="AM947" t="s">
        <v>461</v>
      </c>
      <c r="AN947" t="s">
        <v>462</v>
      </c>
      <c r="AO947" t="s">
        <v>18015</v>
      </c>
      <c r="AP947" t="s">
        <v>18016</v>
      </c>
      <c r="AQ947" t="s">
        <v>74</v>
      </c>
      <c r="AR947" t="s">
        <v>18017</v>
      </c>
      <c r="AS947" t="s">
        <v>18018</v>
      </c>
      <c r="AT947" t="s">
        <v>3612</v>
      </c>
      <c r="AU947">
        <v>2023</v>
      </c>
      <c r="AV947">
        <v>29</v>
      </c>
      <c r="AW947">
        <v>7</v>
      </c>
      <c r="AX947" t="s">
        <v>74</v>
      </c>
      <c r="AY947" t="s">
        <v>74</v>
      </c>
      <c r="AZ947" t="s">
        <v>74</v>
      </c>
      <c r="BA947" t="s">
        <v>74</v>
      </c>
      <c r="BB947">
        <v>892</v>
      </c>
      <c r="BC947">
        <v>911</v>
      </c>
      <c r="BD947" t="s">
        <v>74</v>
      </c>
      <c r="BE947" t="s">
        <v>18019</v>
      </c>
      <c r="BF947" t="str">
        <f>HYPERLINK("http://dx.doi.org/10.1111/ddi.13703","http://dx.doi.org/10.1111/ddi.13703")</f>
        <v>http://dx.doi.org/10.1111/ddi.13703</v>
      </c>
      <c r="BG947" t="s">
        <v>74</v>
      </c>
      <c r="BH947" t="s">
        <v>15114</v>
      </c>
      <c r="BI947">
        <v>20</v>
      </c>
      <c r="BJ947" t="s">
        <v>3772</v>
      </c>
      <c r="BK947" t="s">
        <v>104</v>
      </c>
      <c r="BL947" t="s">
        <v>1905</v>
      </c>
      <c r="BM947" t="s">
        <v>18020</v>
      </c>
      <c r="BN947" t="s">
        <v>74</v>
      </c>
      <c r="BO947" t="s">
        <v>181</v>
      </c>
      <c r="BP947" t="s">
        <v>74</v>
      </c>
      <c r="BQ947" t="s">
        <v>74</v>
      </c>
      <c r="BR947" t="s">
        <v>107</v>
      </c>
      <c r="BS947" t="s">
        <v>18021</v>
      </c>
      <c r="BT947" t="str">
        <f>HYPERLINK("https%3A%2F%2Fwww.webofscience.com%2Fwos%2Fwoscc%2Ffull-record%2FWOS:000982296200001","View Full Record in Web of Science")</f>
        <v>View Full Record in Web of Science</v>
      </c>
    </row>
    <row r="948" spans="1:72" x14ac:dyDescent="0.15">
      <c r="A948" t="s">
        <v>72</v>
      </c>
      <c r="B948" t="s">
        <v>18022</v>
      </c>
      <c r="C948" t="s">
        <v>74</v>
      </c>
      <c r="D948" t="s">
        <v>74</v>
      </c>
      <c r="E948" t="s">
        <v>74</v>
      </c>
      <c r="F948" t="s">
        <v>18023</v>
      </c>
      <c r="G948" t="s">
        <v>74</v>
      </c>
      <c r="H948" t="s">
        <v>74</v>
      </c>
      <c r="I948" t="s">
        <v>18024</v>
      </c>
      <c r="J948" t="s">
        <v>1820</v>
      </c>
      <c r="K948" t="s">
        <v>74</v>
      </c>
      <c r="L948" t="s">
        <v>74</v>
      </c>
      <c r="M948" t="s">
        <v>78</v>
      </c>
      <c r="N948" t="s">
        <v>79</v>
      </c>
      <c r="O948" t="s">
        <v>74</v>
      </c>
      <c r="P948" t="s">
        <v>74</v>
      </c>
      <c r="Q948" t="s">
        <v>74</v>
      </c>
      <c r="R948" t="s">
        <v>74</v>
      </c>
      <c r="S948" t="s">
        <v>74</v>
      </c>
      <c r="T948" t="s">
        <v>18025</v>
      </c>
      <c r="U948" t="s">
        <v>18026</v>
      </c>
      <c r="V948" t="s">
        <v>18027</v>
      </c>
      <c r="W948" t="s">
        <v>18028</v>
      </c>
      <c r="X948" t="s">
        <v>18029</v>
      </c>
      <c r="Y948" t="s">
        <v>18030</v>
      </c>
      <c r="Z948" t="s">
        <v>18031</v>
      </c>
      <c r="AA948" t="s">
        <v>18032</v>
      </c>
      <c r="AB948" t="s">
        <v>18033</v>
      </c>
      <c r="AC948" t="s">
        <v>18034</v>
      </c>
      <c r="AD948" t="s">
        <v>7490</v>
      </c>
      <c r="AE948" t="s">
        <v>18035</v>
      </c>
      <c r="AF948" t="s">
        <v>74</v>
      </c>
      <c r="AG948">
        <v>79</v>
      </c>
      <c r="AH948">
        <v>1</v>
      </c>
      <c r="AI948">
        <v>1</v>
      </c>
      <c r="AJ948">
        <v>4</v>
      </c>
      <c r="AK948">
        <v>13</v>
      </c>
      <c r="AL948" t="s">
        <v>994</v>
      </c>
      <c r="AM948" t="s">
        <v>995</v>
      </c>
      <c r="AN948" t="s">
        <v>996</v>
      </c>
      <c r="AO948" t="s">
        <v>74</v>
      </c>
      <c r="AP948" t="s">
        <v>1833</v>
      </c>
      <c r="AQ948" t="s">
        <v>74</v>
      </c>
      <c r="AR948" t="s">
        <v>1834</v>
      </c>
      <c r="AS948" t="s">
        <v>1835</v>
      </c>
      <c r="AT948" t="s">
        <v>17978</v>
      </c>
      <c r="AU948">
        <v>2023</v>
      </c>
      <c r="AV948">
        <v>14</v>
      </c>
      <c r="AW948" t="s">
        <v>74</v>
      </c>
      <c r="AX948" t="s">
        <v>74</v>
      </c>
      <c r="AY948" t="s">
        <v>74</v>
      </c>
      <c r="AZ948" t="s">
        <v>74</v>
      </c>
      <c r="BA948" t="s">
        <v>74</v>
      </c>
      <c r="BB948" t="s">
        <v>74</v>
      </c>
      <c r="BC948" t="s">
        <v>74</v>
      </c>
      <c r="BD948">
        <v>1161265</v>
      </c>
      <c r="BE948" t="s">
        <v>18036</v>
      </c>
      <c r="BF948" t="str">
        <f>HYPERLINK("http://dx.doi.org/10.3389/fmicb.2023.1161265","http://dx.doi.org/10.3389/fmicb.2023.1161265")</f>
        <v>http://dx.doi.org/10.3389/fmicb.2023.1161265</v>
      </c>
      <c r="BG948" t="s">
        <v>74</v>
      </c>
      <c r="BH948" t="s">
        <v>74</v>
      </c>
      <c r="BI948">
        <v>12</v>
      </c>
      <c r="BJ948" t="s">
        <v>702</v>
      </c>
      <c r="BK948" t="s">
        <v>104</v>
      </c>
      <c r="BL948" t="s">
        <v>702</v>
      </c>
      <c r="BM948" t="s">
        <v>18037</v>
      </c>
      <c r="BN948">
        <v>37213492</v>
      </c>
      <c r="BO948" t="s">
        <v>821</v>
      </c>
      <c r="BP948" t="s">
        <v>74</v>
      </c>
      <c r="BQ948" t="s">
        <v>74</v>
      </c>
      <c r="BR948" t="s">
        <v>107</v>
      </c>
      <c r="BS948" t="s">
        <v>18038</v>
      </c>
      <c r="BT948" t="str">
        <f>HYPERLINK("https%3A%2F%2Fwww.webofscience.com%2Fwos%2Fwoscc%2Ffull-record%2FWOS:000990533600001","View Full Record in Web of Science")</f>
        <v>View Full Record in Web of Science</v>
      </c>
    </row>
    <row r="949" spans="1:72" x14ac:dyDescent="0.15">
      <c r="A949" t="s">
        <v>72</v>
      </c>
      <c r="B949" t="s">
        <v>18039</v>
      </c>
      <c r="C949" t="s">
        <v>74</v>
      </c>
      <c r="D949" t="s">
        <v>74</v>
      </c>
      <c r="E949" t="s">
        <v>74</v>
      </c>
      <c r="F949" t="s">
        <v>18040</v>
      </c>
      <c r="G949" t="s">
        <v>74</v>
      </c>
      <c r="H949" t="s">
        <v>18041</v>
      </c>
      <c r="I949" t="s">
        <v>18042</v>
      </c>
      <c r="J949" t="s">
        <v>18043</v>
      </c>
      <c r="K949" t="s">
        <v>74</v>
      </c>
      <c r="L949" t="s">
        <v>74</v>
      </c>
      <c r="M949" t="s">
        <v>78</v>
      </c>
      <c r="N949" t="s">
        <v>79</v>
      </c>
      <c r="O949" t="s">
        <v>74</v>
      </c>
      <c r="P949" t="s">
        <v>74</v>
      </c>
      <c r="Q949" t="s">
        <v>74</v>
      </c>
      <c r="R949" t="s">
        <v>74</v>
      </c>
      <c r="S949" t="s">
        <v>74</v>
      </c>
      <c r="T949" t="s">
        <v>18044</v>
      </c>
      <c r="U949" t="s">
        <v>18045</v>
      </c>
      <c r="V949" t="s">
        <v>18046</v>
      </c>
      <c r="W949" t="s">
        <v>18047</v>
      </c>
      <c r="X949" t="s">
        <v>18048</v>
      </c>
      <c r="Y949" t="s">
        <v>18049</v>
      </c>
      <c r="Z949" t="s">
        <v>18050</v>
      </c>
      <c r="AA949" t="s">
        <v>18051</v>
      </c>
      <c r="AB949" t="s">
        <v>18052</v>
      </c>
      <c r="AC949" t="s">
        <v>18053</v>
      </c>
      <c r="AD949" t="s">
        <v>18054</v>
      </c>
      <c r="AE949" t="s">
        <v>18055</v>
      </c>
      <c r="AF949" t="s">
        <v>74</v>
      </c>
      <c r="AG949">
        <v>99</v>
      </c>
      <c r="AH949">
        <v>2</v>
      </c>
      <c r="AI949">
        <v>2</v>
      </c>
      <c r="AJ949">
        <v>4</v>
      </c>
      <c r="AK949">
        <v>8</v>
      </c>
      <c r="AL949" t="s">
        <v>460</v>
      </c>
      <c r="AM949" t="s">
        <v>461</v>
      </c>
      <c r="AN949" t="s">
        <v>462</v>
      </c>
      <c r="AO949" t="s">
        <v>18056</v>
      </c>
      <c r="AP949" t="s">
        <v>18057</v>
      </c>
      <c r="AQ949" t="s">
        <v>74</v>
      </c>
      <c r="AR949" t="s">
        <v>18058</v>
      </c>
      <c r="AS949" t="s">
        <v>18059</v>
      </c>
      <c r="AT949" t="s">
        <v>3551</v>
      </c>
      <c r="AU949">
        <v>2023</v>
      </c>
      <c r="AV949">
        <v>34</v>
      </c>
      <c r="AW949">
        <v>13</v>
      </c>
      <c r="AX949" t="s">
        <v>74</v>
      </c>
      <c r="AY949" t="s">
        <v>74</v>
      </c>
      <c r="AZ949" t="s">
        <v>74</v>
      </c>
      <c r="BA949" t="s">
        <v>74</v>
      </c>
      <c r="BB949">
        <v>3973</v>
      </c>
      <c r="BC949">
        <v>3990</v>
      </c>
      <c r="BD949" t="s">
        <v>74</v>
      </c>
      <c r="BE949" t="s">
        <v>18060</v>
      </c>
      <c r="BF949" t="str">
        <f>HYPERLINK("http://dx.doi.org/10.1002/ldr.4730","http://dx.doi.org/10.1002/ldr.4730")</f>
        <v>http://dx.doi.org/10.1002/ldr.4730</v>
      </c>
      <c r="BG949" t="s">
        <v>74</v>
      </c>
      <c r="BH949" t="s">
        <v>15114</v>
      </c>
      <c r="BI949">
        <v>18</v>
      </c>
      <c r="BJ949" t="s">
        <v>18061</v>
      </c>
      <c r="BK949" t="s">
        <v>104</v>
      </c>
      <c r="BL949" t="s">
        <v>18062</v>
      </c>
      <c r="BM949" t="s">
        <v>18063</v>
      </c>
      <c r="BN949" t="s">
        <v>74</v>
      </c>
      <c r="BO949" t="s">
        <v>936</v>
      </c>
      <c r="BP949" t="s">
        <v>74</v>
      </c>
      <c r="BQ949" t="s">
        <v>74</v>
      </c>
      <c r="BR949" t="s">
        <v>107</v>
      </c>
      <c r="BS949" t="s">
        <v>18064</v>
      </c>
      <c r="BT949" t="str">
        <f>HYPERLINK("https%3A%2F%2Fwww.webofscience.com%2Fwos%2Fwoscc%2Ffull-record%2FWOS:000981386100001","View Full Record in Web of Science")</f>
        <v>View Full Record in Web of Science</v>
      </c>
    </row>
    <row r="950" spans="1:72" x14ac:dyDescent="0.15">
      <c r="A950" t="s">
        <v>72</v>
      </c>
      <c r="B950" t="s">
        <v>18065</v>
      </c>
      <c r="C950" t="s">
        <v>74</v>
      </c>
      <c r="D950" t="s">
        <v>74</v>
      </c>
      <c r="E950" t="s">
        <v>74</v>
      </c>
      <c r="F950" t="s">
        <v>18066</v>
      </c>
      <c r="G950" t="s">
        <v>74</v>
      </c>
      <c r="H950" t="s">
        <v>74</v>
      </c>
      <c r="I950" t="s">
        <v>18067</v>
      </c>
      <c r="J950" t="s">
        <v>7978</v>
      </c>
      <c r="K950" t="s">
        <v>74</v>
      </c>
      <c r="L950" t="s">
        <v>74</v>
      </c>
      <c r="M950" t="s">
        <v>78</v>
      </c>
      <c r="N950" t="s">
        <v>1911</v>
      </c>
      <c r="O950" t="s">
        <v>74</v>
      </c>
      <c r="P950" t="s">
        <v>74</v>
      </c>
      <c r="Q950" t="s">
        <v>74</v>
      </c>
      <c r="R950" t="s">
        <v>74</v>
      </c>
      <c r="S950" t="s">
        <v>74</v>
      </c>
      <c r="T950" t="s">
        <v>18068</v>
      </c>
      <c r="U950" t="s">
        <v>18069</v>
      </c>
      <c r="V950" t="s">
        <v>18070</v>
      </c>
      <c r="W950" t="s">
        <v>18071</v>
      </c>
      <c r="X950" t="s">
        <v>18072</v>
      </c>
      <c r="Y950" t="s">
        <v>18073</v>
      </c>
      <c r="Z950" t="s">
        <v>18074</v>
      </c>
      <c r="AA950" t="s">
        <v>74</v>
      </c>
      <c r="AB950" t="s">
        <v>18075</v>
      </c>
      <c r="AC950" t="s">
        <v>18076</v>
      </c>
      <c r="AD950" t="s">
        <v>18077</v>
      </c>
      <c r="AE950" t="s">
        <v>18078</v>
      </c>
      <c r="AF950" t="s">
        <v>74</v>
      </c>
      <c r="AG950">
        <v>20</v>
      </c>
      <c r="AH950">
        <v>0</v>
      </c>
      <c r="AI950">
        <v>0</v>
      </c>
      <c r="AJ950">
        <v>4</v>
      </c>
      <c r="AK950">
        <v>7</v>
      </c>
      <c r="AL950" t="s">
        <v>1803</v>
      </c>
      <c r="AM950" t="s">
        <v>1804</v>
      </c>
      <c r="AN950" t="s">
        <v>1805</v>
      </c>
      <c r="AO950" t="s">
        <v>7990</v>
      </c>
      <c r="AP950" t="s">
        <v>7991</v>
      </c>
      <c r="AQ950" t="s">
        <v>74</v>
      </c>
      <c r="AR950" t="s">
        <v>7992</v>
      </c>
      <c r="AS950" t="s">
        <v>7993</v>
      </c>
      <c r="AT950" t="s">
        <v>18079</v>
      </c>
      <c r="AU950">
        <v>2023</v>
      </c>
      <c r="AV950" t="s">
        <v>74</v>
      </c>
      <c r="AW950" t="s">
        <v>74</v>
      </c>
      <c r="AX950" t="s">
        <v>74</v>
      </c>
      <c r="AY950" t="s">
        <v>74</v>
      </c>
      <c r="AZ950" t="s">
        <v>74</v>
      </c>
      <c r="BA950" t="s">
        <v>74</v>
      </c>
      <c r="BB950" t="s">
        <v>74</v>
      </c>
      <c r="BC950" t="s">
        <v>74</v>
      </c>
      <c r="BD950" t="s">
        <v>18080</v>
      </c>
      <c r="BE950" t="s">
        <v>18081</v>
      </c>
      <c r="BF950" t="str">
        <f>HYPERLINK("http://dx.doi.org/10.1017/aog.2023.27","http://dx.doi.org/10.1017/aog.2023.27")</f>
        <v>http://dx.doi.org/10.1017/aog.2023.27</v>
      </c>
      <c r="BG950" t="s">
        <v>74</v>
      </c>
      <c r="BH950" t="s">
        <v>15114</v>
      </c>
      <c r="BI950">
        <v>6</v>
      </c>
      <c r="BJ950" t="s">
        <v>1783</v>
      </c>
      <c r="BK950" t="s">
        <v>104</v>
      </c>
      <c r="BL950" t="s">
        <v>1784</v>
      </c>
      <c r="BM950" t="s">
        <v>18082</v>
      </c>
      <c r="BN950" t="s">
        <v>74</v>
      </c>
      <c r="BO950" t="s">
        <v>206</v>
      </c>
      <c r="BP950" t="s">
        <v>74</v>
      </c>
      <c r="BQ950" t="s">
        <v>74</v>
      </c>
      <c r="BR950" t="s">
        <v>107</v>
      </c>
      <c r="BS950" t="s">
        <v>18083</v>
      </c>
      <c r="BT950" t="str">
        <f>HYPERLINK("https%3A%2F%2Fwww.webofscience.com%2Fwos%2Fwoscc%2Ffull-record%2FWOS:000981834500001","View Full Record in Web of Science")</f>
        <v>View Full Record in Web of Science</v>
      </c>
    </row>
    <row r="951" spans="1:72" x14ac:dyDescent="0.15">
      <c r="A951" t="s">
        <v>72</v>
      </c>
      <c r="B951" t="s">
        <v>18084</v>
      </c>
      <c r="C951" t="s">
        <v>74</v>
      </c>
      <c r="D951" t="s">
        <v>74</v>
      </c>
      <c r="E951" t="s">
        <v>74</v>
      </c>
      <c r="F951" t="s">
        <v>18085</v>
      </c>
      <c r="G951" t="s">
        <v>74</v>
      </c>
      <c r="H951" t="s">
        <v>74</v>
      </c>
      <c r="I951" t="s">
        <v>18086</v>
      </c>
      <c r="J951" t="s">
        <v>18087</v>
      </c>
      <c r="K951" t="s">
        <v>74</v>
      </c>
      <c r="L951" t="s">
        <v>74</v>
      </c>
      <c r="M951" t="s">
        <v>78</v>
      </c>
      <c r="N951" t="s">
        <v>79</v>
      </c>
      <c r="O951" t="s">
        <v>74</v>
      </c>
      <c r="P951" t="s">
        <v>74</v>
      </c>
      <c r="Q951" t="s">
        <v>74</v>
      </c>
      <c r="R951" t="s">
        <v>74</v>
      </c>
      <c r="S951" t="s">
        <v>74</v>
      </c>
      <c r="T951" t="s">
        <v>18088</v>
      </c>
      <c r="U951" t="s">
        <v>18089</v>
      </c>
      <c r="V951" t="s">
        <v>18090</v>
      </c>
      <c r="W951" t="s">
        <v>18091</v>
      </c>
      <c r="X951" t="s">
        <v>18092</v>
      </c>
      <c r="Y951" t="s">
        <v>18093</v>
      </c>
      <c r="Z951" t="s">
        <v>18094</v>
      </c>
      <c r="AA951" t="s">
        <v>74</v>
      </c>
      <c r="AB951" t="s">
        <v>18095</v>
      </c>
      <c r="AC951" t="s">
        <v>74</v>
      </c>
      <c r="AD951" t="s">
        <v>74</v>
      </c>
      <c r="AE951" t="s">
        <v>74</v>
      </c>
      <c r="AF951" t="s">
        <v>74</v>
      </c>
      <c r="AG951">
        <v>55</v>
      </c>
      <c r="AH951">
        <v>0</v>
      </c>
      <c r="AI951">
        <v>0</v>
      </c>
      <c r="AJ951">
        <v>0</v>
      </c>
      <c r="AK951">
        <v>3</v>
      </c>
      <c r="AL951" t="s">
        <v>460</v>
      </c>
      <c r="AM951" t="s">
        <v>461</v>
      </c>
      <c r="AN951" t="s">
        <v>462</v>
      </c>
      <c r="AO951" t="s">
        <v>18096</v>
      </c>
      <c r="AP951" t="s">
        <v>18097</v>
      </c>
      <c r="AQ951" t="s">
        <v>74</v>
      </c>
      <c r="AR951" t="s">
        <v>18098</v>
      </c>
      <c r="AS951" t="s">
        <v>18099</v>
      </c>
      <c r="AT951" t="s">
        <v>97</v>
      </c>
      <c r="AU951">
        <v>2023</v>
      </c>
      <c r="AV951">
        <v>107</v>
      </c>
      <c r="AW951">
        <v>5</v>
      </c>
      <c r="AX951" t="s">
        <v>74</v>
      </c>
      <c r="AY951" t="s">
        <v>74</v>
      </c>
      <c r="AZ951" t="s">
        <v>74</v>
      </c>
      <c r="BA951" t="s">
        <v>74</v>
      </c>
      <c r="BB951">
        <v>1251</v>
      </c>
      <c r="BC951">
        <v>1261</v>
      </c>
      <c r="BD951" t="s">
        <v>74</v>
      </c>
      <c r="BE951" t="s">
        <v>18100</v>
      </c>
      <c r="BF951" t="str">
        <f>HYPERLINK("http://dx.doi.org/10.1111/jpn.13828","http://dx.doi.org/10.1111/jpn.13828")</f>
        <v>http://dx.doi.org/10.1111/jpn.13828</v>
      </c>
      <c r="BG951" t="s">
        <v>74</v>
      </c>
      <c r="BH951" t="s">
        <v>15114</v>
      </c>
      <c r="BI951">
        <v>11</v>
      </c>
      <c r="BJ951" t="s">
        <v>18101</v>
      </c>
      <c r="BK951" t="s">
        <v>104</v>
      </c>
      <c r="BL951" t="s">
        <v>18102</v>
      </c>
      <c r="BM951" t="s">
        <v>18103</v>
      </c>
      <c r="BN951">
        <v>37144326</v>
      </c>
      <c r="BO951" t="s">
        <v>549</v>
      </c>
      <c r="BP951" t="s">
        <v>74</v>
      </c>
      <c r="BQ951" t="s">
        <v>74</v>
      </c>
      <c r="BR951" t="s">
        <v>107</v>
      </c>
      <c r="BS951" t="s">
        <v>18104</v>
      </c>
      <c r="BT951" t="str">
        <f>HYPERLINK("https%3A%2F%2Fwww.webofscience.com%2Fwos%2Fwoscc%2Ffull-record%2FWOS:000980353500001","View Full Record in Web of Science")</f>
        <v>View Full Record in Web of Science</v>
      </c>
    </row>
    <row r="952" spans="1:72" x14ac:dyDescent="0.15">
      <c r="A952" t="s">
        <v>72</v>
      </c>
      <c r="B952" t="s">
        <v>18105</v>
      </c>
      <c r="C952" t="s">
        <v>74</v>
      </c>
      <c r="D952" t="s">
        <v>74</v>
      </c>
      <c r="E952" t="s">
        <v>74</v>
      </c>
      <c r="F952" t="s">
        <v>18106</v>
      </c>
      <c r="G952" t="s">
        <v>74</v>
      </c>
      <c r="H952" t="s">
        <v>74</v>
      </c>
      <c r="I952" t="s">
        <v>18107</v>
      </c>
      <c r="J952" t="s">
        <v>18108</v>
      </c>
      <c r="K952" t="s">
        <v>74</v>
      </c>
      <c r="L952" t="s">
        <v>74</v>
      </c>
      <c r="M952" t="s">
        <v>78</v>
      </c>
      <c r="N952" t="s">
        <v>1911</v>
      </c>
      <c r="O952" t="s">
        <v>74</v>
      </c>
      <c r="P952" t="s">
        <v>74</v>
      </c>
      <c r="Q952" t="s">
        <v>74</v>
      </c>
      <c r="R952" t="s">
        <v>74</v>
      </c>
      <c r="S952" t="s">
        <v>74</v>
      </c>
      <c r="T952" t="s">
        <v>18109</v>
      </c>
      <c r="U952" t="s">
        <v>18110</v>
      </c>
      <c r="V952" t="s">
        <v>18111</v>
      </c>
      <c r="W952" t="s">
        <v>18112</v>
      </c>
      <c r="X952" t="s">
        <v>18113</v>
      </c>
      <c r="Y952" t="s">
        <v>18114</v>
      </c>
      <c r="Z952" t="s">
        <v>18115</v>
      </c>
      <c r="AA952" t="s">
        <v>18116</v>
      </c>
      <c r="AB952" t="s">
        <v>18117</v>
      </c>
      <c r="AC952" t="s">
        <v>18118</v>
      </c>
      <c r="AD952" t="s">
        <v>18119</v>
      </c>
      <c r="AE952" t="s">
        <v>18120</v>
      </c>
      <c r="AF952" t="s">
        <v>74</v>
      </c>
      <c r="AG952">
        <v>77</v>
      </c>
      <c r="AH952">
        <v>1</v>
      </c>
      <c r="AI952">
        <v>1</v>
      </c>
      <c r="AJ952">
        <v>1</v>
      </c>
      <c r="AK952">
        <v>3</v>
      </c>
      <c r="AL952" t="s">
        <v>1477</v>
      </c>
      <c r="AM952" t="s">
        <v>1478</v>
      </c>
      <c r="AN952" t="s">
        <v>1479</v>
      </c>
      <c r="AO952" t="s">
        <v>18121</v>
      </c>
      <c r="AP952" t="s">
        <v>18122</v>
      </c>
      <c r="AQ952" t="s">
        <v>74</v>
      </c>
      <c r="AR952" t="s">
        <v>18123</v>
      </c>
      <c r="AS952" t="s">
        <v>18124</v>
      </c>
      <c r="AT952" t="s">
        <v>18079</v>
      </c>
      <c r="AU952">
        <v>2023</v>
      </c>
      <c r="AV952" t="s">
        <v>74</v>
      </c>
      <c r="AW952" t="s">
        <v>74</v>
      </c>
      <c r="AX952" t="s">
        <v>74</v>
      </c>
      <c r="AY952" t="s">
        <v>74</v>
      </c>
      <c r="AZ952" t="s">
        <v>74</v>
      </c>
      <c r="BA952" t="s">
        <v>74</v>
      </c>
      <c r="BB952" t="s">
        <v>74</v>
      </c>
      <c r="BC952" t="s">
        <v>74</v>
      </c>
      <c r="BD952" t="s">
        <v>74</v>
      </c>
      <c r="BE952" t="s">
        <v>18125</v>
      </c>
      <c r="BF952" t="str">
        <f>HYPERLINK("http://dx.doi.org/10.1007/s13353-023-00759-7","http://dx.doi.org/10.1007/s13353-023-00759-7")</f>
        <v>http://dx.doi.org/10.1007/s13353-023-00759-7</v>
      </c>
      <c r="BG952" t="s">
        <v>74</v>
      </c>
      <c r="BH952" t="s">
        <v>15114</v>
      </c>
      <c r="BI952">
        <v>13</v>
      </c>
      <c r="BJ952" t="s">
        <v>1965</v>
      </c>
      <c r="BK952" t="s">
        <v>104</v>
      </c>
      <c r="BL952" t="s">
        <v>1965</v>
      </c>
      <c r="BM952" t="s">
        <v>18126</v>
      </c>
      <c r="BN952">
        <v>37145222</v>
      </c>
      <c r="BO952" t="s">
        <v>1128</v>
      </c>
      <c r="BP952" t="s">
        <v>74</v>
      </c>
      <c r="BQ952" t="s">
        <v>74</v>
      </c>
      <c r="BR952" t="s">
        <v>107</v>
      </c>
      <c r="BS952" t="s">
        <v>18127</v>
      </c>
      <c r="BT952" t="str">
        <f>HYPERLINK("https%3A%2F%2Fwww.webofscience.com%2Fwos%2Fwoscc%2Ffull-record%2FWOS:000982747500001","View Full Record in Web of Science")</f>
        <v>View Full Record in Web of Science</v>
      </c>
    </row>
    <row r="953" spans="1:72" x14ac:dyDescent="0.15">
      <c r="A953" t="s">
        <v>72</v>
      </c>
      <c r="B953" t="s">
        <v>18128</v>
      </c>
      <c r="C953" t="s">
        <v>74</v>
      </c>
      <c r="D953" t="s">
        <v>74</v>
      </c>
      <c r="E953" t="s">
        <v>74</v>
      </c>
      <c r="F953" t="s">
        <v>18129</v>
      </c>
      <c r="G953" t="s">
        <v>74</v>
      </c>
      <c r="H953" t="s">
        <v>74</v>
      </c>
      <c r="I953" t="s">
        <v>18130</v>
      </c>
      <c r="J953" t="s">
        <v>5877</v>
      </c>
      <c r="K953" t="s">
        <v>74</v>
      </c>
      <c r="L953" t="s">
        <v>74</v>
      </c>
      <c r="M953" t="s">
        <v>78</v>
      </c>
      <c r="N953" t="s">
        <v>79</v>
      </c>
      <c r="O953" t="s">
        <v>74</v>
      </c>
      <c r="P953" t="s">
        <v>74</v>
      </c>
      <c r="Q953" t="s">
        <v>74</v>
      </c>
      <c r="R953" t="s">
        <v>74</v>
      </c>
      <c r="S953" t="s">
        <v>74</v>
      </c>
      <c r="T953" t="s">
        <v>74</v>
      </c>
      <c r="U953" t="s">
        <v>18131</v>
      </c>
      <c r="V953" t="s">
        <v>74</v>
      </c>
      <c r="W953" t="s">
        <v>18132</v>
      </c>
      <c r="X953" t="s">
        <v>18133</v>
      </c>
      <c r="Y953" t="s">
        <v>18134</v>
      </c>
      <c r="Z953" t="s">
        <v>18135</v>
      </c>
      <c r="AA953" t="s">
        <v>18136</v>
      </c>
      <c r="AB953" t="s">
        <v>18137</v>
      </c>
      <c r="AC953" t="s">
        <v>18138</v>
      </c>
      <c r="AD953" t="s">
        <v>18139</v>
      </c>
      <c r="AE953" t="s">
        <v>18140</v>
      </c>
      <c r="AF953" t="s">
        <v>74</v>
      </c>
      <c r="AG953">
        <v>34</v>
      </c>
      <c r="AH953">
        <v>1</v>
      </c>
      <c r="AI953">
        <v>1</v>
      </c>
      <c r="AJ953">
        <v>2</v>
      </c>
      <c r="AK953">
        <v>3</v>
      </c>
      <c r="AL953" t="s">
        <v>460</v>
      </c>
      <c r="AM953" t="s">
        <v>461</v>
      </c>
      <c r="AN953" t="s">
        <v>462</v>
      </c>
      <c r="AO953" t="s">
        <v>5888</v>
      </c>
      <c r="AP953" t="s">
        <v>5889</v>
      </c>
      <c r="AQ953" t="s">
        <v>74</v>
      </c>
      <c r="AR953" t="s">
        <v>5890</v>
      </c>
      <c r="AS953" t="s">
        <v>5891</v>
      </c>
      <c r="AT953" t="s">
        <v>1810</v>
      </c>
      <c r="AU953">
        <v>2023</v>
      </c>
      <c r="AV953">
        <v>39</v>
      </c>
      <c r="AW953">
        <v>4</v>
      </c>
      <c r="AX953" t="s">
        <v>74</v>
      </c>
      <c r="AY953" t="s">
        <v>74</v>
      </c>
      <c r="AZ953" t="s">
        <v>74</v>
      </c>
      <c r="BA953" t="s">
        <v>74</v>
      </c>
      <c r="BB953">
        <v>1306</v>
      </c>
      <c r="BC953">
        <v>1312</v>
      </c>
      <c r="BD953" t="s">
        <v>74</v>
      </c>
      <c r="BE953" t="s">
        <v>18141</v>
      </c>
      <c r="BF953" t="str">
        <f>HYPERLINK("http://dx.doi.org/10.1111/mms.13025","http://dx.doi.org/10.1111/mms.13025")</f>
        <v>http://dx.doi.org/10.1111/mms.13025</v>
      </c>
      <c r="BG953" t="s">
        <v>74</v>
      </c>
      <c r="BH953" t="s">
        <v>15114</v>
      </c>
      <c r="BI953">
        <v>7</v>
      </c>
      <c r="BJ953" t="s">
        <v>547</v>
      </c>
      <c r="BK953" t="s">
        <v>104</v>
      </c>
      <c r="BL953" t="s">
        <v>547</v>
      </c>
      <c r="BM953" t="s">
        <v>6247</v>
      </c>
      <c r="BN953" t="s">
        <v>74</v>
      </c>
      <c r="BO953" t="s">
        <v>1217</v>
      </c>
      <c r="BP953" t="s">
        <v>74</v>
      </c>
      <c r="BQ953" t="s">
        <v>74</v>
      </c>
      <c r="BR953" t="s">
        <v>107</v>
      </c>
      <c r="BS953" t="s">
        <v>18142</v>
      </c>
      <c r="BT953" t="str">
        <f>HYPERLINK("https%3A%2F%2Fwww.webofscience.com%2Fwos%2Fwoscc%2Ffull-record%2FWOS:000981395300001","View Full Record in Web of Science")</f>
        <v>View Full Record in Web of Science</v>
      </c>
    </row>
    <row r="954" spans="1:72" x14ac:dyDescent="0.15">
      <c r="A954" t="s">
        <v>72</v>
      </c>
      <c r="B954" t="s">
        <v>18143</v>
      </c>
      <c r="C954" t="s">
        <v>74</v>
      </c>
      <c r="D954" t="s">
        <v>74</v>
      </c>
      <c r="E954" t="s">
        <v>74</v>
      </c>
      <c r="F954" t="s">
        <v>18144</v>
      </c>
      <c r="G954" t="s">
        <v>74</v>
      </c>
      <c r="H954" t="s">
        <v>74</v>
      </c>
      <c r="I954" t="s">
        <v>18145</v>
      </c>
      <c r="J954" t="s">
        <v>8735</v>
      </c>
      <c r="K954" t="s">
        <v>74</v>
      </c>
      <c r="L954" t="s">
        <v>74</v>
      </c>
      <c r="M954" t="s">
        <v>78</v>
      </c>
      <c r="N954" t="s">
        <v>79</v>
      </c>
      <c r="O954" t="s">
        <v>74</v>
      </c>
      <c r="P954" t="s">
        <v>74</v>
      </c>
      <c r="Q954" t="s">
        <v>74</v>
      </c>
      <c r="R954" t="s">
        <v>74</v>
      </c>
      <c r="S954" t="s">
        <v>74</v>
      </c>
      <c r="T954" t="s">
        <v>18146</v>
      </c>
      <c r="U954" t="s">
        <v>18147</v>
      </c>
      <c r="V954" t="s">
        <v>18148</v>
      </c>
      <c r="W954" t="s">
        <v>18149</v>
      </c>
      <c r="X954" t="s">
        <v>18150</v>
      </c>
      <c r="Y954" t="s">
        <v>18151</v>
      </c>
      <c r="Z954" t="s">
        <v>18152</v>
      </c>
      <c r="AA954" t="s">
        <v>18153</v>
      </c>
      <c r="AB954" t="s">
        <v>18154</v>
      </c>
      <c r="AC954" t="s">
        <v>18155</v>
      </c>
      <c r="AD954" t="s">
        <v>18156</v>
      </c>
      <c r="AE954" t="s">
        <v>18157</v>
      </c>
      <c r="AF954" t="s">
        <v>74</v>
      </c>
      <c r="AG954">
        <v>96</v>
      </c>
      <c r="AH954">
        <v>3</v>
      </c>
      <c r="AI954">
        <v>3</v>
      </c>
      <c r="AJ954">
        <v>4</v>
      </c>
      <c r="AK954">
        <v>7</v>
      </c>
      <c r="AL954" t="s">
        <v>172</v>
      </c>
      <c r="AM954" t="s">
        <v>173</v>
      </c>
      <c r="AN954" t="s">
        <v>174</v>
      </c>
      <c r="AO954" t="s">
        <v>8748</v>
      </c>
      <c r="AP954" t="s">
        <v>8749</v>
      </c>
      <c r="AQ954" t="s">
        <v>74</v>
      </c>
      <c r="AR954" t="s">
        <v>8750</v>
      </c>
      <c r="AS954" t="s">
        <v>8751</v>
      </c>
      <c r="AT954" t="s">
        <v>7247</v>
      </c>
      <c r="AU954">
        <v>2023</v>
      </c>
      <c r="AV954">
        <v>622</v>
      </c>
      <c r="AW954" t="s">
        <v>74</v>
      </c>
      <c r="AX954" t="s">
        <v>74</v>
      </c>
      <c r="AY954" t="s">
        <v>74</v>
      </c>
      <c r="AZ954" t="s">
        <v>74</v>
      </c>
      <c r="BA954" t="s">
        <v>74</v>
      </c>
      <c r="BB954" t="s">
        <v>74</v>
      </c>
      <c r="BC954" t="s">
        <v>74</v>
      </c>
      <c r="BD954">
        <v>111603</v>
      </c>
      <c r="BE954" t="s">
        <v>18158</v>
      </c>
      <c r="BF954" t="str">
        <f>HYPERLINK("http://dx.doi.org/10.1016/j.palaeo.2023.111603","http://dx.doi.org/10.1016/j.palaeo.2023.111603")</f>
        <v>http://dx.doi.org/10.1016/j.palaeo.2023.111603</v>
      </c>
      <c r="BG954" t="s">
        <v>74</v>
      </c>
      <c r="BH954" t="s">
        <v>15114</v>
      </c>
      <c r="BI954">
        <v>16</v>
      </c>
      <c r="BJ954" t="s">
        <v>8753</v>
      </c>
      <c r="BK954" t="s">
        <v>104</v>
      </c>
      <c r="BL954" t="s">
        <v>8754</v>
      </c>
      <c r="BM954" t="s">
        <v>18159</v>
      </c>
      <c r="BN954" t="s">
        <v>74</v>
      </c>
      <c r="BO954" t="s">
        <v>74</v>
      </c>
      <c r="BP954" t="s">
        <v>74</v>
      </c>
      <c r="BQ954" t="s">
        <v>74</v>
      </c>
      <c r="BR954" t="s">
        <v>107</v>
      </c>
      <c r="BS954" t="s">
        <v>18160</v>
      </c>
      <c r="BT954" t="str">
        <f>HYPERLINK("https%3A%2F%2Fwww.webofscience.com%2Fwos%2Fwoscc%2Ffull-record%2FWOS:001055967300001","View Full Record in Web of Science")</f>
        <v>View Full Record in Web of Science</v>
      </c>
    </row>
    <row r="955" spans="1:72" x14ac:dyDescent="0.15">
      <c r="A955" t="s">
        <v>72</v>
      </c>
      <c r="B955" t="s">
        <v>18161</v>
      </c>
      <c r="C955" t="s">
        <v>74</v>
      </c>
      <c r="D955" t="s">
        <v>74</v>
      </c>
      <c r="E955" t="s">
        <v>74</v>
      </c>
      <c r="F955" t="s">
        <v>18162</v>
      </c>
      <c r="G955" t="s">
        <v>74</v>
      </c>
      <c r="H955" t="s">
        <v>74</v>
      </c>
      <c r="I955" t="s">
        <v>18163</v>
      </c>
      <c r="J955" t="s">
        <v>11634</v>
      </c>
      <c r="K955" t="s">
        <v>74</v>
      </c>
      <c r="L955" t="s">
        <v>74</v>
      </c>
      <c r="M955" t="s">
        <v>78</v>
      </c>
      <c r="N955" t="s">
        <v>18164</v>
      </c>
      <c r="O955" t="s">
        <v>74</v>
      </c>
      <c r="P955" t="s">
        <v>74</v>
      </c>
      <c r="Q955" t="s">
        <v>74</v>
      </c>
      <c r="R955" t="s">
        <v>74</v>
      </c>
      <c r="S955" t="s">
        <v>74</v>
      </c>
      <c r="T955" t="s">
        <v>74</v>
      </c>
      <c r="U955" t="s">
        <v>18165</v>
      </c>
      <c r="V955" t="s">
        <v>18166</v>
      </c>
      <c r="W955" t="s">
        <v>18167</v>
      </c>
      <c r="X955" t="s">
        <v>5638</v>
      </c>
      <c r="Y955" t="s">
        <v>18168</v>
      </c>
      <c r="Z955" t="s">
        <v>18169</v>
      </c>
      <c r="AA955" t="s">
        <v>18170</v>
      </c>
      <c r="AB955" t="s">
        <v>18171</v>
      </c>
      <c r="AC955" t="s">
        <v>18172</v>
      </c>
      <c r="AD955" t="s">
        <v>18173</v>
      </c>
      <c r="AE955" t="s">
        <v>18174</v>
      </c>
      <c r="AF955" t="s">
        <v>74</v>
      </c>
      <c r="AG955">
        <v>88</v>
      </c>
      <c r="AH955">
        <v>1</v>
      </c>
      <c r="AI955">
        <v>1</v>
      </c>
      <c r="AJ955">
        <v>6</v>
      </c>
      <c r="AK955">
        <v>6</v>
      </c>
      <c r="AL955" t="s">
        <v>460</v>
      </c>
      <c r="AM955" t="s">
        <v>461</v>
      </c>
      <c r="AN955" t="s">
        <v>462</v>
      </c>
      <c r="AO955" t="s">
        <v>74</v>
      </c>
      <c r="AP955" t="s">
        <v>11646</v>
      </c>
      <c r="AQ955" t="s">
        <v>74</v>
      </c>
      <c r="AR955" t="s">
        <v>11647</v>
      </c>
      <c r="AS955" t="s">
        <v>11648</v>
      </c>
      <c r="AT955" t="s">
        <v>18175</v>
      </c>
      <c r="AU955">
        <v>2023</v>
      </c>
      <c r="AV955" t="s">
        <v>74</v>
      </c>
      <c r="AW955" t="s">
        <v>74</v>
      </c>
      <c r="AX955" t="s">
        <v>74</v>
      </c>
      <c r="AY955" t="s">
        <v>74</v>
      </c>
      <c r="AZ955" t="s">
        <v>74</v>
      </c>
      <c r="BA955" t="s">
        <v>74</v>
      </c>
      <c r="BB955" t="s">
        <v>74</v>
      </c>
      <c r="BC955" t="s">
        <v>74</v>
      </c>
      <c r="BD955" t="s">
        <v>74</v>
      </c>
      <c r="BE955" t="s">
        <v>18176</v>
      </c>
      <c r="BF955" t="str">
        <f>HYPERLINK("http://dx.doi.org/10.1002/lol2.10322","http://dx.doi.org/10.1002/lol2.10322")</f>
        <v>http://dx.doi.org/10.1002/lol2.10322</v>
      </c>
      <c r="BG955" t="s">
        <v>74</v>
      </c>
      <c r="BH955" t="s">
        <v>15114</v>
      </c>
      <c r="BI955">
        <v>11</v>
      </c>
      <c r="BJ955" t="s">
        <v>11650</v>
      </c>
      <c r="BK955" t="s">
        <v>104</v>
      </c>
      <c r="BL955" t="s">
        <v>569</v>
      </c>
      <c r="BM955" t="s">
        <v>18177</v>
      </c>
      <c r="BN955" t="s">
        <v>74</v>
      </c>
      <c r="BO955" t="s">
        <v>206</v>
      </c>
      <c r="BP955" t="s">
        <v>74</v>
      </c>
      <c r="BQ955" t="s">
        <v>74</v>
      </c>
      <c r="BR955" t="s">
        <v>107</v>
      </c>
      <c r="BS955" t="s">
        <v>18178</v>
      </c>
      <c r="BT955" t="str">
        <f>HYPERLINK("https%3A%2F%2Fwww.webofscience.com%2Fwos%2Fwoscc%2Ffull-record%2FWOS:001033140400001","View Full Record in Web of Science")</f>
        <v>View Full Record in Web of Science</v>
      </c>
    </row>
    <row r="956" spans="1:72" x14ac:dyDescent="0.15">
      <c r="A956" t="s">
        <v>72</v>
      </c>
      <c r="B956" t="s">
        <v>18179</v>
      </c>
      <c r="C956" t="s">
        <v>74</v>
      </c>
      <c r="D956" t="s">
        <v>74</v>
      </c>
      <c r="E956" t="s">
        <v>74</v>
      </c>
      <c r="F956" t="s">
        <v>18180</v>
      </c>
      <c r="G956" t="s">
        <v>74</v>
      </c>
      <c r="H956" t="s">
        <v>74</v>
      </c>
      <c r="I956" t="s">
        <v>18181</v>
      </c>
      <c r="J956" t="s">
        <v>4497</v>
      </c>
      <c r="K956" t="s">
        <v>74</v>
      </c>
      <c r="L956" t="s">
        <v>74</v>
      </c>
      <c r="M956" t="s">
        <v>78</v>
      </c>
      <c r="N956" t="s">
        <v>79</v>
      </c>
      <c r="O956" t="s">
        <v>74</v>
      </c>
      <c r="P956" t="s">
        <v>74</v>
      </c>
      <c r="Q956" t="s">
        <v>74</v>
      </c>
      <c r="R956" t="s">
        <v>74</v>
      </c>
      <c r="S956" t="s">
        <v>74</v>
      </c>
      <c r="T956" t="s">
        <v>18182</v>
      </c>
      <c r="U956" t="s">
        <v>18183</v>
      </c>
      <c r="V956" t="s">
        <v>18184</v>
      </c>
      <c r="W956" t="s">
        <v>18185</v>
      </c>
      <c r="X956" t="s">
        <v>18186</v>
      </c>
      <c r="Y956" t="s">
        <v>18187</v>
      </c>
      <c r="Z956" t="s">
        <v>18188</v>
      </c>
      <c r="AA956" t="s">
        <v>18189</v>
      </c>
      <c r="AB956" t="s">
        <v>18190</v>
      </c>
      <c r="AC956" t="s">
        <v>18191</v>
      </c>
      <c r="AD956" t="s">
        <v>18192</v>
      </c>
      <c r="AE956" t="s">
        <v>18193</v>
      </c>
      <c r="AF956" t="s">
        <v>74</v>
      </c>
      <c r="AG956">
        <v>128</v>
      </c>
      <c r="AH956">
        <v>2</v>
      </c>
      <c r="AI956">
        <v>2</v>
      </c>
      <c r="AJ956">
        <v>7</v>
      </c>
      <c r="AK956">
        <v>13</v>
      </c>
      <c r="AL956" t="s">
        <v>172</v>
      </c>
      <c r="AM956" t="s">
        <v>173</v>
      </c>
      <c r="AN956" t="s">
        <v>174</v>
      </c>
      <c r="AO956" t="s">
        <v>4506</v>
      </c>
      <c r="AP956" t="s">
        <v>4507</v>
      </c>
      <c r="AQ956" t="s">
        <v>74</v>
      </c>
      <c r="AR956" t="s">
        <v>4497</v>
      </c>
      <c r="AS956" t="s">
        <v>4508</v>
      </c>
      <c r="AT956" t="s">
        <v>2486</v>
      </c>
      <c r="AU956">
        <v>2023</v>
      </c>
      <c r="AV956">
        <v>574</v>
      </c>
      <c r="AW956" t="s">
        <v>74</v>
      </c>
      <c r="AX956" t="s">
        <v>74</v>
      </c>
      <c r="AY956" t="s">
        <v>74</v>
      </c>
      <c r="AZ956" t="s">
        <v>74</v>
      </c>
      <c r="BA956" t="s">
        <v>74</v>
      </c>
      <c r="BB956" t="s">
        <v>74</v>
      </c>
      <c r="BC956" t="s">
        <v>74</v>
      </c>
      <c r="BD956">
        <v>739629</v>
      </c>
      <c r="BE956" t="s">
        <v>18194</v>
      </c>
      <c r="BF956" t="str">
        <f>HYPERLINK("http://dx.doi.org/10.1016/j.aquaculture.2023.739629","http://dx.doi.org/10.1016/j.aquaculture.2023.739629")</f>
        <v>http://dx.doi.org/10.1016/j.aquaculture.2023.739629</v>
      </c>
      <c r="BG956" t="s">
        <v>74</v>
      </c>
      <c r="BH956" t="s">
        <v>15114</v>
      </c>
      <c r="BI956">
        <v>16</v>
      </c>
      <c r="BJ956" t="s">
        <v>1757</v>
      </c>
      <c r="BK956" t="s">
        <v>104</v>
      </c>
      <c r="BL956" t="s">
        <v>1757</v>
      </c>
      <c r="BM956" t="s">
        <v>18195</v>
      </c>
      <c r="BN956" t="s">
        <v>74</v>
      </c>
      <c r="BO956" t="s">
        <v>549</v>
      </c>
      <c r="BP956" t="s">
        <v>74</v>
      </c>
      <c r="BQ956" t="s">
        <v>74</v>
      </c>
      <c r="BR956" t="s">
        <v>107</v>
      </c>
      <c r="BS956" t="s">
        <v>18196</v>
      </c>
      <c r="BT956" t="str">
        <f>HYPERLINK("https%3A%2F%2Fwww.webofscience.com%2Fwos%2Fwoscc%2Ffull-record%2FWOS:000999615800001","View Full Record in Web of Science")</f>
        <v>View Full Record in Web of Science</v>
      </c>
    </row>
    <row r="957" spans="1:72" x14ac:dyDescent="0.15">
      <c r="A957" t="s">
        <v>72</v>
      </c>
      <c r="B957" t="s">
        <v>18197</v>
      </c>
      <c r="C957" t="s">
        <v>74</v>
      </c>
      <c r="D957" t="s">
        <v>74</v>
      </c>
      <c r="E957" t="s">
        <v>74</v>
      </c>
      <c r="F957" t="s">
        <v>18198</v>
      </c>
      <c r="G957" t="s">
        <v>74</v>
      </c>
      <c r="H957" t="s">
        <v>74</v>
      </c>
      <c r="I957" t="s">
        <v>18199</v>
      </c>
      <c r="J957" t="s">
        <v>4005</v>
      </c>
      <c r="K957" t="s">
        <v>74</v>
      </c>
      <c r="L957" t="s">
        <v>74</v>
      </c>
      <c r="M957" t="s">
        <v>78</v>
      </c>
      <c r="N957" t="s">
        <v>79</v>
      </c>
      <c r="O957" t="s">
        <v>74</v>
      </c>
      <c r="P957" t="s">
        <v>74</v>
      </c>
      <c r="Q957" t="s">
        <v>74</v>
      </c>
      <c r="R957" t="s">
        <v>74</v>
      </c>
      <c r="S957" t="s">
        <v>74</v>
      </c>
      <c r="T957" t="s">
        <v>18200</v>
      </c>
      <c r="U957" t="s">
        <v>18201</v>
      </c>
      <c r="V957" t="s">
        <v>18202</v>
      </c>
      <c r="W957" t="s">
        <v>18203</v>
      </c>
      <c r="X957" t="s">
        <v>4502</v>
      </c>
      <c r="Y957" t="s">
        <v>18204</v>
      </c>
      <c r="Z957" t="s">
        <v>18205</v>
      </c>
      <c r="AA957" t="s">
        <v>74</v>
      </c>
      <c r="AB957" t="s">
        <v>18206</v>
      </c>
      <c r="AC957" t="s">
        <v>74</v>
      </c>
      <c r="AD957" t="s">
        <v>74</v>
      </c>
      <c r="AE957" t="s">
        <v>74</v>
      </c>
      <c r="AF957" t="s">
        <v>74</v>
      </c>
      <c r="AG957">
        <v>67</v>
      </c>
      <c r="AH957">
        <v>1</v>
      </c>
      <c r="AI957">
        <v>1</v>
      </c>
      <c r="AJ957">
        <v>5</v>
      </c>
      <c r="AK957">
        <v>8</v>
      </c>
      <c r="AL957" t="s">
        <v>4017</v>
      </c>
      <c r="AM957" t="s">
        <v>4018</v>
      </c>
      <c r="AN957" t="s">
        <v>4019</v>
      </c>
      <c r="AO957" t="s">
        <v>4020</v>
      </c>
      <c r="AP957" t="s">
        <v>4021</v>
      </c>
      <c r="AQ957" t="s">
        <v>74</v>
      </c>
      <c r="AR957" t="s">
        <v>4022</v>
      </c>
      <c r="AS957" t="s">
        <v>4023</v>
      </c>
      <c r="AT957" t="s">
        <v>15914</v>
      </c>
      <c r="AU957">
        <v>2023</v>
      </c>
      <c r="AV957">
        <v>710</v>
      </c>
      <c r="AW957" t="s">
        <v>74</v>
      </c>
      <c r="AX957" t="s">
        <v>74</v>
      </c>
      <c r="AY957" t="s">
        <v>74</v>
      </c>
      <c r="AZ957" t="s">
        <v>74</v>
      </c>
      <c r="BA957" t="s">
        <v>74</v>
      </c>
      <c r="BB957">
        <v>1</v>
      </c>
      <c r="BC957">
        <v>14</v>
      </c>
      <c r="BD957" t="s">
        <v>74</v>
      </c>
      <c r="BE957" t="s">
        <v>18207</v>
      </c>
      <c r="BF957" t="str">
        <f>HYPERLINK("http://dx.doi.org/10.3354/meps14295","http://dx.doi.org/10.3354/meps14295")</f>
        <v>http://dx.doi.org/10.3354/meps14295</v>
      </c>
      <c r="BG957" t="s">
        <v>74</v>
      </c>
      <c r="BH957" t="s">
        <v>74</v>
      </c>
      <c r="BI957">
        <v>14</v>
      </c>
      <c r="BJ957" t="s">
        <v>4026</v>
      </c>
      <c r="BK957" t="s">
        <v>104</v>
      </c>
      <c r="BL957" t="s">
        <v>4027</v>
      </c>
      <c r="BM957" t="s">
        <v>18208</v>
      </c>
      <c r="BN957" t="s">
        <v>74</v>
      </c>
      <c r="BO957" t="s">
        <v>74</v>
      </c>
      <c r="BP957" t="s">
        <v>74</v>
      </c>
      <c r="BQ957" t="s">
        <v>74</v>
      </c>
      <c r="BR957" t="s">
        <v>107</v>
      </c>
      <c r="BS957" t="s">
        <v>18209</v>
      </c>
      <c r="BT957" t="str">
        <f>HYPERLINK("https%3A%2F%2Fwww.webofscience.com%2Fwos%2Fwoscc%2Ffull-record%2FWOS:000989745100001","View Full Record in Web of Science")</f>
        <v>View Full Record in Web of Science</v>
      </c>
    </row>
    <row r="958" spans="1:72" x14ac:dyDescent="0.15">
      <c r="A958" t="s">
        <v>72</v>
      </c>
      <c r="B958" t="s">
        <v>18210</v>
      </c>
      <c r="C958" t="s">
        <v>74</v>
      </c>
      <c r="D958" t="s">
        <v>74</v>
      </c>
      <c r="E958" t="s">
        <v>74</v>
      </c>
      <c r="F958" t="s">
        <v>18211</v>
      </c>
      <c r="G958" t="s">
        <v>74</v>
      </c>
      <c r="H958" t="s">
        <v>74</v>
      </c>
      <c r="I958" t="s">
        <v>18212</v>
      </c>
      <c r="J958" t="s">
        <v>1820</v>
      </c>
      <c r="K958" t="s">
        <v>74</v>
      </c>
      <c r="L958" t="s">
        <v>74</v>
      </c>
      <c r="M958" t="s">
        <v>78</v>
      </c>
      <c r="N958" t="s">
        <v>79</v>
      </c>
      <c r="O958" t="s">
        <v>74</v>
      </c>
      <c r="P958" t="s">
        <v>74</v>
      </c>
      <c r="Q958" t="s">
        <v>74</v>
      </c>
      <c r="R958" t="s">
        <v>74</v>
      </c>
      <c r="S958" t="s">
        <v>74</v>
      </c>
      <c r="T958" t="s">
        <v>18213</v>
      </c>
      <c r="U958" t="s">
        <v>18214</v>
      </c>
      <c r="V958" t="s">
        <v>18215</v>
      </c>
      <c r="W958" t="s">
        <v>18216</v>
      </c>
      <c r="X958" t="s">
        <v>18217</v>
      </c>
      <c r="Y958" t="s">
        <v>18218</v>
      </c>
      <c r="Z958" t="s">
        <v>18219</v>
      </c>
      <c r="AA958" t="s">
        <v>18220</v>
      </c>
      <c r="AB958" t="s">
        <v>18221</v>
      </c>
      <c r="AC958" t="s">
        <v>18222</v>
      </c>
      <c r="AD958" t="s">
        <v>18223</v>
      </c>
      <c r="AE958" t="s">
        <v>18224</v>
      </c>
      <c r="AF958" t="s">
        <v>74</v>
      </c>
      <c r="AG958">
        <v>122</v>
      </c>
      <c r="AH958">
        <v>3</v>
      </c>
      <c r="AI958">
        <v>2</v>
      </c>
      <c r="AJ958">
        <v>3</v>
      </c>
      <c r="AK958">
        <v>12</v>
      </c>
      <c r="AL958" t="s">
        <v>994</v>
      </c>
      <c r="AM958" t="s">
        <v>995</v>
      </c>
      <c r="AN958" t="s">
        <v>996</v>
      </c>
      <c r="AO958" t="s">
        <v>74</v>
      </c>
      <c r="AP958" t="s">
        <v>1833</v>
      </c>
      <c r="AQ958" t="s">
        <v>74</v>
      </c>
      <c r="AR958" t="s">
        <v>1834</v>
      </c>
      <c r="AS958" t="s">
        <v>1835</v>
      </c>
      <c r="AT958" t="s">
        <v>15914</v>
      </c>
      <c r="AU958">
        <v>2023</v>
      </c>
      <c r="AV958">
        <v>14</v>
      </c>
      <c r="AW958" t="s">
        <v>74</v>
      </c>
      <c r="AX958" t="s">
        <v>74</v>
      </c>
      <c r="AY958" t="s">
        <v>74</v>
      </c>
      <c r="AZ958" t="s">
        <v>74</v>
      </c>
      <c r="BA958" t="s">
        <v>74</v>
      </c>
      <c r="BB958" t="s">
        <v>74</v>
      </c>
      <c r="BC958" t="s">
        <v>74</v>
      </c>
      <c r="BD958">
        <v>1187321</v>
      </c>
      <c r="BE958" t="s">
        <v>18225</v>
      </c>
      <c r="BF958" t="str">
        <f>HYPERLINK("http://dx.doi.org/10.3389/fmicb.2023.1187321","http://dx.doi.org/10.3389/fmicb.2023.1187321")</f>
        <v>http://dx.doi.org/10.3389/fmicb.2023.1187321</v>
      </c>
      <c r="BG958" t="s">
        <v>74</v>
      </c>
      <c r="BH958" t="s">
        <v>74</v>
      </c>
      <c r="BI958">
        <v>13</v>
      </c>
      <c r="BJ958" t="s">
        <v>702</v>
      </c>
      <c r="BK958" t="s">
        <v>104</v>
      </c>
      <c r="BL958" t="s">
        <v>702</v>
      </c>
      <c r="BM958" t="s">
        <v>18226</v>
      </c>
      <c r="BN958">
        <v>37213498</v>
      </c>
      <c r="BO958" t="s">
        <v>821</v>
      </c>
      <c r="BP958" t="s">
        <v>74</v>
      </c>
      <c r="BQ958" t="s">
        <v>74</v>
      </c>
      <c r="BR958" t="s">
        <v>107</v>
      </c>
      <c r="BS958" t="s">
        <v>18227</v>
      </c>
      <c r="BT958" t="str">
        <f>HYPERLINK("https%3A%2F%2Fwww.webofscience.com%2Fwos%2Fwoscc%2Ffull-record%2FWOS:000989926600001","View Full Record in Web of Science")</f>
        <v>View Full Record in Web of Science</v>
      </c>
    </row>
    <row r="959" spans="1:72" x14ac:dyDescent="0.15">
      <c r="A959" t="s">
        <v>72</v>
      </c>
      <c r="B959" t="s">
        <v>18228</v>
      </c>
      <c r="C959" t="s">
        <v>74</v>
      </c>
      <c r="D959" t="s">
        <v>74</v>
      </c>
      <c r="E959" t="s">
        <v>74</v>
      </c>
      <c r="F959" t="s">
        <v>18229</v>
      </c>
      <c r="G959" t="s">
        <v>74</v>
      </c>
      <c r="H959" t="s">
        <v>74</v>
      </c>
      <c r="I959" t="s">
        <v>18230</v>
      </c>
      <c r="J959" t="s">
        <v>18231</v>
      </c>
      <c r="K959" t="s">
        <v>74</v>
      </c>
      <c r="L959" t="s">
        <v>74</v>
      </c>
      <c r="M959" t="s">
        <v>78</v>
      </c>
      <c r="N959" t="s">
        <v>79</v>
      </c>
      <c r="O959" t="s">
        <v>74</v>
      </c>
      <c r="P959" t="s">
        <v>74</v>
      </c>
      <c r="Q959" t="s">
        <v>74</v>
      </c>
      <c r="R959" t="s">
        <v>74</v>
      </c>
      <c r="S959" t="s">
        <v>74</v>
      </c>
      <c r="T959" t="s">
        <v>18232</v>
      </c>
      <c r="U959" t="s">
        <v>18233</v>
      </c>
      <c r="V959" t="s">
        <v>18234</v>
      </c>
      <c r="W959" t="s">
        <v>18235</v>
      </c>
      <c r="X959" t="s">
        <v>18236</v>
      </c>
      <c r="Y959" t="s">
        <v>18237</v>
      </c>
      <c r="Z959" t="s">
        <v>18238</v>
      </c>
      <c r="AA959" t="s">
        <v>74</v>
      </c>
      <c r="AB959" t="s">
        <v>18239</v>
      </c>
      <c r="AC959" t="s">
        <v>18240</v>
      </c>
      <c r="AD959" t="s">
        <v>18241</v>
      </c>
      <c r="AE959" t="s">
        <v>18242</v>
      </c>
      <c r="AF959" t="s">
        <v>74</v>
      </c>
      <c r="AG959">
        <v>10</v>
      </c>
      <c r="AH959">
        <v>0</v>
      </c>
      <c r="AI959">
        <v>0</v>
      </c>
      <c r="AJ959">
        <v>1</v>
      </c>
      <c r="AK959">
        <v>1</v>
      </c>
      <c r="AL959" t="s">
        <v>4682</v>
      </c>
      <c r="AM959" t="s">
        <v>4683</v>
      </c>
      <c r="AN959" t="s">
        <v>4684</v>
      </c>
      <c r="AO959" t="s">
        <v>18243</v>
      </c>
      <c r="AP959" t="s">
        <v>18244</v>
      </c>
      <c r="AQ959" t="s">
        <v>74</v>
      </c>
      <c r="AR959" t="s">
        <v>18245</v>
      </c>
      <c r="AS959" t="s">
        <v>18246</v>
      </c>
      <c r="AT959" t="s">
        <v>1810</v>
      </c>
      <c r="AU959">
        <v>2023</v>
      </c>
      <c r="AV959">
        <v>344</v>
      </c>
      <c r="AW959" t="s">
        <v>18247</v>
      </c>
      <c r="AX959" t="s">
        <v>74</v>
      </c>
      <c r="AY959" t="s">
        <v>74</v>
      </c>
      <c r="AZ959" t="s">
        <v>99</v>
      </c>
      <c r="BA959" t="s">
        <v>74</v>
      </c>
      <c r="BB959" t="s">
        <v>74</v>
      </c>
      <c r="BC959" t="s">
        <v>74</v>
      </c>
      <c r="BD959" t="s">
        <v>74</v>
      </c>
      <c r="BE959" t="s">
        <v>18248</v>
      </c>
      <c r="BF959" t="str">
        <f>HYPERLINK("http://dx.doi.org/10.1002/asna.20230063","http://dx.doi.org/10.1002/asna.20230063")</f>
        <v>http://dx.doi.org/10.1002/asna.20230063</v>
      </c>
      <c r="BG959" t="s">
        <v>74</v>
      </c>
      <c r="BH959" t="s">
        <v>15114</v>
      </c>
      <c r="BI959">
        <v>6</v>
      </c>
      <c r="BJ959" t="s">
        <v>845</v>
      </c>
      <c r="BK959" t="s">
        <v>104</v>
      </c>
      <c r="BL959" t="s">
        <v>845</v>
      </c>
      <c r="BM959" t="s">
        <v>18249</v>
      </c>
      <c r="BN959" t="s">
        <v>74</v>
      </c>
      <c r="BO959" t="s">
        <v>549</v>
      </c>
      <c r="BP959" t="s">
        <v>74</v>
      </c>
      <c r="BQ959" t="s">
        <v>74</v>
      </c>
      <c r="BR959" t="s">
        <v>107</v>
      </c>
      <c r="BS959" t="s">
        <v>18250</v>
      </c>
      <c r="BT959" t="str">
        <f>HYPERLINK("https%3A%2F%2Fwww.webofscience.com%2Fwos%2Fwoscc%2Ffull-record%2FWOS:000981992000001","View Full Record in Web of Science")</f>
        <v>View Full Record in Web of Science</v>
      </c>
    </row>
    <row r="960" spans="1:72" x14ac:dyDescent="0.15">
      <c r="A960" t="s">
        <v>72</v>
      </c>
      <c r="B960" t="s">
        <v>18251</v>
      </c>
      <c r="C960" t="s">
        <v>74</v>
      </c>
      <c r="D960" t="s">
        <v>74</v>
      </c>
      <c r="E960" t="s">
        <v>74</v>
      </c>
      <c r="F960" t="s">
        <v>18252</v>
      </c>
      <c r="G960" t="s">
        <v>74</v>
      </c>
      <c r="H960" t="s">
        <v>74</v>
      </c>
      <c r="I960" t="s">
        <v>18253</v>
      </c>
      <c r="J960" t="s">
        <v>18254</v>
      </c>
      <c r="K960" t="s">
        <v>74</v>
      </c>
      <c r="L960" t="s">
        <v>74</v>
      </c>
      <c r="M960" t="s">
        <v>78</v>
      </c>
      <c r="N960" t="s">
        <v>79</v>
      </c>
      <c r="O960" t="s">
        <v>74</v>
      </c>
      <c r="P960" t="s">
        <v>74</v>
      </c>
      <c r="Q960" t="s">
        <v>74</v>
      </c>
      <c r="R960" t="s">
        <v>74</v>
      </c>
      <c r="S960" t="s">
        <v>74</v>
      </c>
      <c r="T960" t="s">
        <v>18255</v>
      </c>
      <c r="U960" t="s">
        <v>18256</v>
      </c>
      <c r="V960" t="s">
        <v>18257</v>
      </c>
      <c r="W960" t="s">
        <v>18258</v>
      </c>
      <c r="X960" t="s">
        <v>18259</v>
      </c>
      <c r="Y960" t="s">
        <v>18260</v>
      </c>
      <c r="Z960" t="s">
        <v>18261</v>
      </c>
      <c r="AA960" t="s">
        <v>18262</v>
      </c>
      <c r="AB960" t="s">
        <v>18263</v>
      </c>
      <c r="AC960" t="s">
        <v>74</v>
      </c>
      <c r="AD960" t="s">
        <v>74</v>
      </c>
      <c r="AE960" t="s">
        <v>74</v>
      </c>
      <c r="AF960" t="s">
        <v>74</v>
      </c>
      <c r="AG960">
        <v>50</v>
      </c>
      <c r="AH960">
        <v>10</v>
      </c>
      <c r="AI960">
        <v>10</v>
      </c>
      <c r="AJ960">
        <v>10</v>
      </c>
      <c r="AK960">
        <v>19</v>
      </c>
      <c r="AL960" t="s">
        <v>460</v>
      </c>
      <c r="AM960" t="s">
        <v>461</v>
      </c>
      <c r="AN960" t="s">
        <v>462</v>
      </c>
      <c r="AO960" t="s">
        <v>18264</v>
      </c>
      <c r="AP960" t="s">
        <v>74</v>
      </c>
      <c r="AQ960" t="s">
        <v>74</v>
      </c>
      <c r="AR960" t="s">
        <v>18265</v>
      </c>
      <c r="AS960" t="s">
        <v>18266</v>
      </c>
      <c r="AT960" t="s">
        <v>4557</v>
      </c>
      <c r="AU960">
        <v>2023</v>
      </c>
      <c r="AV960">
        <v>16</v>
      </c>
      <c r="AW960">
        <v>3</v>
      </c>
      <c r="AX960" t="s">
        <v>74</v>
      </c>
      <c r="AY960" t="s">
        <v>74</v>
      </c>
      <c r="AZ960" t="s">
        <v>74</v>
      </c>
      <c r="BA960" t="s">
        <v>74</v>
      </c>
      <c r="BB960" t="s">
        <v>74</v>
      </c>
      <c r="BC960" t="s">
        <v>74</v>
      </c>
      <c r="BD960" t="s">
        <v>74</v>
      </c>
      <c r="BE960" t="s">
        <v>18267</v>
      </c>
      <c r="BF960" t="str">
        <f>HYPERLINK("http://dx.doi.org/10.1111/conl.12953","http://dx.doi.org/10.1111/conl.12953")</f>
        <v>http://dx.doi.org/10.1111/conl.12953</v>
      </c>
      <c r="BG960" t="s">
        <v>74</v>
      </c>
      <c r="BH960" t="s">
        <v>15114</v>
      </c>
      <c r="BI960">
        <v>12</v>
      </c>
      <c r="BJ960" t="s">
        <v>444</v>
      </c>
      <c r="BK960" t="s">
        <v>104</v>
      </c>
      <c r="BL960" t="s">
        <v>445</v>
      </c>
      <c r="BM960" t="s">
        <v>18268</v>
      </c>
      <c r="BN960" t="s">
        <v>74</v>
      </c>
      <c r="BO960" t="s">
        <v>11883</v>
      </c>
      <c r="BP960" t="s">
        <v>74</v>
      </c>
      <c r="BQ960" t="s">
        <v>74</v>
      </c>
      <c r="BR960" t="s">
        <v>107</v>
      </c>
      <c r="BS960" t="s">
        <v>18269</v>
      </c>
      <c r="BT960" t="str">
        <f>HYPERLINK("https%3A%2F%2Fwww.webofscience.com%2Fwos%2Fwoscc%2Ffull-record%2FWOS:000979327700001","View Full Record in Web of Science")</f>
        <v>View Full Record in Web of Science</v>
      </c>
    </row>
    <row r="961" spans="1:72" x14ac:dyDescent="0.15">
      <c r="A961" t="s">
        <v>72</v>
      </c>
      <c r="B961" t="s">
        <v>18270</v>
      </c>
      <c r="C961" t="s">
        <v>74</v>
      </c>
      <c r="D961" t="s">
        <v>74</v>
      </c>
      <c r="E961" t="s">
        <v>74</v>
      </c>
      <c r="F961" t="s">
        <v>18271</v>
      </c>
      <c r="G961" t="s">
        <v>74</v>
      </c>
      <c r="H961" t="s">
        <v>74</v>
      </c>
      <c r="I961" t="s">
        <v>18272</v>
      </c>
      <c r="J961" t="s">
        <v>6948</v>
      </c>
      <c r="K961" t="s">
        <v>74</v>
      </c>
      <c r="L961" t="s">
        <v>74</v>
      </c>
      <c r="M961" t="s">
        <v>78</v>
      </c>
      <c r="N961" t="s">
        <v>79</v>
      </c>
      <c r="O961" t="s">
        <v>74</v>
      </c>
      <c r="P961" t="s">
        <v>74</v>
      </c>
      <c r="Q961" t="s">
        <v>74</v>
      </c>
      <c r="R961" t="s">
        <v>74</v>
      </c>
      <c r="S961" t="s">
        <v>74</v>
      </c>
      <c r="T961" t="s">
        <v>18273</v>
      </c>
      <c r="U961" t="s">
        <v>18274</v>
      </c>
      <c r="V961" t="s">
        <v>18275</v>
      </c>
      <c r="W961" t="s">
        <v>18276</v>
      </c>
      <c r="X961" t="s">
        <v>18277</v>
      </c>
      <c r="Y961" t="s">
        <v>18278</v>
      </c>
      <c r="Z961" t="s">
        <v>18279</v>
      </c>
      <c r="AA961" t="s">
        <v>18280</v>
      </c>
      <c r="AB961" t="s">
        <v>18281</v>
      </c>
      <c r="AC961" t="s">
        <v>18282</v>
      </c>
      <c r="AD961" t="s">
        <v>18283</v>
      </c>
      <c r="AE961" t="s">
        <v>18284</v>
      </c>
      <c r="AF961" t="s">
        <v>74</v>
      </c>
      <c r="AG961">
        <v>64</v>
      </c>
      <c r="AH961">
        <v>1</v>
      </c>
      <c r="AI961">
        <v>1</v>
      </c>
      <c r="AJ961">
        <v>3</v>
      </c>
      <c r="AK961">
        <v>5</v>
      </c>
      <c r="AL961" t="s">
        <v>2305</v>
      </c>
      <c r="AM961" t="s">
        <v>538</v>
      </c>
      <c r="AN961" t="s">
        <v>2306</v>
      </c>
      <c r="AO961" t="s">
        <v>6959</v>
      </c>
      <c r="AP961" t="s">
        <v>6960</v>
      </c>
      <c r="AQ961" t="s">
        <v>74</v>
      </c>
      <c r="AR961" t="s">
        <v>6961</v>
      </c>
      <c r="AS961" t="s">
        <v>6962</v>
      </c>
      <c r="AT961" t="s">
        <v>8990</v>
      </c>
      <c r="AU961">
        <v>2023</v>
      </c>
      <c r="AV961">
        <v>247</v>
      </c>
      <c r="AW961" t="s">
        <v>74</v>
      </c>
      <c r="AX961" t="s">
        <v>74</v>
      </c>
      <c r="AY961" t="s">
        <v>74</v>
      </c>
      <c r="AZ961" t="s">
        <v>74</v>
      </c>
      <c r="BA961" t="s">
        <v>74</v>
      </c>
      <c r="BB961" t="s">
        <v>74</v>
      </c>
      <c r="BC961" t="s">
        <v>74</v>
      </c>
      <c r="BD961">
        <v>106074</v>
      </c>
      <c r="BE961" t="s">
        <v>18285</v>
      </c>
      <c r="BF961" t="str">
        <f>HYPERLINK("http://dx.doi.org/10.1016/j.jastp.2023.106074","http://dx.doi.org/10.1016/j.jastp.2023.106074")</f>
        <v>http://dx.doi.org/10.1016/j.jastp.2023.106074</v>
      </c>
      <c r="BG961" t="s">
        <v>74</v>
      </c>
      <c r="BH961" t="s">
        <v>15114</v>
      </c>
      <c r="BI961">
        <v>15</v>
      </c>
      <c r="BJ961" t="s">
        <v>6964</v>
      </c>
      <c r="BK961" t="s">
        <v>104</v>
      </c>
      <c r="BL961" t="s">
        <v>6964</v>
      </c>
      <c r="BM961" t="s">
        <v>18286</v>
      </c>
      <c r="BN961" t="s">
        <v>74</v>
      </c>
      <c r="BO961" t="s">
        <v>936</v>
      </c>
      <c r="BP961" t="s">
        <v>74</v>
      </c>
      <c r="BQ961" t="s">
        <v>74</v>
      </c>
      <c r="BR961" t="s">
        <v>107</v>
      </c>
      <c r="BS961" t="s">
        <v>18287</v>
      </c>
      <c r="BT961" t="str">
        <f>HYPERLINK("https%3A%2F%2Fwww.webofscience.com%2Fwos%2Fwoscc%2Ffull-record%2FWOS:000998299000001","View Full Record in Web of Science")</f>
        <v>View Full Record in Web of Science</v>
      </c>
    </row>
    <row r="962" spans="1:72" x14ac:dyDescent="0.15">
      <c r="A962" t="s">
        <v>72</v>
      </c>
      <c r="B962" t="s">
        <v>18288</v>
      </c>
      <c r="C962" t="s">
        <v>74</v>
      </c>
      <c r="D962" t="s">
        <v>74</v>
      </c>
      <c r="E962" t="s">
        <v>74</v>
      </c>
      <c r="F962" t="s">
        <v>18289</v>
      </c>
      <c r="G962" t="s">
        <v>74</v>
      </c>
      <c r="H962" t="s">
        <v>74</v>
      </c>
      <c r="I962" t="s">
        <v>18290</v>
      </c>
      <c r="J962" t="s">
        <v>4475</v>
      </c>
      <c r="K962" t="s">
        <v>74</v>
      </c>
      <c r="L962" t="s">
        <v>74</v>
      </c>
      <c r="M962" t="s">
        <v>78</v>
      </c>
      <c r="N962" t="s">
        <v>3197</v>
      </c>
      <c r="O962" t="s">
        <v>74</v>
      </c>
      <c r="P962" t="s">
        <v>74</v>
      </c>
      <c r="Q962" t="s">
        <v>74</v>
      </c>
      <c r="R962" t="s">
        <v>74</v>
      </c>
      <c r="S962" t="s">
        <v>74</v>
      </c>
      <c r="T962" t="s">
        <v>74</v>
      </c>
      <c r="U962" t="s">
        <v>18291</v>
      </c>
      <c r="V962" t="s">
        <v>18292</v>
      </c>
      <c r="W962" t="s">
        <v>18293</v>
      </c>
      <c r="X962" t="s">
        <v>18294</v>
      </c>
      <c r="Y962" t="s">
        <v>18295</v>
      </c>
      <c r="Z962" t="s">
        <v>18296</v>
      </c>
      <c r="AA962" t="s">
        <v>18297</v>
      </c>
      <c r="AB962" t="s">
        <v>18298</v>
      </c>
      <c r="AC962" t="s">
        <v>18299</v>
      </c>
      <c r="AD962" t="s">
        <v>18300</v>
      </c>
      <c r="AE962" t="s">
        <v>18301</v>
      </c>
      <c r="AF962" t="s">
        <v>74</v>
      </c>
      <c r="AG962">
        <v>81</v>
      </c>
      <c r="AH962">
        <v>1</v>
      </c>
      <c r="AI962">
        <v>1</v>
      </c>
      <c r="AJ962">
        <v>4</v>
      </c>
      <c r="AK962">
        <v>13</v>
      </c>
      <c r="AL962" t="s">
        <v>146</v>
      </c>
      <c r="AM962" t="s">
        <v>147</v>
      </c>
      <c r="AN962" t="s">
        <v>148</v>
      </c>
      <c r="AO962" t="s">
        <v>74</v>
      </c>
      <c r="AP962" t="s">
        <v>4487</v>
      </c>
      <c r="AQ962" t="s">
        <v>74</v>
      </c>
      <c r="AR962" t="s">
        <v>4488</v>
      </c>
      <c r="AS962" t="s">
        <v>4489</v>
      </c>
      <c r="AT962" t="s">
        <v>18302</v>
      </c>
      <c r="AU962">
        <v>2023</v>
      </c>
      <c r="AV962">
        <v>10</v>
      </c>
      <c r="AW962">
        <v>1</v>
      </c>
      <c r="AX962" t="s">
        <v>74</v>
      </c>
      <c r="AY962" t="s">
        <v>74</v>
      </c>
      <c r="AZ962" t="s">
        <v>74</v>
      </c>
      <c r="BA962" t="s">
        <v>74</v>
      </c>
      <c r="BB962" t="s">
        <v>74</v>
      </c>
      <c r="BC962" t="s">
        <v>74</v>
      </c>
      <c r="BD962">
        <v>251</v>
      </c>
      <c r="BE962" t="s">
        <v>18303</v>
      </c>
      <c r="BF962" t="str">
        <f>HYPERLINK("http://dx.doi.org/10.1038/s41597-023-02160-9","http://dx.doi.org/10.1038/s41597-023-02160-9")</f>
        <v>http://dx.doi.org/10.1038/s41597-023-02160-9</v>
      </c>
      <c r="BG962" t="s">
        <v>74</v>
      </c>
      <c r="BH962" t="s">
        <v>74</v>
      </c>
      <c r="BI962">
        <v>17</v>
      </c>
      <c r="BJ962" t="s">
        <v>1881</v>
      </c>
      <c r="BK962" t="s">
        <v>104</v>
      </c>
      <c r="BL962" t="s">
        <v>1882</v>
      </c>
      <c r="BM962" t="s">
        <v>18304</v>
      </c>
      <c r="BN962">
        <v>37137931</v>
      </c>
      <c r="BO962" t="s">
        <v>11883</v>
      </c>
      <c r="BP962" t="s">
        <v>74</v>
      </c>
      <c r="BQ962" t="s">
        <v>74</v>
      </c>
      <c r="BR962" t="s">
        <v>107</v>
      </c>
      <c r="BS962" t="s">
        <v>18305</v>
      </c>
      <c r="BT962" t="str">
        <f>HYPERLINK("https%3A%2F%2Fwww.webofscience.com%2Fwos%2Fwoscc%2Ffull-record%2FWOS:000981888900002","View Full Record in Web of Science")</f>
        <v>View Full Record in Web of Science</v>
      </c>
    </row>
    <row r="963" spans="1:72" x14ac:dyDescent="0.15">
      <c r="A963" t="s">
        <v>72</v>
      </c>
      <c r="B963" t="s">
        <v>18306</v>
      </c>
      <c r="C963" t="s">
        <v>74</v>
      </c>
      <c r="D963" t="s">
        <v>74</v>
      </c>
      <c r="E963" t="s">
        <v>74</v>
      </c>
      <c r="F963" t="s">
        <v>18307</v>
      </c>
      <c r="G963" t="s">
        <v>74</v>
      </c>
      <c r="H963" t="s">
        <v>74</v>
      </c>
      <c r="I963" t="s">
        <v>18308</v>
      </c>
      <c r="J963" t="s">
        <v>17564</v>
      </c>
      <c r="K963" t="s">
        <v>74</v>
      </c>
      <c r="L963" t="s">
        <v>74</v>
      </c>
      <c r="M963" t="s">
        <v>78</v>
      </c>
      <c r="N963" t="s">
        <v>79</v>
      </c>
      <c r="O963" t="s">
        <v>74</v>
      </c>
      <c r="P963" t="s">
        <v>74</v>
      </c>
      <c r="Q963" t="s">
        <v>74</v>
      </c>
      <c r="R963" t="s">
        <v>74</v>
      </c>
      <c r="S963" t="s">
        <v>74</v>
      </c>
      <c r="T963" t="s">
        <v>18309</v>
      </c>
      <c r="U963" t="s">
        <v>18310</v>
      </c>
      <c r="V963" t="s">
        <v>18311</v>
      </c>
      <c r="W963" t="s">
        <v>18312</v>
      </c>
      <c r="X963" t="s">
        <v>18313</v>
      </c>
      <c r="Y963" t="s">
        <v>18314</v>
      </c>
      <c r="Z963" t="s">
        <v>18315</v>
      </c>
      <c r="AA963" t="s">
        <v>18316</v>
      </c>
      <c r="AB963" t="s">
        <v>18317</v>
      </c>
      <c r="AC963" t="s">
        <v>74</v>
      </c>
      <c r="AD963" t="s">
        <v>74</v>
      </c>
      <c r="AE963" t="s">
        <v>74</v>
      </c>
      <c r="AF963" t="s">
        <v>74</v>
      </c>
      <c r="AG963">
        <v>164</v>
      </c>
      <c r="AH963">
        <v>0</v>
      </c>
      <c r="AI963">
        <v>0</v>
      </c>
      <c r="AJ963">
        <v>3</v>
      </c>
      <c r="AK963">
        <v>6</v>
      </c>
      <c r="AL963" t="s">
        <v>17096</v>
      </c>
      <c r="AM963" t="s">
        <v>17097</v>
      </c>
      <c r="AN963" t="s">
        <v>17098</v>
      </c>
      <c r="AO963" t="s">
        <v>17577</v>
      </c>
      <c r="AP963" t="s">
        <v>17578</v>
      </c>
      <c r="AQ963" t="s">
        <v>74</v>
      </c>
      <c r="AR963" t="s">
        <v>17579</v>
      </c>
      <c r="AS963" t="s">
        <v>17580</v>
      </c>
      <c r="AT963" t="s">
        <v>3612</v>
      </c>
      <c r="AU963">
        <v>2023</v>
      </c>
      <c r="AV963">
        <v>46</v>
      </c>
      <c r="AW963">
        <v>4</v>
      </c>
      <c r="AX963" t="s">
        <v>74</v>
      </c>
      <c r="AY963" t="s">
        <v>74</v>
      </c>
      <c r="AZ963" t="s">
        <v>74</v>
      </c>
      <c r="BA963" t="s">
        <v>74</v>
      </c>
      <c r="BB963" t="s">
        <v>74</v>
      </c>
      <c r="BC963" t="s">
        <v>74</v>
      </c>
      <c r="BD963">
        <v>126426</v>
      </c>
      <c r="BE963" t="s">
        <v>18318</v>
      </c>
      <c r="BF963" t="str">
        <f>HYPERLINK("http://dx.doi.org/10.1016/j.syapm.2023.126426","http://dx.doi.org/10.1016/j.syapm.2023.126426")</f>
        <v>http://dx.doi.org/10.1016/j.syapm.2023.126426</v>
      </c>
      <c r="BG963" t="s">
        <v>74</v>
      </c>
      <c r="BH963" t="s">
        <v>15114</v>
      </c>
      <c r="BI963">
        <v>16</v>
      </c>
      <c r="BJ963" t="s">
        <v>17582</v>
      </c>
      <c r="BK963" t="s">
        <v>104</v>
      </c>
      <c r="BL963" t="s">
        <v>17582</v>
      </c>
      <c r="BM963" t="s">
        <v>18319</v>
      </c>
      <c r="BN963">
        <v>37141831</v>
      </c>
      <c r="BO963" t="s">
        <v>74</v>
      </c>
      <c r="BP963" t="s">
        <v>74</v>
      </c>
      <c r="BQ963" t="s">
        <v>74</v>
      </c>
      <c r="BR963" t="s">
        <v>107</v>
      </c>
      <c r="BS963" t="s">
        <v>18320</v>
      </c>
      <c r="BT963" t="str">
        <f>HYPERLINK("https%3A%2F%2Fwww.webofscience.com%2Fwos%2Fwoscc%2Ffull-record%2FWOS:000998629500001","View Full Record in Web of Science")</f>
        <v>View Full Record in Web of Science</v>
      </c>
    </row>
    <row r="964" spans="1:72" x14ac:dyDescent="0.15">
      <c r="A964" t="s">
        <v>72</v>
      </c>
      <c r="B964" t="s">
        <v>18321</v>
      </c>
      <c r="C964" t="s">
        <v>74</v>
      </c>
      <c r="D964" t="s">
        <v>74</v>
      </c>
      <c r="E964" t="s">
        <v>74</v>
      </c>
      <c r="F964" t="s">
        <v>18322</v>
      </c>
      <c r="G964" t="s">
        <v>74</v>
      </c>
      <c r="H964" t="s">
        <v>74</v>
      </c>
      <c r="I964" t="s">
        <v>18323</v>
      </c>
      <c r="J964" t="s">
        <v>9486</v>
      </c>
      <c r="K964" t="s">
        <v>74</v>
      </c>
      <c r="L964" t="s">
        <v>74</v>
      </c>
      <c r="M964" t="s">
        <v>78</v>
      </c>
      <c r="N964" t="s">
        <v>79</v>
      </c>
      <c r="O964" t="s">
        <v>74</v>
      </c>
      <c r="P964" t="s">
        <v>74</v>
      </c>
      <c r="Q964" t="s">
        <v>74</v>
      </c>
      <c r="R964" t="s">
        <v>74</v>
      </c>
      <c r="S964" t="s">
        <v>74</v>
      </c>
      <c r="T964" t="s">
        <v>18324</v>
      </c>
      <c r="U964" t="s">
        <v>18325</v>
      </c>
      <c r="V964" t="s">
        <v>18326</v>
      </c>
      <c r="W964" t="s">
        <v>18327</v>
      </c>
      <c r="X964" t="s">
        <v>18328</v>
      </c>
      <c r="Y964" t="s">
        <v>18329</v>
      </c>
      <c r="Z964" t="s">
        <v>18330</v>
      </c>
      <c r="AA964" t="s">
        <v>18331</v>
      </c>
      <c r="AB964" t="s">
        <v>18332</v>
      </c>
      <c r="AC964" t="s">
        <v>18333</v>
      </c>
      <c r="AD964" t="s">
        <v>18334</v>
      </c>
      <c r="AE964" t="s">
        <v>18335</v>
      </c>
      <c r="AF964" t="s">
        <v>74</v>
      </c>
      <c r="AG964">
        <v>119</v>
      </c>
      <c r="AH964">
        <v>1</v>
      </c>
      <c r="AI964">
        <v>1</v>
      </c>
      <c r="AJ964">
        <v>3</v>
      </c>
      <c r="AK964">
        <v>7</v>
      </c>
      <c r="AL964" t="s">
        <v>369</v>
      </c>
      <c r="AM964" t="s">
        <v>370</v>
      </c>
      <c r="AN964" t="s">
        <v>371</v>
      </c>
      <c r="AO964" t="s">
        <v>74</v>
      </c>
      <c r="AP964" t="s">
        <v>9496</v>
      </c>
      <c r="AQ964" t="s">
        <v>74</v>
      </c>
      <c r="AR964" t="s">
        <v>9497</v>
      </c>
      <c r="AS964" t="s">
        <v>9498</v>
      </c>
      <c r="AT964" t="s">
        <v>18302</v>
      </c>
      <c r="AU964">
        <v>2023</v>
      </c>
      <c r="AV964">
        <v>14</v>
      </c>
      <c r="AW964">
        <v>5</v>
      </c>
      <c r="AX964" t="s">
        <v>74</v>
      </c>
      <c r="AY964" t="s">
        <v>74</v>
      </c>
      <c r="AZ964" t="s">
        <v>74</v>
      </c>
      <c r="BA964" t="s">
        <v>74</v>
      </c>
      <c r="BB964" t="s">
        <v>74</v>
      </c>
      <c r="BC964" t="s">
        <v>74</v>
      </c>
      <c r="BD964">
        <v>1038</v>
      </c>
      <c r="BE964" t="s">
        <v>18336</v>
      </c>
      <c r="BF964" t="str">
        <f>HYPERLINK("http://dx.doi.org/10.3390/genes14051038","http://dx.doi.org/10.3390/genes14051038")</f>
        <v>http://dx.doi.org/10.3390/genes14051038</v>
      </c>
      <c r="BG964" t="s">
        <v>74</v>
      </c>
      <c r="BH964" t="s">
        <v>74</v>
      </c>
      <c r="BI964">
        <v>23</v>
      </c>
      <c r="BJ964" t="s">
        <v>9500</v>
      </c>
      <c r="BK964" t="s">
        <v>104</v>
      </c>
      <c r="BL964" t="s">
        <v>9500</v>
      </c>
      <c r="BM964" t="s">
        <v>18337</v>
      </c>
      <c r="BN964">
        <v>37239398</v>
      </c>
      <c r="BO964" t="s">
        <v>447</v>
      </c>
      <c r="BP964" t="s">
        <v>74</v>
      </c>
      <c r="BQ964" t="s">
        <v>74</v>
      </c>
      <c r="BR964" t="s">
        <v>107</v>
      </c>
      <c r="BS964" t="s">
        <v>18338</v>
      </c>
      <c r="BT964" t="str">
        <f>HYPERLINK("https%3A%2F%2Fwww.webofscience.com%2Fwos%2Fwoscc%2Ffull-record%2FWOS:000997874400001","View Full Record in Web of Science")</f>
        <v>View Full Record in Web of Science</v>
      </c>
    </row>
    <row r="965" spans="1:72" x14ac:dyDescent="0.15">
      <c r="A965" t="s">
        <v>72</v>
      </c>
      <c r="B965" t="s">
        <v>18339</v>
      </c>
      <c r="C965" t="s">
        <v>74</v>
      </c>
      <c r="D965" t="s">
        <v>74</v>
      </c>
      <c r="E965" t="s">
        <v>74</v>
      </c>
      <c r="F965" t="s">
        <v>18340</v>
      </c>
      <c r="G965" t="s">
        <v>74</v>
      </c>
      <c r="H965" t="s">
        <v>74</v>
      </c>
      <c r="I965" t="s">
        <v>18341</v>
      </c>
      <c r="J965" t="s">
        <v>5519</v>
      </c>
      <c r="K965" t="s">
        <v>74</v>
      </c>
      <c r="L965" t="s">
        <v>74</v>
      </c>
      <c r="M965" t="s">
        <v>78</v>
      </c>
      <c r="N965" t="s">
        <v>79</v>
      </c>
      <c r="O965" t="s">
        <v>74</v>
      </c>
      <c r="P965" t="s">
        <v>74</v>
      </c>
      <c r="Q965" t="s">
        <v>74</v>
      </c>
      <c r="R965" t="s">
        <v>74</v>
      </c>
      <c r="S965" t="s">
        <v>74</v>
      </c>
      <c r="T965" t="s">
        <v>74</v>
      </c>
      <c r="U965" t="s">
        <v>18342</v>
      </c>
      <c r="V965" t="s">
        <v>18343</v>
      </c>
      <c r="W965" t="s">
        <v>18344</v>
      </c>
      <c r="X965" t="s">
        <v>18345</v>
      </c>
      <c r="Y965" t="s">
        <v>18346</v>
      </c>
      <c r="Z965" t="s">
        <v>18347</v>
      </c>
      <c r="AA965" t="s">
        <v>18348</v>
      </c>
      <c r="AB965" t="s">
        <v>18349</v>
      </c>
      <c r="AC965" t="s">
        <v>18350</v>
      </c>
      <c r="AD965" t="s">
        <v>18351</v>
      </c>
      <c r="AE965" t="s">
        <v>18352</v>
      </c>
      <c r="AF965" t="s">
        <v>74</v>
      </c>
      <c r="AG965">
        <v>101</v>
      </c>
      <c r="AH965">
        <v>6</v>
      </c>
      <c r="AI965">
        <v>7</v>
      </c>
      <c r="AJ965">
        <v>5</v>
      </c>
      <c r="AK965">
        <v>6</v>
      </c>
      <c r="AL965" t="s">
        <v>5530</v>
      </c>
      <c r="AM965" t="s">
        <v>589</v>
      </c>
      <c r="AN965" t="s">
        <v>5531</v>
      </c>
      <c r="AO965" t="s">
        <v>5532</v>
      </c>
      <c r="AP965" t="s">
        <v>74</v>
      </c>
      <c r="AQ965" t="s">
        <v>74</v>
      </c>
      <c r="AR965" t="s">
        <v>5533</v>
      </c>
      <c r="AS965" t="s">
        <v>5534</v>
      </c>
      <c r="AT965" t="s">
        <v>18302</v>
      </c>
      <c r="AU965">
        <v>2023</v>
      </c>
      <c r="AV965">
        <v>9</v>
      </c>
      <c r="AW965">
        <v>18</v>
      </c>
      <c r="AX965" t="s">
        <v>74</v>
      </c>
      <c r="AY965" t="s">
        <v>74</v>
      </c>
      <c r="AZ965" t="s">
        <v>74</v>
      </c>
      <c r="BA965" t="s">
        <v>74</v>
      </c>
      <c r="BB965" t="s">
        <v>74</v>
      </c>
      <c r="BC965" t="s">
        <v>74</v>
      </c>
      <c r="BD965" t="s">
        <v>18353</v>
      </c>
      <c r="BE965" t="s">
        <v>18354</v>
      </c>
      <c r="BF965" t="str">
        <f>HYPERLINK("http://dx.doi.org/10.1126/sciadv.add7049","http://dx.doi.org/10.1126/sciadv.add7049")</f>
        <v>http://dx.doi.org/10.1126/sciadv.add7049</v>
      </c>
      <c r="BG965" t="s">
        <v>74</v>
      </c>
      <c r="BH965" t="s">
        <v>74</v>
      </c>
      <c r="BI965">
        <v>14</v>
      </c>
      <c r="BJ965" t="s">
        <v>1881</v>
      </c>
      <c r="BK965" t="s">
        <v>104</v>
      </c>
      <c r="BL965" t="s">
        <v>1882</v>
      </c>
      <c r="BM965" t="s">
        <v>18355</v>
      </c>
      <c r="BN965">
        <v>37134175</v>
      </c>
      <c r="BO965" t="s">
        <v>821</v>
      </c>
      <c r="BP965" t="s">
        <v>74</v>
      </c>
      <c r="BQ965" t="s">
        <v>74</v>
      </c>
      <c r="BR965" t="s">
        <v>107</v>
      </c>
      <c r="BS965" t="s">
        <v>18356</v>
      </c>
      <c r="BT965" t="str">
        <f>HYPERLINK("https%3A%2F%2Fwww.webofscience.com%2Fwos%2Fwoscc%2Ffull-record%2FWOS:000988268100012","View Full Record in Web of Science")</f>
        <v>View Full Record in Web of Science</v>
      </c>
    </row>
    <row r="966" spans="1:72" x14ac:dyDescent="0.15">
      <c r="A966" t="s">
        <v>72</v>
      </c>
      <c r="B966" t="s">
        <v>18357</v>
      </c>
      <c r="C966" t="s">
        <v>74</v>
      </c>
      <c r="D966" t="s">
        <v>74</v>
      </c>
      <c r="E966" t="s">
        <v>74</v>
      </c>
      <c r="F966" t="s">
        <v>18358</v>
      </c>
      <c r="G966" t="s">
        <v>74</v>
      </c>
      <c r="H966" t="s">
        <v>74</v>
      </c>
      <c r="I966" t="s">
        <v>18359</v>
      </c>
      <c r="J966" t="s">
        <v>18360</v>
      </c>
      <c r="K966" t="s">
        <v>74</v>
      </c>
      <c r="L966" t="s">
        <v>74</v>
      </c>
      <c r="M966" t="s">
        <v>78</v>
      </c>
      <c r="N966" t="s">
        <v>79</v>
      </c>
      <c r="O966" t="s">
        <v>74</v>
      </c>
      <c r="P966" t="s">
        <v>74</v>
      </c>
      <c r="Q966" t="s">
        <v>74</v>
      </c>
      <c r="R966" t="s">
        <v>74</v>
      </c>
      <c r="S966" t="s">
        <v>74</v>
      </c>
      <c r="T966" t="s">
        <v>18361</v>
      </c>
      <c r="U966" t="s">
        <v>18362</v>
      </c>
      <c r="V966" t="s">
        <v>18363</v>
      </c>
      <c r="W966" t="s">
        <v>18364</v>
      </c>
      <c r="X966" t="s">
        <v>18365</v>
      </c>
      <c r="Y966" t="s">
        <v>18366</v>
      </c>
      <c r="Z966" t="s">
        <v>18367</v>
      </c>
      <c r="AA966" t="s">
        <v>18368</v>
      </c>
      <c r="AB966" t="s">
        <v>18369</v>
      </c>
      <c r="AC966" t="s">
        <v>18370</v>
      </c>
      <c r="AD966" t="s">
        <v>18371</v>
      </c>
      <c r="AE966" t="s">
        <v>18372</v>
      </c>
      <c r="AF966" t="s">
        <v>74</v>
      </c>
      <c r="AG966">
        <v>63</v>
      </c>
      <c r="AH966">
        <v>2</v>
      </c>
      <c r="AI966">
        <v>2</v>
      </c>
      <c r="AJ966">
        <v>15</v>
      </c>
      <c r="AK966">
        <v>36</v>
      </c>
      <c r="AL966" t="s">
        <v>460</v>
      </c>
      <c r="AM966" t="s">
        <v>461</v>
      </c>
      <c r="AN966" t="s">
        <v>462</v>
      </c>
      <c r="AO966" t="s">
        <v>18373</v>
      </c>
      <c r="AP966" t="s">
        <v>18374</v>
      </c>
      <c r="AQ966" t="s">
        <v>74</v>
      </c>
      <c r="AR966" t="s">
        <v>18375</v>
      </c>
      <c r="AS966" t="s">
        <v>18376</v>
      </c>
      <c r="AT966" t="s">
        <v>3612</v>
      </c>
      <c r="AU966">
        <v>2023</v>
      </c>
      <c r="AV966">
        <v>29</v>
      </c>
      <c r="AW966">
        <v>14</v>
      </c>
      <c r="AX966" t="s">
        <v>74</v>
      </c>
      <c r="AY966" t="s">
        <v>74</v>
      </c>
      <c r="AZ966" t="s">
        <v>74</v>
      </c>
      <c r="BA966" t="s">
        <v>74</v>
      </c>
      <c r="BB966">
        <v>4056</v>
      </c>
      <c r="BC966">
        <v>4068</v>
      </c>
      <c r="BD966" t="s">
        <v>74</v>
      </c>
      <c r="BE966" t="s">
        <v>18377</v>
      </c>
      <c r="BF966" t="str">
        <f>HYPERLINK("http://dx.doi.org/10.1111/gcb.16748","http://dx.doi.org/10.1111/gcb.16748")</f>
        <v>http://dx.doi.org/10.1111/gcb.16748</v>
      </c>
      <c r="BG966" t="s">
        <v>74</v>
      </c>
      <c r="BH966" t="s">
        <v>15114</v>
      </c>
      <c r="BI966">
        <v>13</v>
      </c>
      <c r="BJ966" t="s">
        <v>10349</v>
      </c>
      <c r="BK966" t="s">
        <v>104</v>
      </c>
      <c r="BL966" t="s">
        <v>1905</v>
      </c>
      <c r="BM966" t="s">
        <v>18378</v>
      </c>
      <c r="BN966">
        <v>37114848</v>
      </c>
      <c r="BO966" t="s">
        <v>549</v>
      </c>
      <c r="BP966" t="s">
        <v>74</v>
      </c>
      <c r="BQ966" t="s">
        <v>74</v>
      </c>
      <c r="BR966" t="s">
        <v>107</v>
      </c>
      <c r="BS966" t="s">
        <v>18379</v>
      </c>
      <c r="BT966" t="str">
        <f>HYPERLINK("https%3A%2F%2Fwww.webofscience.com%2Fwos%2Fwoscc%2Ffull-record%2FWOS:000981825600001","View Full Record in Web of Science")</f>
        <v>View Full Record in Web of Science</v>
      </c>
    </row>
    <row r="967" spans="1:72" x14ac:dyDescent="0.15">
      <c r="A967" t="s">
        <v>72</v>
      </c>
      <c r="B967" t="s">
        <v>18380</v>
      </c>
      <c r="C967" t="s">
        <v>74</v>
      </c>
      <c r="D967" t="s">
        <v>74</v>
      </c>
      <c r="E967" t="s">
        <v>74</v>
      </c>
      <c r="F967" t="s">
        <v>18381</v>
      </c>
      <c r="G967" t="s">
        <v>74</v>
      </c>
      <c r="H967" t="s">
        <v>74</v>
      </c>
      <c r="I967" t="s">
        <v>18382</v>
      </c>
      <c r="J967" t="s">
        <v>18383</v>
      </c>
      <c r="K967" t="s">
        <v>74</v>
      </c>
      <c r="L967" t="s">
        <v>74</v>
      </c>
      <c r="M967" t="s">
        <v>78</v>
      </c>
      <c r="N967" t="s">
        <v>79</v>
      </c>
      <c r="O967" t="s">
        <v>74</v>
      </c>
      <c r="P967" t="s">
        <v>74</v>
      </c>
      <c r="Q967" t="s">
        <v>74</v>
      </c>
      <c r="R967" t="s">
        <v>74</v>
      </c>
      <c r="S967" t="s">
        <v>74</v>
      </c>
      <c r="T967" t="s">
        <v>18384</v>
      </c>
      <c r="U967" t="s">
        <v>18385</v>
      </c>
      <c r="V967" t="s">
        <v>18386</v>
      </c>
      <c r="W967" t="s">
        <v>18387</v>
      </c>
      <c r="X967" t="s">
        <v>18388</v>
      </c>
      <c r="Y967" t="s">
        <v>18389</v>
      </c>
      <c r="Z967" t="s">
        <v>18390</v>
      </c>
      <c r="AA967" t="s">
        <v>18391</v>
      </c>
      <c r="AB967" t="s">
        <v>18392</v>
      </c>
      <c r="AC967" t="s">
        <v>18393</v>
      </c>
      <c r="AD967" t="s">
        <v>18394</v>
      </c>
      <c r="AE967" t="s">
        <v>18395</v>
      </c>
      <c r="AF967" t="s">
        <v>74</v>
      </c>
      <c r="AG967">
        <v>59</v>
      </c>
      <c r="AH967">
        <v>2</v>
      </c>
      <c r="AI967">
        <v>2</v>
      </c>
      <c r="AJ967">
        <v>7</v>
      </c>
      <c r="AK967">
        <v>14</v>
      </c>
      <c r="AL967" t="s">
        <v>460</v>
      </c>
      <c r="AM967" t="s">
        <v>461</v>
      </c>
      <c r="AN967" t="s">
        <v>462</v>
      </c>
      <c r="AO967" t="s">
        <v>18396</v>
      </c>
      <c r="AP967" t="s">
        <v>18397</v>
      </c>
      <c r="AQ967" t="s">
        <v>74</v>
      </c>
      <c r="AR967" t="s">
        <v>18398</v>
      </c>
      <c r="AS967" t="s">
        <v>18399</v>
      </c>
      <c r="AT967" t="s">
        <v>8990</v>
      </c>
      <c r="AU967">
        <v>2023</v>
      </c>
      <c r="AV967">
        <v>42</v>
      </c>
      <c r="AW967">
        <v>6</v>
      </c>
      <c r="AX967" t="s">
        <v>74</v>
      </c>
      <c r="AY967" t="s">
        <v>74</v>
      </c>
      <c r="AZ967" t="s">
        <v>74</v>
      </c>
      <c r="BA967" t="s">
        <v>74</v>
      </c>
      <c r="BB967">
        <v>1409</v>
      </c>
      <c r="BC967">
        <v>1419</v>
      </c>
      <c r="BD967" t="s">
        <v>74</v>
      </c>
      <c r="BE967" t="s">
        <v>18400</v>
      </c>
      <c r="BF967" t="str">
        <f>HYPERLINK("http://dx.doi.org/10.1002/etc.5621","http://dx.doi.org/10.1002/etc.5621")</f>
        <v>http://dx.doi.org/10.1002/etc.5621</v>
      </c>
      <c r="BG967" t="s">
        <v>74</v>
      </c>
      <c r="BH967" t="s">
        <v>15114</v>
      </c>
      <c r="BI967">
        <v>11</v>
      </c>
      <c r="BJ967" t="s">
        <v>6358</v>
      </c>
      <c r="BK967" t="s">
        <v>104</v>
      </c>
      <c r="BL967" t="s">
        <v>6359</v>
      </c>
      <c r="BM967" t="s">
        <v>18401</v>
      </c>
      <c r="BN967">
        <v>37042563</v>
      </c>
      <c r="BO967" t="s">
        <v>74</v>
      </c>
      <c r="BP967" t="s">
        <v>74</v>
      </c>
      <c r="BQ967" t="s">
        <v>74</v>
      </c>
      <c r="BR967" t="s">
        <v>107</v>
      </c>
      <c r="BS967" t="s">
        <v>18402</v>
      </c>
      <c r="BT967" t="str">
        <f>HYPERLINK("https%3A%2F%2Fwww.webofscience.com%2Fwos%2Fwoscc%2Ffull-record%2FWOS:000980599100001","View Full Record in Web of Science")</f>
        <v>View Full Record in Web of Science</v>
      </c>
    </row>
    <row r="968" spans="1:72" x14ac:dyDescent="0.15">
      <c r="A968" t="s">
        <v>72</v>
      </c>
      <c r="B968" t="s">
        <v>18403</v>
      </c>
      <c r="C968" t="s">
        <v>74</v>
      </c>
      <c r="D968" t="s">
        <v>74</v>
      </c>
      <c r="E968" t="s">
        <v>74</v>
      </c>
      <c r="F968" t="s">
        <v>18404</v>
      </c>
      <c r="G968" t="s">
        <v>74</v>
      </c>
      <c r="H968" t="s">
        <v>74</v>
      </c>
      <c r="I968" t="s">
        <v>18405</v>
      </c>
      <c r="J968" t="s">
        <v>7978</v>
      </c>
      <c r="K968" t="s">
        <v>74</v>
      </c>
      <c r="L968" t="s">
        <v>74</v>
      </c>
      <c r="M968" t="s">
        <v>78</v>
      </c>
      <c r="N968" t="s">
        <v>1911</v>
      </c>
      <c r="O968" t="s">
        <v>74</v>
      </c>
      <c r="P968" t="s">
        <v>74</v>
      </c>
      <c r="Q968" t="s">
        <v>74</v>
      </c>
      <c r="R968" t="s">
        <v>74</v>
      </c>
      <c r="S968" t="s">
        <v>74</v>
      </c>
      <c r="T968" t="s">
        <v>18406</v>
      </c>
      <c r="U968" t="s">
        <v>18407</v>
      </c>
      <c r="V968" t="s">
        <v>18408</v>
      </c>
      <c r="W968" t="s">
        <v>18409</v>
      </c>
      <c r="X968" t="s">
        <v>18410</v>
      </c>
      <c r="Y968" t="s">
        <v>18411</v>
      </c>
      <c r="Z968" t="s">
        <v>18412</v>
      </c>
      <c r="AA968" t="s">
        <v>74</v>
      </c>
      <c r="AB968" t="s">
        <v>74</v>
      </c>
      <c r="AC968" t="s">
        <v>74</v>
      </c>
      <c r="AD968" t="s">
        <v>74</v>
      </c>
      <c r="AE968" t="s">
        <v>74</v>
      </c>
      <c r="AF968" t="s">
        <v>74</v>
      </c>
      <c r="AG968">
        <v>44</v>
      </c>
      <c r="AH968">
        <v>1</v>
      </c>
      <c r="AI968">
        <v>1</v>
      </c>
      <c r="AJ968">
        <v>2</v>
      </c>
      <c r="AK968">
        <v>6</v>
      </c>
      <c r="AL968" t="s">
        <v>1803</v>
      </c>
      <c r="AM968" t="s">
        <v>1804</v>
      </c>
      <c r="AN968" t="s">
        <v>1805</v>
      </c>
      <c r="AO968" t="s">
        <v>7990</v>
      </c>
      <c r="AP968" t="s">
        <v>7991</v>
      </c>
      <c r="AQ968" t="s">
        <v>74</v>
      </c>
      <c r="AR968" t="s">
        <v>7992</v>
      </c>
      <c r="AS968" t="s">
        <v>7993</v>
      </c>
      <c r="AT968" t="s">
        <v>18413</v>
      </c>
      <c r="AU968">
        <v>2023</v>
      </c>
      <c r="AV968" t="s">
        <v>74</v>
      </c>
      <c r="AW968" t="s">
        <v>74</v>
      </c>
      <c r="AX968" t="s">
        <v>74</v>
      </c>
      <c r="AY968" t="s">
        <v>74</v>
      </c>
      <c r="AZ968" t="s">
        <v>74</v>
      </c>
      <c r="BA968" t="s">
        <v>74</v>
      </c>
      <c r="BB968" t="s">
        <v>74</v>
      </c>
      <c r="BC968" t="s">
        <v>74</v>
      </c>
      <c r="BD968" t="s">
        <v>18414</v>
      </c>
      <c r="BE968" t="s">
        <v>18415</v>
      </c>
      <c r="BF968" t="str">
        <f>HYPERLINK("http://dx.doi.org/10.1017/aog.2023.26","http://dx.doi.org/10.1017/aog.2023.26")</f>
        <v>http://dx.doi.org/10.1017/aog.2023.26</v>
      </c>
      <c r="BG968" t="s">
        <v>74</v>
      </c>
      <c r="BH968" t="s">
        <v>15114</v>
      </c>
      <c r="BI968">
        <v>11</v>
      </c>
      <c r="BJ968" t="s">
        <v>1783</v>
      </c>
      <c r="BK968" t="s">
        <v>104</v>
      </c>
      <c r="BL968" t="s">
        <v>1784</v>
      </c>
      <c r="BM968" t="s">
        <v>18416</v>
      </c>
      <c r="BN968" t="s">
        <v>74</v>
      </c>
      <c r="BO968" t="s">
        <v>206</v>
      </c>
      <c r="BP968" t="s">
        <v>74</v>
      </c>
      <c r="BQ968" t="s">
        <v>74</v>
      </c>
      <c r="BR968" t="s">
        <v>107</v>
      </c>
      <c r="BS968" t="s">
        <v>18417</v>
      </c>
      <c r="BT968" t="str">
        <f>HYPERLINK("https%3A%2F%2Fwww.webofscience.com%2Fwos%2Fwoscc%2Ffull-record%2FWOS:000980774000001","View Full Record in Web of Science")</f>
        <v>View Full Record in Web of Science</v>
      </c>
    </row>
    <row r="969" spans="1:72" x14ac:dyDescent="0.15">
      <c r="A969" t="s">
        <v>72</v>
      </c>
      <c r="B969" t="s">
        <v>18418</v>
      </c>
      <c r="C969" t="s">
        <v>74</v>
      </c>
      <c r="D969" t="s">
        <v>74</v>
      </c>
      <c r="E969" t="s">
        <v>74</v>
      </c>
      <c r="F969" t="s">
        <v>18419</v>
      </c>
      <c r="G969" t="s">
        <v>74</v>
      </c>
      <c r="H969" t="s">
        <v>74</v>
      </c>
      <c r="I969" t="s">
        <v>18420</v>
      </c>
      <c r="J969" t="s">
        <v>9163</v>
      </c>
      <c r="K969" t="s">
        <v>74</v>
      </c>
      <c r="L969" t="s">
        <v>74</v>
      </c>
      <c r="M969" t="s">
        <v>78</v>
      </c>
      <c r="N969" t="s">
        <v>79</v>
      </c>
      <c r="O969" t="s">
        <v>74</v>
      </c>
      <c r="P969" t="s">
        <v>74</v>
      </c>
      <c r="Q969" t="s">
        <v>74</v>
      </c>
      <c r="R969" t="s">
        <v>74</v>
      </c>
      <c r="S969" t="s">
        <v>74</v>
      </c>
      <c r="T969" t="s">
        <v>74</v>
      </c>
      <c r="U969" t="s">
        <v>74</v>
      </c>
      <c r="V969" t="s">
        <v>18421</v>
      </c>
      <c r="W969" t="s">
        <v>18422</v>
      </c>
      <c r="X969" t="s">
        <v>18423</v>
      </c>
      <c r="Y969" t="s">
        <v>18424</v>
      </c>
      <c r="Z969" t="s">
        <v>18425</v>
      </c>
      <c r="AA969" t="s">
        <v>18426</v>
      </c>
      <c r="AB969" t="s">
        <v>18427</v>
      </c>
      <c r="AC969" t="s">
        <v>18428</v>
      </c>
      <c r="AD969" t="s">
        <v>18429</v>
      </c>
      <c r="AE969" t="s">
        <v>18430</v>
      </c>
      <c r="AF969" t="s">
        <v>74</v>
      </c>
      <c r="AG969">
        <v>62</v>
      </c>
      <c r="AH969">
        <v>3</v>
      </c>
      <c r="AI969">
        <v>3</v>
      </c>
      <c r="AJ969">
        <v>2</v>
      </c>
      <c r="AK969">
        <v>4</v>
      </c>
      <c r="AL969" t="s">
        <v>537</v>
      </c>
      <c r="AM969" t="s">
        <v>538</v>
      </c>
      <c r="AN969" t="s">
        <v>539</v>
      </c>
      <c r="AO969" t="s">
        <v>74</v>
      </c>
      <c r="AP969" t="s">
        <v>9176</v>
      </c>
      <c r="AQ969" t="s">
        <v>74</v>
      </c>
      <c r="AR969" t="s">
        <v>9163</v>
      </c>
      <c r="AS969" t="s">
        <v>9177</v>
      </c>
      <c r="AT969" t="s">
        <v>18431</v>
      </c>
      <c r="AU969">
        <v>2023</v>
      </c>
      <c r="AV969">
        <v>2</v>
      </c>
      <c r="AW969">
        <v>5</v>
      </c>
      <c r="AX969" t="s">
        <v>74</v>
      </c>
      <c r="AY969" t="s">
        <v>74</v>
      </c>
      <c r="AZ969" t="s">
        <v>74</v>
      </c>
      <c r="BA969" t="s">
        <v>74</v>
      </c>
      <c r="BB969" t="s">
        <v>74</v>
      </c>
      <c r="BC969" t="s">
        <v>74</v>
      </c>
      <c r="BD969" t="s">
        <v>18432</v>
      </c>
      <c r="BE969" t="s">
        <v>18433</v>
      </c>
      <c r="BF969" t="str">
        <f>HYPERLINK("http://dx.doi.org/10.1093/pnasnexus/pgad136","http://dx.doi.org/10.1093/pnasnexus/pgad136")</f>
        <v>http://dx.doi.org/10.1093/pnasnexus/pgad136</v>
      </c>
      <c r="BG969" t="s">
        <v>74</v>
      </c>
      <c r="BH969" t="s">
        <v>74</v>
      </c>
      <c r="BI969">
        <v>12</v>
      </c>
      <c r="BJ969" t="s">
        <v>9180</v>
      </c>
      <c r="BK969" t="s">
        <v>518</v>
      </c>
      <c r="BL969" t="s">
        <v>9181</v>
      </c>
      <c r="BM969" t="s">
        <v>18434</v>
      </c>
      <c r="BN969">
        <v>37181048</v>
      </c>
      <c r="BO969" t="s">
        <v>7816</v>
      </c>
      <c r="BP969" t="s">
        <v>74</v>
      </c>
      <c r="BQ969" t="s">
        <v>74</v>
      </c>
      <c r="BR969" t="s">
        <v>107</v>
      </c>
      <c r="BS969" t="s">
        <v>18435</v>
      </c>
      <c r="BT969" t="str">
        <f>HYPERLINK("https%3A%2F%2Fwww.webofscience.com%2Fwos%2Fwoscc%2Ffull-record%2FWOS:001053144200009","View Full Record in Web of Science")</f>
        <v>View Full Record in Web of Science</v>
      </c>
    </row>
    <row r="970" spans="1:72" x14ac:dyDescent="0.15">
      <c r="A970" t="s">
        <v>72</v>
      </c>
      <c r="B970" t="s">
        <v>18436</v>
      </c>
      <c r="C970" t="s">
        <v>74</v>
      </c>
      <c r="D970" t="s">
        <v>74</v>
      </c>
      <c r="E970" t="s">
        <v>74</v>
      </c>
      <c r="F970" t="s">
        <v>18437</v>
      </c>
      <c r="G970" t="s">
        <v>74</v>
      </c>
      <c r="H970" t="s">
        <v>74</v>
      </c>
      <c r="I970" t="s">
        <v>18438</v>
      </c>
      <c r="J970" t="s">
        <v>8735</v>
      </c>
      <c r="K970" t="s">
        <v>74</v>
      </c>
      <c r="L970" t="s">
        <v>74</v>
      </c>
      <c r="M970" t="s">
        <v>78</v>
      </c>
      <c r="N970" t="s">
        <v>79</v>
      </c>
      <c r="O970" t="s">
        <v>74</v>
      </c>
      <c r="P970" t="s">
        <v>74</v>
      </c>
      <c r="Q970" t="s">
        <v>74</v>
      </c>
      <c r="R970" t="s">
        <v>74</v>
      </c>
      <c r="S970" t="s">
        <v>74</v>
      </c>
      <c r="T970" t="s">
        <v>18439</v>
      </c>
      <c r="U970" t="s">
        <v>18440</v>
      </c>
      <c r="V970" t="s">
        <v>18441</v>
      </c>
      <c r="W970" t="s">
        <v>18442</v>
      </c>
      <c r="X970" t="s">
        <v>18443</v>
      </c>
      <c r="Y970" t="s">
        <v>18444</v>
      </c>
      <c r="Z970" t="s">
        <v>18445</v>
      </c>
      <c r="AA970" t="s">
        <v>18446</v>
      </c>
      <c r="AB970" t="s">
        <v>18447</v>
      </c>
      <c r="AC970" t="s">
        <v>18448</v>
      </c>
      <c r="AD970" t="s">
        <v>18449</v>
      </c>
      <c r="AE970" t="s">
        <v>18450</v>
      </c>
      <c r="AF970" t="s">
        <v>74</v>
      </c>
      <c r="AG970">
        <v>84</v>
      </c>
      <c r="AH970">
        <v>0</v>
      </c>
      <c r="AI970">
        <v>0</v>
      </c>
      <c r="AJ970">
        <v>8</v>
      </c>
      <c r="AK970">
        <v>10</v>
      </c>
      <c r="AL970" t="s">
        <v>172</v>
      </c>
      <c r="AM970" t="s">
        <v>173</v>
      </c>
      <c r="AN970" t="s">
        <v>174</v>
      </c>
      <c r="AO970" t="s">
        <v>8748</v>
      </c>
      <c r="AP970" t="s">
        <v>8749</v>
      </c>
      <c r="AQ970" t="s">
        <v>74</v>
      </c>
      <c r="AR970" t="s">
        <v>8750</v>
      </c>
      <c r="AS970" t="s">
        <v>8751</v>
      </c>
      <c r="AT970" t="s">
        <v>7247</v>
      </c>
      <c r="AU970">
        <v>2023</v>
      </c>
      <c r="AV970">
        <v>622</v>
      </c>
      <c r="AW970" t="s">
        <v>74</v>
      </c>
      <c r="AX970" t="s">
        <v>74</v>
      </c>
      <c r="AY970" t="s">
        <v>74</v>
      </c>
      <c r="AZ970" t="s">
        <v>74</v>
      </c>
      <c r="BA970" t="s">
        <v>74</v>
      </c>
      <c r="BB970" t="s">
        <v>74</v>
      </c>
      <c r="BC970" t="s">
        <v>74</v>
      </c>
      <c r="BD970">
        <v>111600</v>
      </c>
      <c r="BE970" t="s">
        <v>18451</v>
      </c>
      <c r="BF970" t="str">
        <f>HYPERLINK("http://dx.doi.org/10.1016/j.palaeo.2023.111600","http://dx.doi.org/10.1016/j.palaeo.2023.111600")</f>
        <v>http://dx.doi.org/10.1016/j.palaeo.2023.111600</v>
      </c>
      <c r="BG970" t="s">
        <v>74</v>
      </c>
      <c r="BH970" t="s">
        <v>15114</v>
      </c>
      <c r="BI970">
        <v>9</v>
      </c>
      <c r="BJ970" t="s">
        <v>8753</v>
      </c>
      <c r="BK970" t="s">
        <v>104</v>
      </c>
      <c r="BL970" t="s">
        <v>8754</v>
      </c>
      <c r="BM970" t="s">
        <v>18452</v>
      </c>
      <c r="BN970" t="s">
        <v>74</v>
      </c>
      <c r="BO970" t="s">
        <v>74</v>
      </c>
      <c r="BP970" t="s">
        <v>74</v>
      </c>
      <c r="BQ970" t="s">
        <v>74</v>
      </c>
      <c r="BR970" t="s">
        <v>107</v>
      </c>
      <c r="BS970" t="s">
        <v>18453</v>
      </c>
      <c r="BT970" t="str">
        <f>HYPERLINK("https%3A%2F%2Fwww.webofscience.com%2Fwos%2Fwoscc%2Ffull-record%2FWOS:001056180600001","View Full Record in Web of Science")</f>
        <v>View Full Record in Web of Science</v>
      </c>
    </row>
    <row r="971" spans="1:72" x14ac:dyDescent="0.15">
      <c r="A971" t="s">
        <v>72</v>
      </c>
      <c r="B971" t="s">
        <v>18454</v>
      </c>
      <c r="C971" t="s">
        <v>74</v>
      </c>
      <c r="D971" t="s">
        <v>74</v>
      </c>
      <c r="E971" t="s">
        <v>74</v>
      </c>
      <c r="F971" t="s">
        <v>18455</v>
      </c>
      <c r="G971" t="s">
        <v>74</v>
      </c>
      <c r="H971" t="s">
        <v>74</v>
      </c>
      <c r="I971" t="s">
        <v>18456</v>
      </c>
      <c r="J971" t="s">
        <v>6635</v>
      </c>
      <c r="K971" t="s">
        <v>74</v>
      </c>
      <c r="L971" t="s">
        <v>74</v>
      </c>
      <c r="M971" t="s">
        <v>78</v>
      </c>
      <c r="N971" t="s">
        <v>79</v>
      </c>
      <c r="O971" t="s">
        <v>74</v>
      </c>
      <c r="P971" t="s">
        <v>74</v>
      </c>
      <c r="Q971" t="s">
        <v>74</v>
      </c>
      <c r="R971" t="s">
        <v>74</v>
      </c>
      <c r="S971" t="s">
        <v>74</v>
      </c>
      <c r="T971" t="s">
        <v>18457</v>
      </c>
      <c r="U971" t="s">
        <v>18458</v>
      </c>
      <c r="V971" t="s">
        <v>18459</v>
      </c>
      <c r="W971" t="s">
        <v>18460</v>
      </c>
      <c r="X971" t="s">
        <v>18461</v>
      </c>
      <c r="Y971" t="s">
        <v>18462</v>
      </c>
      <c r="Z971" t="s">
        <v>18463</v>
      </c>
      <c r="AA971" t="s">
        <v>18464</v>
      </c>
      <c r="AB971" t="s">
        <v>18465</v>
      </c>
      <c r="AC971" t="s">
        <v>18466</v>
      </c>
      <c r="AD971" t="s">
        <v>18467</v>
      </c>
      <c r="AE971" t="s">
        <v>18468</v>
      </c>
      <c r="AF971" t="s">
        <v>74</v>
      </c>
      <c r="AG971">
        <v>72</v>
      </c>
      <c r="AH971">
        <v>7</v>
      </c>
      <c r="AI971">
        <v>8</v>
      </c>
      <c r="AJ971">
        <v>15</v>
      </c>
      <c r="AK971">
        <v>34</v>
      </c>
      <c r="AL971" t="s">
        <v>6648</v>
      </c>
      <c r="AM971" t="s">
        <v>589</v>
      </c>
      <c r="AN971" t="s">
        <v>6649</v>
      </c>
      <c r="AO971" t="s">
        <v>6650</v>
      </c>
      <c r="AP971" t="s">
        <v>6651</v>
      </c>
      <c r="AQ971" t="s">
        <v>74</v>
      </c>
      <c r="AR971" t="s">
        <v>6652</v>
      </c>
      <c r="AS971" t="s">
        <v>6653</v>
      </c>
      <c r="AT971" t="s">
        <v>18431</v>
      </c>
      <c r="AU971">
        <v>2023</v>
      </c>
      <c r="AV971">
        <v>120</v>
      </c>
      <c r="AW971">
        <v>18</v>
      </c>
      <c r="AX971" t="s">
        <v>74</v>
      </c>
      <c r="AY971" t="s">
        <v>74</v>
      </c>
      <c r="AZ971" t="s">
        <v>74</v>
      </c>
      <c r="BA971" t="s">
        <v>74</v>
      </c>
      <c r="BB971" t="s">
        <v>74</v>
      </c>
      <c r="BC971" t="s">
        <v>74</v>
      </c>
      <c r="BD971" t="s">
        <v>18469</v>
      </c>
      <c r="BE971" t="s">
        <v>18470</v>
      </c>
      <c r="BF971" t="str">
        <f>HYPERLINK("http://dx.doi.org/10.1073/pnas.2217909120","http://dx.doi.org/10.1073/pnas.2217909120")</f>
        <v>http://dx.doi.org/10.1073/pnas.2217909120</v>
      </c>
      <c r="BG971" t="s">
        <v>74</v>
      </c>
      <c r="BH971" t="s">
        <v>74</v>
      </c>
      <c r="BI971">
        <v>9</v>
      </c>
      <c r="BJ971" t="s">
        <v>1881</v>
      </c>
      <c r="BK971" t="s">
        <v>104</v>
      </c>
      <c r="BL971" t="s">
        <v>1882</v>
      </c>
      <c r="BM971" t="s">
        <v>18471</v>
      </c>
      <c r="BN971">
        <v>37099629</v>
      </c>
      <c r="BO971" t="s">
        <v>1217</v>
      </c>
      <c r="BP971" t="s">
        <v>74</v>
      </c>
      <c r="BQ971" t="s">
        <v>74</v>
      </c>
      <c r="BR971" t="s">
        <v>107</v>
      </c>
      <c r="BS971" t="s">
        <v>18472</v>
      </c>
      <c r="BT971" t="str">
        <f>HYPERLINK("https%3A%2F%2Fwww.webofscience.com%2Fwos%2Fwoscc%2Ffull-record%2FWOS:001037938300001","View Full Record in Web of Science")</f>
        <v>View Full Record in Web of Science</v>
      </c>
    </row>
    <row r="972" spans="1:72" x14ac:dyDescent="0.15">
      <c r="A972" t="s">
        <v>72</v>
      </c>
      <c r="B972" t="s">
        <v>18473</v>
      </c>
      <c r="C972" t="s">
        <v>74</v>
      </c>
      <c r="D972" t="s">
        <v>74</v>
      </c>
      <c r="E972" t="s">
        <v>74</v>
      </c>
      <c r="F972" t="s">
        <v>18474</v>
      </c>
      <c r="G972" t="s">
        <v>74</v>
      </c>
      <c r="H972" t="s">
        <v>74</v>
      </c>
      <c r="I972" t="s">
        <v>18475</v>
      </c>
      <c r="J972" t="s">
        <v>6844</v>
      </c>
      <c r="K972" t="s">
        <v>74</v>
      </c>
      <c r="L972" t="s">
        <v>74</v>
      </c>
      <c r="M972" t="s">
        <v>78</v>
      </c>
      <c r="N972" t="s">
        <v>79</v>
      </c>
      <c r="O972" t="s">
        <v>74</v>
      </c>
      <c r="P972" t="s">
        <v>74</v>
      </c>
      <c r="Q972" t="s">
        <v>74</v>
      </c>
      <c r="R972" t="s">
        <v>74</v>
      </c>
      <c r="S972" t="s">
        <v>74</v>
      </c>
      <c r="T972" t="s">
        <v>18476</v>
      </c>
      <c r="U972" t="s">
        <v>18477</v>
      </c>
      <c r="V972" t="s">
        <v>18478</v>
      </c>
      <c r="W972" t="s">
        <v>18479</v>
      </c>
      <c r="X972" t="s">
        <v>18480</v>
      </c>
      <c r="Y972" t="s">
        <v>18481</v>
      </c>
      <c r="Z972" t="s">
        <v>18482</v>
      </c>
      <c r="AA972" t="s">
        <v>18483</v>
      </c>
      <c r="AB972" t="s">
        <v>18484</v>
      </c>
      <c r="AC972" t="s">
        <v>18485</v>
      </c>
      <c r="AD972" t="s">
        <v>18486</v>
      </c>
      <c r="AE972" t="s">
        <v>18487</v>
      </c>
      <c r="AF972" t="s">
        <v>74</v>
      </c>
      <c r="AG972">
        <v>29</v>
      </c>
      <c r="AH972">
        <v>1</v>
      </c>
      <c r="AI972">
        <v>1</v>
      </c>
      <c r="AJ972">
        <v>4</v>
      </c>
      <c r="AK972">
        <v>4</v>
      </c>
      <c r="AL972" t="s">
        <v>3672</v>
      </c>
      <c r="AM972" t="s">
        <v>538</v>
      </c>
      <c r="AN972" t="s">
        <v>3673</v>
      </c>
      <c r="AO972" t="s">
        <v>6855</v>
      </c>
      <c r="AP972" t="s">
        <v>6856</v>
      </c>
      <c r="AQ972" t="s">
        <v>74</v>
      </c>
      <c r="AR972" t="s">
        <v>6857</v>
      </c>
      <c r="AS972" t="s">
        <v>6858</v>
      </c>
      <c r="AT972" t="s">
        <v>3612</v>
      </c>
      <c r="AU972">
        <v>2023</v>
      </c>
      <c r="AV972">
        <v>153</v>
      </c>
      <c r="AW972" t="s">
        <v>74</v>
      </c>
      <c r="AX972" t="s">
        <v>74</v>
      </c>
      <c r="AY972" t="s">
        <v>74</v>
      </c>
      <c r="AZ972" t="s">
        <v>74</v>
      </c>
      <c r="BA972" t="s">
        <v>74</v>
      </c>
      <c r="BB972" t="s">
        <v>74</v>
      </c>
      <c r="BC972" t="s">
        <v>74</v>
      </c>
      <c r="BD972">
        <v>105640</v>
      </c>
      <c r="BE972" t="s">
        <v>18488</v>
      </c>
      <c r="BF972" t="str">
        <f>HYPERLINK("http://dx.doi.org/10.1016/j.marpol.2023.105640","http://dx.doi.org/10.1016/j.marpol.2023.105640")</f>
        <v>http://dx.doi.org/10.1016/j.marpol.2023.105640</v>
      </c>
      <c r="BG972" t="s">
        <v>74</v>
      </c>
      <c r="BH972" t="s">
        <v>15114</v>
      </c>
      <c r="BI972">
        <v>12</v>
      </c>
      <c r="BJ972" t="s">
        <v>6860</v>
      </c>
      <c r="BK972" t="s">
        <v>6861</v>
      </c>
      <c r="BL972" t="s">
        <v>6862</v>
      </c>
      <c r="BM972" t="s">
        <v>18489</v>
      </c>
      <c r="BN972" t="s">
        <v>74</v>
      </c>
      <c r="BO972" t="s">
        <v>74</v>
      </c>
      <c r="BP972" t="s">
        <v>74</v>
      </c>
      <c r="BQ972" t="s">
        <v>74</v>
      </c>
      <c r="BR972" t="s">
        <v>107</v>
      </c>
      <c r="BS972" t="s">
        <v>18490</v>
      </c>
      <c r="BT972" t="str">
        <f>HYPERLINK("https%3A%2F%2Fwww.webofscience.com%2Fwos%2Fwoscc%2Ffull-record%2FWOS:001008826500001","View Full Record in Web of Science")</f>
        <v>View Full Record in Web of Science</v>
      </c>
    </row>
    <row r="973" spans="1:72" x14ac:dyDescent="0.15">
      <c r="A973" t="s">
        <v>72</v>
      </c>
      <c r="B973" t="s">
        <v>18491</v>
      </c>
      <c r="C973" t="s">
        <v>74</v>
      </c>
      <c r="D973" t="s">
        <v>74</v>
      </c>
      <c r="E973" t="s">
        <v>74</v>
      </c>
      <c r="F973" t="s">
        <v>18492</v>
      </c>
      <c r="G973" t="s">
        <v>74</v>
      </c>
      <c r="H973" t="s">
        <v>74</v>
      </c>
      <c r="I973" t="s">
        <v>18493</v>
      </c>
      <c r="J973" t="s">
        <v>3334</v>
      </c>
      <c r="K973" t="s">
        <v>74</v>
      </c>
      <c r="L973" t="s">
        <v>74</v>
      </c>
      <c r="M973" t="s">
        <v>78</v>
      </c>
      <c r="N973" t="s">
        <v>79</v>
      </c>
      <c r="O973" t="s">
        <v>74</v>
      </c>
      <c r="P973" t="s">
        <v>74</v>
      </c>
      <c r="Q973" t="s">
        <v>74</v>
      </c>
      <c r="R973" t="s">
        <v>74</v>
      </c>
      <c r="S973" t="s">
        <v>74</v>
      </c>
      <c r="T973" t="s">
        <v>74</v>
      </c>
      <c r="U973" t="s">
        <v>18494</v>
      </c>
      <c r="V973" t="s">
        <v>18495</v>
      </c>
      <c r="W973" t="s">
        <v>18496</v>
      </c>
      <c r="X973" t="s">
        <v>18497</v>
      </c>
      <c r="Y973" t="s">
        <v>18498</v>
      </c>
      <c r="Z973" t="s">
        <v>18499</v>
      </c>
      <c r="AA973" t="s">
        <v>18500</v>
      </c>
      <c r="AB973" t="s">
        <v>18501</v>
      </c>
      <c r="AC973" t="s">
        <v>18502</v>
      </c>
      <c r="AD973" t="s">
        <v>18503</v>
      </c>
      <c r="AE973" t="s">
        <v>18504</v>
      </c>
      <c r="AF973" t="s">
        <v>74</v>
      </c>
      <c r="AG973">
        <v>36</v>
      </c>
      <c r="AH973">
        <v>3</v>
      </c>
      <c r="AI973">
        <v>3</v>
      </c>
      <c r="AJ973">
        <v>0</v>
      </c>
      <c r="AK973">
        <v>2</v>
      </c>
      <c r="AL973" t="s">
        <v>1775</v>
      </c>
      <c r="AM973" t="s">
        <v>1776</v>
      </c>
      <c r="AN973" t="s">
        <v>1777</v>
      </c>
      <c r="AO973" t="s">
        <v>3346</v>
      </c>
      <c r="AP973" t="s">
        <v>3347</v>
      </c>
      <c r="AQ973" t="s">
        <v>74</v>
      </c>
      <c r="AR973" t="s">
        <v>3348</v>
      </c>
      <c r="AS973" t="s">
        <v>3349</v>
      </c>
      <c r="AT973" t="s">
        <v>18431</v>
      </c>
      <c r="AU973">
        <v>2023</v>
      </c>
      <c r="AV973">
        <v>19</v>
      </c>
      <c r="AW973">
        <v>4</v>
      </c>
      <c r="AX973" t="s">
        <v>74</v>
      </c>
      <c r="AY973" t="s">
        <v>74</v>
      </c>
      <c r="AZ973" t="s">
        <v>74</v>
      </c>
      <c r="BA973" t="s">
        <v>74</v>
      </c>
      <c r="BB973">
        <v>883</v>
      </c>
      <c r="BC973">
        <v>900</v>
      </c>
      <c r="BD973" t="s">
        <v>74</v>
      </c>
      <c r="BE973" t="s">
        <v>18505</v>
      </c>
      <c r="BF973" t="str">
        <f>HYPERLINK("http://dx.doi.org/10.5194/cp-19-883-2023","http://dx.doi.org/10.5194/cp-19-883-2023")</f>
        <v>http://dx.doi.org/10.5194/cp-19-883-2023</v>
      </c>
      <c r="BG973" t="s">
        <v>74</v>
      </c>
      <c r="BH973" t="s">
        <v>74</v>
      </c>
      <c r="BI973">
        <v>18</v>
      </c>
      <c r="BJ973" t="s">
        <v>3351</v>
      </c>
      <c r="BK973" t="s">
        <v>104</v>
      </c>
      <c r="BL973" t="s">
        <v>3352</v>
      </c>
      <c r="BM973" t="s">
        <v>18506</v>
      </c>
      <c r="BN973" t="s">
        <v>74</v>
      </c>
      <c r="BO973" t="s">
        <v>2624</v>
      </c>
      <c r="BP973" t="s">
        <v>74</v>
      </c>
      <c r="BQ973" t="s">
        <v>74</v>
      </c>
      <c r="BR973" t="s">
        <v>107</v>
      </c>
      <c r="BS973" t="s">
        <v>18507</v>
      </c>
      <c r="BT973" t="str">
        <f>HYPERLINK("https%3A%2F%2Fwww.webofscience.com%2Fwos%2Fwoscc%2Ffull-record%2FWOS:000981386800001","View Full Record in Web of Science")</f>
        <v>View Full Record in Web of Science</v>
      </c>
    </row>
    <row r="974" spans="1:72" x14ac:dyDescent="0.15">
      <c r="A974" t="s">
        <v>72</v>
      </c>
      <c r="B974" t="s">
        <v>18508</v>
      </c>
      <c r="C974" t="s">
        <v>74</v>
      </c>
      <c r="D974" t="s">
        <v>74</v>
      </c>
      <c r="E974" t="s">
        <v>74</v>
      </c>
      <c r="F974" t="s">
        <v>18509</v>
      </c>
      <c r="G974" t="s">
        <v>74</v>
      </c>
      <c r="H974" t="s">
        <v>74</v>
      </c>
      <c r="I974" t="s">
        <v>18510</v>
      </c>
      <c r="J974" t="s">
        <v>983</v>
      </c>
      <c r="K974" t="s">
        <v>74</v>
      </c>
      <c r="L974" t="s">
        <v>74</v>
      </c>
      <c r="M974" t="s">
        <v>78</v>
      </c>
      <c r="N974" t="s">
        <v>79</v>
      </c>
      <c r="O974" t="s">
        <v>74</v>
      </c>
      <c r="P974" t="s">
        <v>74</v>
      </c>
      <c r="Q974" t="s">
        <v>74</v>
      </c>
      <c r="R974" t="s">
        <v>74</v>
      </c>
      <c r="S974" t="s">
        <v>74</v>
      </c>
      <c r="T974" t="s">
        <v>18511</v>
      </c>
      <c r="U974" t="s">
        <v>18512</v>
      </c>
      <c r="V974" t="s">
        <v>18513</v>
      </c>
      <c r="W974" t="s">
        <v>18514</v>
      </c>
      <c r="X974" t="s">
        <v>18515</v>
      </c>
      <c r="Y974" t="s">
        <v>18516</v>
      </c>
      <c r="Z974" t="s">
        <v>18517</v>
      </c>
      <c r="AA974" t="s">
        <v>74</v>
      </c>
      <c r="AB974" t="s">
        <v>18518</v>
      </c>
      <c r="AC974" t="s">
        <v>18519</v>
      </c>
      <c r="AD974" t="s">
        <v>18520</v>
      </c>
      <c r="AE974" t="s">
        <v>18521</v>
      </c>
      <c r="AF974" t="s">
        <v>74</v>
      </c>
      <c r="AG974">
        <v>73</v>
      </c>
      <c r="AH974">
        <v>0</v>
      </c>
      <c r="AI974">
        <v>0</v>
      </c>
      <c r="AJ974">
        <v>3</v>
      </c>
      <c r="AK974">
        <v>6</v>
      </c>
      <c r="AL974" t="s">
        <v>994</v>
      </c>
      <c r="AM974" t="s">
        <v>995</v>
      </c>
      <c r="AN974" t="s">
        <v>996</v>
      </c>
      <c r="AO974" t="s">
        <v>74</v>
      </c>
      <c r="AP974" t="s">
        <v>997</v>
      </c>
      <c r="AQ974" t="s">
        <v>74</v>
      </c>
      <c r="AR974" t="s">
        <v>998</v>
      </c>
      <c r="AS974" t="s">
        <v>999</v>
      </c>
      <c r="AT974" t="s">
        <v>18431</v>
      </c>
      <c r="AU974">
        <v>2023</v>
      </c>
      <c r="AV974">
        <v>10</v>
      </c>
      <c r="AW974" t="s">
        <v>74</v>
      </c>
      <c r="AX974" t="s">
        <v>74</v>
      </c>
      <c r="AY974" t="s">
        <v>74</v>
      </c>
      <c r="AZ974" t="s">
        <v>74</v>
      </c>
      <c r="BA974" t="s">
        <v>74</v>
      </c>
      <c r="BB974" t="s">
        <v>74</v>
      </c>
      <c r="BC974" t="s">
        <v>74</v>
      </c>
      <c r="BD974">
        <v>1139293</v>
      </c>
      <c r="BE974" t="s">
        <v>18522</v>
      </c>
      <c r="BF974" t="str">
        <f>HYPERLINK("http://dx.doi.org/10.3389/fmars.2023.1139293","http://dx.doi.org/10.3389/fmars.2023.1139293")</f>
        <v>http://dx.doi.org/10.3389/fmars.2023.1139293</v>
      </c>
      <c r="BG974" t="s">
        <v>74</v>
      </c>
      <c r="BH974" t="s">
        <v>74</v>
      </c>
      <c r="BI974">
        <v>15</v>
      </c>
      <c r="BJ974" t="s">
        <v>1001</v>
      </c>
      <c r="BK974" t="s">
        <v>104</v>
      </c>
      <c r="BL974" t="s">
        <v>1002</v>
      </c>
      <c r="BM974" t="s">
        <v>18523</v>
      </c>
      <c r="BN974" t="s">
        <v>74</v>
      </c>
      <c r="BO974" t="s">
        <v>206</v>
      </c>
      <c r="BP974" t="s">
        <v>74</v>
      </c>
      <c r="BQ974" t="s">
        <v>74</v>
      </c>
      <c r="BR974" t="s">
        <v>107</v>
      </c>
      <c r="BS974" t="s">
        <v>18524</v>
      </c>
      <c r="BT974" t="str">
        <f>HYPERLINK("https%3A%2F%2Fwww.webofscience.com%2Fwos%2Fwoscc%2Ffull-record%2FWOS:000987986200001","View Full Record in Web of Science")</f>
        <v>View Full Record in Web of Science</v>
      </c>
    </row>
    <row r="975" spans="1:72" x14ac:dyDescent="0.15">
      <c r="A975" t="s">
        <v>72</v>
      </c>
      <c r="B975" t="s">
        <v>18525</v>
      </c>
      <c r="C975" t="s">
        <v>74</v>
      </c>
      <c r="D975" t="s">
        <v>74</v>
      </c>
      <c r="E975" t="s">
        <v>74</v>
      </c>
      <c r="F975" t="s">
        <v>18526</v>
      </c>
      <c r="G975" t="s">
        <v>74</v>
      </c>
      <c r="H975" t="s">
        <v>74</v>
      </c>
      <c r="I975" t="s">
        <v>18527</v>
      </c>
      <c r="J975" t="s">
        <v>18528</v>
      </c>
      <c r="K975" t="s">
        <v>74</v>
      </c>
      <c r="L975" t="s">
        <v>74</v>
      </c>
      <c r="M975" t="s">
        <v>78</v>
      </c>
      <c r="N975" t="s">
        <v>79</v>
      </c>
      <c r="O975" t="s">
        <v>74</v>
      </c>
      <c r="P975" t="s">
        <v>74</v>
      </c>
      <c r="Q975" t="s">
        <v>74</v>
      </c>
      <c r="R975" t="s">
        <v>74</v>
      </c>
      <c r="S975" t="s">
        <v>74</v>
      </c>
      <c r="T975" t="s">
        <v>18529</v>
      </c>
      <c r="U975" t="s">
        <v>18530</v>
      </c>
      <c r="V975" t="s">
        <v>18531</v>
      </c>
      <c r="W975" t="s">
        <v>18532</v>
      </c>
      <c r="X975" t="s">
        <v>18533</v>
      </c>
      <c r="Y975" t="s">
        <v>18534</v>
      </c>
      <c r="Z975" t="s">
        <v>13985</v>
      </c>
      <c r="AA975" t="s">
        <v>74</v>
      </c>
      <c r="AB975" t="s">
        <v>18535</v>
      </c>
      <c r="AC975" t="s">
        <v>18536</v>
      </c>
      <c r="AD975" t="s">
        <v>18537</v>
      </c>
      <c r="AE975" t="s">
        <v>18538</v>
      </c>
      <c r="AF975" t="s">
        <v>74</v>
      </c>
      <c r="AG975">
        <v>44</v>
      </c>
      <c r="AH975">
        <v>2</v>
      </c>
      <c r="AI975">
        <v>2</v>
      </c>
      <c r="AJ975">
        <v>3</v>
      </c>
      <c r="AK975">
        <v>12</v>
      </c>
      <c r="AL975" t="s">
        <v>537</v>
      </c>
      <c r="AM975" t="s">
        <v>538</v>
      </c>
      <c r="AN975" t="s">
        <v>539</v>
      </c>
      <c r="AO975" t="s">
        <v>18539</v>
      </c>
      <c r="AP975" t="s">
        <v>18540</v>
      </c>
      <c r="AQ975" t="s">
        <v>74</v>
      </c>
      <c r="AR975" t="s">
        <v>18541</v>
      </c>
      <c r="AS975" t="s">
        <v>18542</v>
      </c>
      <c r="AT975" t="s">
        <v>18431</v>
      </c>
      <c r="AU975">
        <v>2023</v>
      </c>
      <c r="AV975">
        <v>40</v>
      </c>
      <c r="AW975">
        <v>5</v>
      </c>
      <c r="AX975" t="s">
        <v>74</v>
      </c>
      <c r="AY975" t="s">
        <v>74</v>
      </c>
      <c r="AZ975" t="s">
        <v>74</v>
      </c>
      <c r="BA975" t="s">
        <v>74</v>
      </c>
      <c r="BB975" t="s">
        <v>74</v>
      </c>
      <c r="BC975" t="s">
        <v>74</v>
      </c>
      <c r="BD975" t="s">
        <v>18543</v>
      </c>
      <c r="BE975" t="s">
        <v>18544</v>
      </c>
      <c r="BF975" t="str">
        <f>HYPERLINK("http://dx.doi.org/10.1093/molbev/msad099","http://dx.doi.org/10.1093/molbev/msad099")</f>
        <v>http://dx.doi.org/10.1093/molbev/msad099</v>
      </c>
      <c r="BG975" t="s">
        <v>74</v>
      </c>
      <c r="BH975" t="s">
        <v>74</v>
      </c>
      <c r="BI975">
        <v>11</v>
      </c>
      <c r="BJ975" t="s">
        <v>8319</v>
      </c>
      <c r="BK975" t="s">
        <v>104</v>
      </c>
      <c r="BL975" t="s">
        <v>8319</v>
      </c>
      <c r="BM975" t="s">
        <v>18545</v>
      </c>
      <c r="BN975">
        <v>37116207</v>
      </c>
      <c r="BO975" t="s">
        <v>181</v>
      </c>
      <c r="BP975" t="s">
        <v>74</v>
      </c>
      <c r="BQ975" t="s">
        <v>74</v>
      </c>
      <c r="BR975" t="s">
        <v>107</v>
      </c>
      <c r="BS975" t="s">
        <v>18546</v>
      </c>
      <c r="BT975" t="str">
        <f>HYPERLINK("https%3A%2F%2Fwww.webofscience.com%2Fwos%2Fwoscc%2Ffull-record%2FWOS:000987742700001","View Full Record in Web of Science")</f>
        <v>View Full Record in Web of Science</v>
      </c>
    </row>
    <row r="976" spans="1:72" x14ac:dyDescent="0.15">
      <c r="A976" t="s">
        <v>72</v>
      </c>
      <c r="B976" t="s">
        <v>18547</v>
      </c>
      <c r="C976" t="s">
        <v>74</v>
      </c>
      <c r="D976" t="s">
        <v>74</v>
      </c>
      <c r="E976" t="s">
        <v>74</v>
      </c>
      <c r="F976" t="s">
        <v>18548</v>
      </c>
      <c r="G976" t="s">
        <v>74</v>
      </c>
      <c r="H976" t="s">
        <v>74</v>
      </c>
      <c r="I976" t="s">
        <v>18549</v>
      </c>
      <c r="J976" t="s">
        <v>18550</v>
      </c>
      <c r="K976" t="s">
        <v>74</v>
      </c>
      <c r="L976" t="s">
        <v>74</v>
      </c>
      <c r="M976" t="s">
        <v>78</v>
      </c>
      <c r="N976" t="s">
        <v>79</v>
      </c>
      <c r="O976" t="s">
        <v>74</v>
      </c>
      <c r="P976" t="s">
        <v>74</v>
      </c>
      <c r="Q976" t="s">
        <v>74</v>
      </c>
      <c r="R976" t="s">
        <v>74</v>
      </c>
      <c r="S976" t="s">
        <v>74</v>
      </c>
      <c r="T976" t="s">
        <v>18551</v>
      </c>
      <c r="U976" t="s">
        <v>18552</v>
      </c>
      <c r="V976" t="s">
        <v>18553</v>
      </c>
      <c r="W976" t="s">
        <v>18554</v>
      </c>
      <c r="X976" t="s">
        <v>18555</v>
      </c>
      <c r="Y976" t="s">
        <v>18556</v>
      </c>
      <c r="Z976" t="s">
        <v>9836</v>
      </c>
      <c r="AA976" t="s">
        <v>18557</v>
      </c>
      <c r="AB976" t="s">
        <v>18558</v>
      </c>
      <c r="AC976" t="s">
        <v>18559</v>
      </c>
      <c r="AD976" t="s">
        <v>18560</v>
      </c>
      <c r="AE976" t="s">
        <v>18561</v>
      </c>
      <c r="AF976" t="s">
        <v>74</v>
      </c>
      <c r="AG976">
        <v>31</v>
      </c>
      <c r="AH976">
        <v>0</v>
      </c>
      <c r="AI976">
        <v>0</v>
      </c>
      <c r="AJ976">
        <v>10</v>
      </c>
      <c r="AK976">
        <v>13</v>
      </c>
      <c r="AL976" t="s">
        <v>298</v>
      </c>
      <c r="AM976" t="s">
        <v>299</v>
      </c>
      <c r="AN976" t="s">
        <v>300</v>
      </c>
      <c r="AO976" t="s">
        <v>18562</v>
      </c>
      <c r="AP976" t="s">
        <v>18563</v>
      </c>
      <c r="AQ976" t="s">
        <v>74</v>
      </c>
      <c r="AR976" t="s">
        <v>18564</v>
      </c>
      <c r="AS976" t="s">
        <v>18565</v>
      </c>
      <c r="AT976" t="s">
        <v>3612</v>
      </c>
      <c r="AU976">
        <v>2023</v>
      </c>
      <c r="AV976">
        <v>20</v>
      </c>
      <c r="AW976">
        <v>7</v>
      </c>
      <c r="AX976" t="s">
        <v>74</v>
      </c>
      <c r="AY976" t="s">
        <v>74</v>
      </c>
      <c r="AZ976" t="s">
        <v>74</v>
      </c>
      <c r="BA976" t="s">
        <v>74</v>
      </c>
      <c r="BB976">
        <v>7533</v>
      </c>
      <c r="BC976">
        <v>7542</v>
      </c>
      <c r="BD976" t="s">
        <v>74</v>
      </c>
      <c r="BE976" t="s">
        <v>18566</v>
      </c>
      <c r="BF976" t="str">
        <f>HYPERLINK("http://dx.doi.org/10.1007/s13762-023-04930-9","http://dx.doi.org/10.1007/s13762-023-04930-9")</f>
        <v>http://dx.doi.org/10.1007/s13762-023-04930-9</v>
      </c>
      <c r="BG976" t="s">
        <v>74</v>
      </c>
      <c r="BH976" t="s">
        <v>15114</v>
      </c>
      <c r="BI976">
        <v>10</v>
      </c>
      <c r="BJ976" t="s">
        <v>2050</v>
      </c>
      <c r="BK976" t="s">
        <v>104</v>
      </c>
      <c r="BL976" t="s">
        <v>1535</v>
      </c>
      <c r="BM976" t="s">
        <v>18567</v>
      </c>
      <c r="BN976" t="s">
        <v>74</v>
      </c>
      <c r="BO976" t="s">
        <v>74</v>
      </c>
      <c r="BP976" t="s">
        <v>74</v>
      </c>
      <c r="BQ976" t="s">
        <v>74</v>
      </c>
      <c r="BR976" t="s">
        <v>107</v>
      </c>
      <c r="BS976" t="s">
        <v>18568</v>
      </c>
      <c r="BT976" t="str">
        <f>HYPERLINK("https%3A%2F%2Fwww.webofscience.com%2Fwos%2Fwoscc%2Ffull-record%2FWOS:000981556800001","View Full Record in Web of Science")</f>
        <v>View Full Record in Web of Science</v>
      </c>
    </row>
    <row r="977" spans="1:72" x14ac:dyDescent="0.15">
      <c r="A977" t="s">
        <v>72</v>
      </c>
      <c r="B977" t="s">
        <v>18569</v>
      </c>
      <c r="C977" t="s">
        <v>74</v>
      </c>
      <c r="D977" t="s">
        <v>74</v>
      </c>
      <c r="E977" t="s">
        <v>74</v>
      </c>
      <c r="F977" t="s">
        <v>18570</v>
      </c>
      <c r="G977" t="s">
        <v>74</v>
      </c>
      <c r="H977" t="s">
        <v>74</v>
      </c>
      <c r="I977" t="s">
        <v>18571</v>
      </c>
      <c r="J977" t="s">
        <v>12673</v>
      </c>
      <c r="K977" t="s">
        <v>74</v>
      </c>
      <c r="L977" t="s">
        <v>74</v>
      </c>
      <c r="M977" t="s">
        <v>78</v>
      </c>
      <c r="N977" t="s">
        <v>869</v>
      </c>
      <c r="O977" t="s">
        <v>74</v>
      </c>
      <c r="P977" t="s">
        <v>74</v>
      </c>
      <c r="Q977" t="s">
        <v>74</v>
      </c>
      <c r="R977" t="s">
        <v>74</v>
      </c>
      <c r="S977" t="s">
        <v>74</v>
      </c>
      <c r="T977" t="s">
        <v>74</v>
      </c>
      <c r="U977" t="s">
        <v>74</v>
      </c>
      <c r="V977" t="s">
        <v>18572</v>
      </c>
      <c r="W977" t="s">
        <v>74</v>
      </c>
      <c r="X977" t="s">
        <v>74</v>
      </c>
      <c r="Y977" t="s">
        <v>74</v>
      </c>
      <c r="Z977" t="s">
        <v>18573</v>
      </c>
      <c r="AA977" t="s">
        <v>74</v>
      </c>
      <c r="AB977" t="s">
        <v>74</v>
      </c>
      <c r="AC977" t="s">
        <v>74</v>
      </c>
      <c r="AD977" t="s">
        <v>74</v>
      </c>
      <c r="AE977" t="s">
        <v>74</v>
      </c>
      <c r="AF977" t="s">
        <v>74</v>
      </c>
      <c r="AG977">
        <v>1</v>
      </c>
      <c r="AH977">
        <v>1</v>
      </c>
      <c r="AI977">
        <v>1</v>
      </c>
      <c r="AJ977">
        <v>6</v>
      </c>
      <c r="AK977">
        <v>14</v>
      </c>
      <c r="AL977" t="s">
        <v>2617</v>
      </c>
      <c r="AM977" t="s">
        <v>1528</v>
      </c>
      <c r="AN977" t="s">
        <v>2618</v>
      </c>
      <c r="AO977" t="s">
        <v>74</v>
      </c>
      <c r="AP977" t="s">
        <v>12684</v>
      </c>
      <c r="AQ977" t="s">
        <v>74</v>
      </c>
      <c r="AR977" t="s">
        <v>12685</v>
      </c>
      <c r="AS977" t="s">
        <v>12686</v>
      </c>
      <c r="AT977" t="s">
        <v>4557</v>
      </c>
      <c r="AU977">
        <v>2023</v>
      </c>
      <c r="AV977">
        <v>4</v>
      </c>
      <c r="AW977">
        <v>5</v>
      </c>
      <c r="AX977" t="s">
        <v>74</v>
      </c>
      <c r="AY977" t="s">
        <v>74</v>
      </c>
      <c r="AZ977" t="s">
        <v>74</v>
      </c>
      <c r="BA977" t="s">
        <v>74</v>
      </c>
      <c r="BB977">
        <v>296</v>
      </c>
      <c r="BC977">
        <v>296</v>
      </c>
      <c r="BD977" t="s">
        <v>74</v>
      </c>
      <c r="BE977" t="s">
        <v>18574</v>
      </c>
      <c r="BF977" t="str">
        <f>HYPERLINK("http://dx.doi.org/10.1038/s43017-023-00433-w","http://dx.doi.org/10.1038/s43017-023-00433-w")</f>
        <v>http://dx.doi.org/10.1038/s43017-023-00433-w</v>
      </c>
      <c r="BG977" t="s">
        <v>74</v>
      </c>
      <c r="BH977" t="s">
        <v>15114</v>
      </c>
      <c r="BI977">
        <v>1</v>
      </c>
      <c r="BJ977" t="s">
        <v>1171</v>
      </c>
      <c r="BK977" t="s">
        <v>104</v>
      </c>
      <c r="BL977" t="s">
        <v>248</v>
      </c>
      <c r="BM977" t="s">
        <v>18575</v>
      </c>
      <c r="BN977" t="s">
        <v>74</v>
      </c>
      <c r="BO977" t="s">
        <v>74</v>
      </c>
      <c r="BP977" t="s">
        <v>74</v>
      </c>
      <c r="BQ977" t="s">
        <v>74</v>
      </c>
      <c r="BR977" t="s">
        <v>107</v>
      </c>
      <c r="BS977" t="s">
        <v>18576</v>
      </c>
      <c r="BT977" t="str">
        <f>HYPERLINK("https%3A%2F%2Fwww.webofscience.com%2Fwos%2Fwoscc%2Ffull-record%2FWOS:000980388000003","View Full Record in Web of Science")</f>
        <v>View Full Record in Web of Science</v>
      </c>
    </row>
    <row r="978" spans="1:72" x14ac:dyDescent="0.15">
      <c r="A978" t="s">
        <v>72</v>
      </c>
      <c r="B978" t="s">
        <v>18577</v>
      </c>
      <c r="C978" t="s">
        <v>74</v>
      </c>
      <c r="D978" t="s">
        <v>74</v>
      </c>
      <c r="E978" t="s">
        <v>74</v>
      </c>
      <c r="F978" t="s">
        <v>18578</v>
      </c>
      <c r="G978" t="s">
        <v>74</v>
      </c>
      <c r="H978" t="s">
        <v>74</v>
      </c>
      <c r="I978" t="s">
        <v>18579</v>
      </c>
      <c r="J978" t="s">
        <v>7511</v>
      </c>
      <c r="K978" t="s">
        <v>74</v>
      </c>
      <c r="L978" t="s">
        <v>74</v>
      </c>
      <c r="M978" t="s">
        <v>78</v>
      </c>
      <c r="N978" t="s">
        <v>424</v>
      </c>
      <c r="O978" t="s">
        <v>74</v>
      </c>
      <c r="P978" t="s">
        <v>74</v>
      </c>
      <c r="Q978" t="s">
        <v>74</v>
      </c>
      <c r="R978" t="s">
        <v>74</v>
      </c>
      <c r="S978" t="s">
        <v>74</v>
      </c>
      <c r="T978" t="s">
        <v>18580</v>
      </c>
      <c r="U978" t="s">
        <v>18581</v>
      </c>
      <c r="V978" t="s">
        <v>18582</v>
      </c>
      <c r="W978" t="s">
        <v>18583</v>
      </c>
      <c r="X978" t="s">
        <v>18584</v>
      </c>
      <c r="Y978" t="s">
        <v>18585</v>
      </c>
      <c r="Z978" t="s">
        <v>18586</v>
      </c>
      <c r="AA978" t="s">
        <v>18587</v>
      </c>
      <c r="AB978" t="s">
        <v>18588</v>
      </c>
      <c r="AC978" t="s">
        <v>18589</v>
      </c>
      <c r="AD978" t="s">
        <v>18589</v>
      </c>
      <c r="AE978" t="s">
        <v>18590</v>
      </c>
      <c r="AF978" t="s">
        <v>74</v>
      </c>
      <c r="AG978">
        <v>56</v>
      </c>
      <c r="AH978">
        <v>3</v>
      </c>
      <c r="AI978">
        <v>3</v>
      </c>
      <c r="AJ978">
        <v>1</v>
      </c>
      <c r="AK978">
        <v>6</v>
      </c>
      <c r="AL978" t="s">
        <v>298</v>
      </c>
      <c r="AM978" t="s">
        <v>3791</v>
      </c>
      <c r="AN978" t="s">
        <v>3792</v>
      </c>
      <c r="AO978" t="s">
        <v>7517</v>
      </c>
      <c r="AP978" t="s">
        <v>7518</v>
      </c>
      <c r="AQ978" t="s">
        <v>74</v>
      </c>
      <c r="AR978" t="s">
        <v>7519</v>
      </c>
      <c r="AS978" t="s">
        <v>7520</v>
      </c>
      <c r="AT978" t="s">
        <v>97</v>
      </c>
      <c r="AU978">
        <v>2023</v>
      </c>
      <c r="AV978">
        <v>28</v>
      </c>
      <c r="AW978">
        <v>5</v>
      </c>
      <c r="AX978" t="s">
        <v>74</v>
      </c>
      <c r="AY978" t="s">
        <v>74</v>
      </c>
      <c r="AZ978" t="s">
        <v>99</v>
      </c>
      <c r="BA978" t="s">
        <v>74</v>
      </c>
      <c r="BB978">
        <v>467</v>
      </c>
      <c r="BC978">
        <v>475</v>
      </c>
      <c r="BD978" t="s">
        <v>74</v>
      </c>
      <c r="BE978" t="s">
        <v>18591</v>
      </c>
      <c r="BF978" t="str">
        <f>HYPERLINK("http://dx.doi.org/10.1007/s12192-023-01348-7","http://dx.doi.org/10.1007/s12192-023-01348-7")</f>
        <v>http://dx.doi.org/10.1007/s12192-023-01348-7</v>
      </c>
      <c r="BG978" t="s">
        <v>74</v>
      </c>
      <c r="BH978" t="s">
        <v>15114</v>
      </c>
      <c r="BI978">
        <v>9</v>
      </c>
      <c r="BJ978" t="s">
        <v>7522</v>
      </c>
      <c r="BK978" t="s">
        <v>104</v>
      </c>
      <c r="BL978" t="s">
        <v>7522</v>
      </c>
      <c r="BM978" t="s">
        <v>7523</v>
      </c>
      <c r="BN978">
        <v>37129699</v>
      </c>
      <c r="BO978" t="s">
        <v>1128</v>
      </c>
      <c r="BP978" t="s">
        <v>74</v>
      </c>
      <c r="BQ978" t="s">
        <v>74</v>
      </c>
      <c r="BR978" t="s">
        <v>107</v>
      </c>
      <c r="BS978" t="s">
        <v>18592</v>
      </c>
      <c r="BT978" t="str">
        <f>HYPERLINK("https%3A%2F%2Fwww.webofscience.com%2Fwos%2Fwoscc%2Ffull-record%2FWOS:000980365300001","View Full Record in Web of Science")</f>
        <v>View Full Record in Web of Science</v>
      </c>
    </row>
    <row r="979" spans="1:72" x14ac:dyDescent="0.15">
      <c r="A979" t="s">
        <v>72</v>
      </c>
      <c r="B979" t="s">
        <v>18593</v>
      </c>
      <c r="C979" t="s">
        <v>74</v>
      </c>
      <c r="D979" t="s">
        <v>74</v>
      </c>
      <c r="E979" t="s">
        <v>74</v>
      </c>
      <c r="F979" t="s">
        <v>18594</v>
      </c>
      <c r="G979" t="s">
        <v>74</v>
      </c>
      <c r="H979" t="s">
        <v>74</v>
      </c>
      <c r="I979" t="s">
        <v>18595</v>
      </c>
      <c r="J979" t="s">
        <v>13539</v>
      </c>
      <c r="K979" t="s">
        <v>74</v>
      </c>
      <c r="L979" t="s">
        <v>74</v>
      </c>
      <c r="M979" t="s">
        <v>78</v>
      </c>
      <c r="N979" t="s">
        <v>869</v>
      </c>
      <c r="O979" t="s">
        <v>74</v>
      </c>
      <c r="P979" t="s">
        <v>74</v>
      </c>
      <c r="Q979" t="s">
        <v>74</v>
      </c>
      <c r="R979" t="s">
        <v>74</v>
      </c>
      <c r="S979" t="s">
        <v>74</v>
      </c>
      <c r="T979" t="s">
        <v>74</v>
      </c>
      <c r="U979" t="s">
        <v>74</v>
      </c>
      <c r="V979" t="s">
        <v>74</v>
      </c>
      <c r="W979" t="s">
        <v>74</v>
      </c>
      <c r="X979" t="s">
        <v>74</v>
      </c>
      <c r="Y979" t="s">
        <v>74</v>
      </c>
      <c r="Z979" t="s">
        <v>74</v>
      </c>
      <c r="AA979" t="s">
        <v>74</v>
      </c>
      <c r="AB979" t="s">
        <v>74</v>
      </c>
      <c r="AC979" t="s">
        <v>74</v>
      </c>
      <c r="AD979" t="s">
        <v>74</v>
      </c>
      <c r="AE979" t="s">
        <v>74</v>
      </c>
      <c r="AF979" t="s">
        <v>74</v>
      </c>
      <c r="AG979">
        <v>0</v>
      </c>
      <c r="AH979">
        <v>0</v>
      </c>
      <c r="AI979">
        <v>0</v>
      </c>
      <c r="AJ979">
        <v>0</v>
      </c>
      <c r="AK979">
        <v>0</v>
      </c>
      <c r="AL979" t="s">
        <v>298</v>
      </c>
      <c r="AM979" t="s">
        <v>299</v>
      </c>
      <c r="AN979" t="s">
        <v>300</v>
      </c>
      <c r="AO979" t="s">
        <v>13540</v>
      </c>
      <c r="AP979" t="s">
        <v>13541</v>
      </c>
      <c r="AQ979" t="s">
        <v>74</v>
      </c>
      <c r="AR979" t="s">
        <v>13542</v>
      </c>
      <c r="AS979" t="s">
        <v>13543</v>
      </c>
      <c r="AT979" t="s">
        <v>4557</v>
      </c>
      <c r="AU979">
        <v>2023</v>
      </c>
      <c r="AV979">
        <v>328</v>
      </c>
      <c r="AW979">
        <v>5</v>
      </c>
      <c r="AX979" t="s">
        <v>74</v>
      </c>
      <c r="AY979" t="s">
        <v>74</v>
      </c>
      <c r="AZ979" t="s">
        <v>74</v>
      </c>
      <c r="BA979" t="s">
        <v>74</v>
      </c>
      <c r="BB979">
        <v>14</v>
      </c>
      <c r="BC979">
        <v>15</v>
      </c>
      <c r="BD979" t="s">
        <v>74</v>
      </c>
      <c r="BE979" t="s">
        <v>74</v>
      </c>
      <c r="BF979" t="s">
        <v>74</v>
      </c>
      <c r="BG979" t="s">
        <v>74</v>
      </c>
      <c r="BH979" t="s">
        <v>74</v>
      </c>
      <c r="BI979">
        <v>2</v>
      </c>
      <c r="BJ979" t="s">
        <v>1881</v>
      </c>
      <c r="BK979" t="s">
        <v>104</v>
      </c>
      <c r="BL979" t="s">
        <v>1882</v>
      </c>
      <c r="BM979" t="s">
        <v>18596</v>
      </c>
      <c r="BN979" t="s">
        <v>74</v>
      </c>
      <c r="BO979" t="s">
        <v>74</v>
      </c>
      <c r="BP979" t="s">
        <v>74</v>
      </c>
      <c r="BQ979" t="s">
        <v>74</v>
      </c>
      <c r="BR979" t="s">
        <v>107</v>
      </c>
      <c r="BS979" t="s">
        <v>18597</v>
      </c>
      <c r="BT979" t="str">
        <f>HYPERLINK("https%3A%2F%2Fwww.webofscience.com%2Fwos%2Fwoscc%2Ffull-record%2FWOS:001180321800032","View Full Record in Web of Science")</f>
        <v>View Full Record in Web of Science</v>
      </c>
    </row>
    <row r="980" spans="1:72" x14ac:dyDescent="0.15">
      <c r="A980" t="s">
        <v>72</v>
      </c>
      <c r="B980" t="s">
        <v>18598</v>
      </c>
      <c r="C980" t="s">
        <v>74</v>
      </c>
      <c r="D980" t="s">
        <v>74</v>
      </c>
      <c r="E980" t="s">
        <v>74</v>
      </c>
      <c r="F980" t="s">
        <v>18599</v>
      </c>
      <c r="G980" t="s">
        <v>74</v>
      </c>
      <c r="H980" t="s">
        <v>74</v>
      </c>
      <c r="I980" t="s">
        <v>18600</v>
      </c>
      <c r="J980" t="s">
        <v>18601</v>
      </c>
      <c r="K980" t="s">
        <v>74</v>
      </c>
      <c r="L980" t="s">
        <v>74</v>
      </c>
      <c r="M980" t="s">
        <v>78</v>
      </c>
      <c r="N980" t="s">
        <v>79</v>
      </c>
      <c r="O980" t="s">
        <v>74</v>
      </c>
      <c r="P980" t="s">
        <v>74</v>
      </c>
      <c r="Q980" t="s">
        <v>74</v>
      </c>
      <c r="R980" t="s">
        <v>74</v>
      </c>
      <c r="S980" t="s">
        <v>74</v>
      </c>
      <c r="T980" t="s">
        <v>18602</v>
      </c>
      <c r="U980" t="s">
        <v>74</v>
      </c>
      <c r="V980" t="s">
        <v>18603</v>
      </c>
      <c r="W980" t="s">
        <v>18604</v>
      </c>
      <c r="X980" t="s">
        <v>18605</v>
      </c>
      <c r="Y980" t="s">
        <v>18606</v>
      </c>
      <c r="Z980" t="s">
        <v>18607</v>
      </c>
      <c r="AA980" t="s">
        <v>8105</v>
      </c>
      <c r="AB980" t="s">
        <v>18608</v>
      </c>
      <c r="AC980" t="s">
        <v>18609</v>
      </c>
      <c r="AD980" t="s">
        <v>18610</v>
      </c>
      <c r="AE980" t="s">
        <v>18611</v>
      </c>
      <c r="AF980" t="s">
        <v>74</v>
      </c>
      <c r="AG980">
        <v>12</v>
      </c>
      <c r="AH980">
        <v>0</v>
      </c>
      <c r="AI980">
        <v>0</v>
      </c>
      <c r="AJ980">
        <v>1</v>
      </c>
      <c r="AK980">
        <v>1</v>
      </c>
      <c r="AL980" t="s">
        <v>18612</v>
      </c>
      <c r="AM980" t="s">
        <v>18613</v>
      </c>
      <c r="AN980" t="s">
        <v>18614</v>
      </c>
      <c r="AO980" t="s">
        <v>18615</v>
      </c>
      <c r="AP980" t="s">
        <v>18616</v>
      </c>
      <c r="AQ980" t="s">
        <v>74</v>
      </c>
      <c r="AR980" t="s">
        <v>18617</v>
      </c>
      <c r="AS980" t="s">
        <v>18618</v>
      </c>
      <c r="AT980" t="s">
        <v>18619</v>
      </c>
      <c r="AU980">
        <v>2023</v>
      </c>
      <c r="AV980">
        <v>25</v>
      </c>
      <c r="AW980">
        <v>3</v>
      </c>
      <c r="AX980" t="s">
        <v>74</v>
      </c>
      <c r="AY980" t="s">
        <v>74</v>
      </c>
      <c r="AZ980" t="s">
        <v>74</v>
      </c>
      <c r="BA980" t="s">
        <v>74</v>
      </c>
      <c r="BB980">
        <v>30</v>
      </c>
      <c r="BC980">
        <v>41</v>
      </c>
      <c r="BD980" t="s">
        <v>74</v>
      </c>
      <c r="BE980" t="s">
        <v>18620</v>
      </c>
      <c r="BF980" t="str">
        <f>HYPERLINK("http://dx.doi.org/10.1109/MCSE.2023.3300908","http://dx.doi.org/10.1109/MCSE.2023.3300908")</f>
        <v>http://dx.doi.org/10.1109/MCSE.2023.3300908</v>
      </c>
      <c r="BG980" t="s">
        <v>74</v>
      </c>
      <c r="BH980" t="s">
        <v>74</v>
      </c>
      <c r="BI980">
        <v>12</v>
      </c>
      <c r="BJ980" t="s">
        <v>18621</v>
      </c>
      <c r="BK980" t="s">
        <v>104</v>
      </c>
      <c r="BL980" t="s">
        <v>18622</v>
      </c>
      <c r="BM980" t="s">
        <v>18623</v>
      </c>
      <c r="BN980" t="s">
        <v>74</v>
      </c>
      <c r="BO980" t="s">
        <v>549</v>
      </c>
      <c r="BP980" t="s">
        <v>74</v>
      </c>
      <c r="BQ980" t="s">
        <v>74</v>
      </c>
      <c r="BR980" t="s">
        <v>107</v>
      </c>
      <c r="BS980" t="s">
        <v>18624</v>
      </c>
      <c r="BT980" t="str">
        <f>HYPERLINK("https%3A%2F%2Fwww.webofscience.com%2Fwos%2Fwoscc%2Ffull-record%2FWOS:001097062700004","View Full Record in Web of Science")</f>
        <v>View Full Record in Web of Science</v>
      </c>
    </row>
    <row r="981" spans="1:72" x14ac:dyDescent="0.15">
      <c r="A981" t="s">
        <v>72</v>
      </c>
      <c r="B981" t="s">
        <v>18625</v>
      </c>
      <c r="C981" t="s">
        <v>74</v>
      </c>
      <c r="D981" t="s">
        <v>74</v>
      </c>
      <c r="E981" t="s">
        <v>74</v>
      </c>
      <c r="F981" t="s">
        <v>18626</v>
      </c>
      <c r="G981" t="s">
        <v>74</v>
      </c>
      <c r="H981" t="s">
        <v>74</v>
      </c>
      <c r="I981" t="s">
        <v>18627</v>
      </c>
      <c r="J981" t="s">
        <v>18628</v>
      </c>
      <c r="K981" t="s">
        <v>74</v>
      </c>
      <c r="L981" t="s">
        <v>74</v>
      </c>
      <c r="M981" t="s">
        <v>78</v>
      </c>
      <c r="N981" t="s">
        <v>52</v>
      </c>
      <c r="O981" t="s">
        <v>74</v>
      </c>
      <c r="P981" t="s">
        <v>74</v>
      </c>
      <c r="Q981" t="s">
        <v>74</v>
      </c>
      <c r="R981" t="s">
        <v>74</v>
      </c>
      <c r="S981" t="s">
        <v>74</v>
      </c>
      <c r="T981" t="s">
        <v>18629</v>
      </c>
      <c r="U981" t="s">
        <v>74</v>
      </c>
      <c r="V981" t="s">
        <v>74</v>
      </c>
      <c r="W981" t="s">
        <v>74</v>
      </c>
      <c r="X981" t="s">
        <v>74</v>
      </c>
      <c r="Y981" t="s">
        <v>74</v>
      </c>
      <c r="Z981" t="s">
        <v>74</v>
      </c>
      <c r="AA981" t="s">
        <v>74</v>
      </c>
      <c r="AB981" t="s">
        <v>74</v>
      </c>
      <c r="AC981" t="s">
        <v>18630</v>
      </c>
      <c r="AD981" t="s">
        <v>18631</v>
      </c>
      <c r="AE981" t="s">
        <v>18632</v>
      </c>
      <c r="AF981" t="s">
        <v>74</v>
      </c>
      <c r="AG981">
        <v>0</v>
      </c>
      <c r="AH981">
        <v>0</v>
      </c>
      <c r="AI981">
        <v>0</v>
      </c>
      <c r="AJ981">
        <v>0</v>
      </c>
      <c r="AK981">
        <v>0</v>
      </c>
      <c r="AL981" t="s">
        <v>18633</v>
      </c>
      <c r="AM981" t="s">
        <v>18634</v>
      </c>
      <c r="AN981" t="s">
        <v>18635</v>
      </c>
      <c r="AO981" t="s">
        <v>18636</v>
      </c>
      <c r="AP981" t="s">
        <v>18637</v>
      </c>
      <c r="AQ981" t="s">
        <v>74</v>
      </c>
      <c r="AR981" t="s">
        <v>18628</v>
      </c>
      <c r="AS981" t="s">
        <v>467</v>
      </c>
      <c r="AT981" t="s">
        <v>4557</v>
      </c>
      <c r="AU981">
        <v>2023</v>
      </c>
      <c r="AV981">
        <v>38</v>
      </c>
      <c r="AW981" t="s">
        <v>74</v>
      </c>
      <c r="AX981" t="s">
        <v>74</v>
      </c>
      <c r="AY981">
        <v>1</v>
      </c>
      <c r="AZ981" t="s">
        <v>74</v>
      </c>
      <c r="BA981" t="s">
        <v>74</v>
      </c>
      <c r="BB981" t="s">
        <v>74</v>
      </c>
      <c r="BC981" t="s">
        <v>74</v>
      </c>
      <c r="BD981" t="s">
        <v>74</v>
      </c>
      <c r="BE981" t="s">
        <v>18638</v>
      </c>
      <c r="BF981" t="str">
        <f>HYPERLINK("http://dx.doi.org/10.1152/physiol.2023.38.S1.5731667","http://dx.doi.org/10.1152/physiol.2023.38.S1.5731667")</f>
        <v>http://dx.doi.org/10.1152/physiol.2023.38.S1.5731667</v>
      </c>
      <c r="BG981" t="s">
        <v>74</v>
      </c>
      <c r="BH981" t="s">
        <v>74</v>
      </c>
      <c r="BI981">
        <v>1</v>
      </c>
      <c r="BJ981" t="s">
        <v>467</v>
      </c>
      <c r="BK981" t="s">
        <v>104</v>
      </c>
      <c r="BL981" t="s">
        <v>467</v>
      </c>
      <c r="BM981" t="s">
        <v>18639</v>
      </c>
      <c r="BN981" t="s">
        <v>74</v>
      </c>
      <c r="BO981" t="s">
        <v>74</v>
      </c>
      <c r="BP981" t="s">
        <v>74</v>
      </c>
      <c r="BQ981" t="s">
        <v>74</v>
      </c>
      <c r="BR981" t="s">
        <v>107</v>
      </c>
      <c r="BS981" t="s">
        <v>18640</v>
      </c>
      <c r="BT981" t="str">
        <f>HYPERLINK("https%3A%2F%2Fwww.webofscience.com%2Fwos%2Fwoscc%2Ffull-record%2FWOS:001062046400509","View Full Record in Web of Science")</f>
        <v>View Full Record in Web of Science</v>
      </c>
    </row>
    <row r="982" spans="1:72" x14ac:dyDescent="0.15">
      <c r="A982" t="s">
        <v>72</v>
      </c>
      <c r="B982" t="s">
        <v>18641</v>
      </c>
      <c r="C982" t="s">
        <v>74</v>
      </c>
      <c r="D982" t="s">
        <v>74</v>
      </c>
      <c r="E982" t="s">
        <v>74</v>
      </c>
      <c r="F982" t="s">
        <v>18642</v>
      </c>
      <c r="G982" t="s">
        <v>74</v>
      </c>
      <c r="H982" t="s">
        <v>74</v>
      </c>
      <c r="I982" t="s">
        <v>18643</v>
      </c>
      <c r="J982" t="s">
        <v>6635</v>
      </c>
      <c r="K982" t="s">
        <v>74</v>
      </c>
      <c r="L982" t="s">
        <v>74</v>
      </c>
      <c r="M982" t="s">
        <v>78</v>
      </c>
      <c r="N982" t="s">
        <v>79</v>
      </c>
      <c r="O982" t="s">
        <v>74</v>
      </c>
      <c r="P982" t="s">
        <v>74</v>
      </c>
      <c r="Q982" t="s">
        <v>74</v>
      </c>
      <c r="R982" t="s">
        <v>74</v>
      </c>
      <c r="S982" t="s">
        <v>74</v>
      </c>
      <c r="T982" t="s">
        <v>18644</v>
      </c>
      <c r="U982" t="s">
        <v>18645</v>
      </c>
      <c r="V982" t="s">
        <v>18646</v>
      </c>
      <c r="W982" t="s">
        <v>18647</v>
      </c>
      <c r="X982" t="s">
        <v>18648</v>
      </c>
      <c r="Y982" t="s">
        <v>18649</v>
      </c>
      <c r="Z982" t="s">
        <v>18650</v>
      </c>
      <c r="AA982" t="s">
        <v>18651</v>
      </c>
      <c r="AB982" t="s">
        <v>18652</v>
      </c>
      <c r="AC982" t="s">
        <v>18653</v>
      </c>
      <c r="AD982" t="s">
        <v>18654</v>
      </c>
      <c r="AE982" t="s">
        <v>18655</v>
      </c>
      <c r="AF982" t="s">
        <v>74</v>
      </c>
      <c r="AG982">
        <v>60</v>
      </c>
      <c r="AH982">
        <v>8</v>
      </c>
      <c r="AI982">
        <v>8</v>
      </c>
      <c r="AJ982">
        <v>25</v>
      </c>
      <c r="AK982">
        <v>47</v>
      </c>
      <c r="AL982" t="s">
        <v>6648</v>
      </c>
      <c r="AM982" t="s">
        <v>589</v>
      </c>
      <c r="AN982" t="s">
        <v>6649</v>
      </c>
      <c r="AO982" t="s">
        <v>6650</v>
      </c>
      <c r="AP982" t="s">
        <v>6651</v>
      </c>
      <c r="AQ982" t="s">
        <v>74</v>
      </c>
      <c r="AR982" t="s">
        <v>6652</v>
      </c>
      <c r="AS982" t="s">
        <v>6653</v>
      </c>
      <c r="AT982" t="s">
        <v>18656</v>
      </c>
      <c r="AU982">
        <v>2023</v>
      </c>
      <c r="AV982">
        <v>120</v>
      </c>
      <c r="AW982">
        <v>19</v>
      </c>
      <c r="AX982" t="s">
        <v>74</v>
      </c>
      <c r="AY982" t="s">
        <v>74</v>
      </c>
      <c r="AZ982" t="s">
        <v>74</v>
      </c>
      <c r="BA982" t="s">
        <v>74</v>
      </c>
      <c r="BB982" t="s">
        <v>74</v>
      </c>
      <c r="BC982" t="s">
        <v>74</v>
      </c>
      <c r="BD982" t="s">
        <v>18657</v>
      </c>
      <c r="BE982" t="s">
        <v>18658</v>
      </c>
      <c r="BF982" t="str">
        <f>HYPERLINK("http://dx.doi.org/10.1073/pnas.2208389120","http://dx.doi.org/10.1073/pnas.2208389120")</f>
        <v>http://dx.doi.org/10.1073/pnas.2208389120</v>
      </c>
      <c r="BG982" t="s">
        <v>74</v>
      </c>
      <c r="BH982" t="s">
        <v>74</v>
      </c>
      <c r="BI982">
        <v>8</v>
      </c>
      <c r="BJ982" t="s">
        <v>1881</v>
      </c>
      <c r="BK982" t="s">
        <v>104</v>
      </c>
      <c r="BL982" t="s">
        <v>1882</v>
      </c>
      <c r="BM982" t="s">
        <v>18659</v>
      </c>
      <c r="BN982">
        <v>37126701</v>
      </c>
      <c r="BO982" t="s">
        <v>1604</v>
      </c>
      <c r="BP982" t="s">
        <v>74</v>
      </c>
      <c r="BQ982" t="s">
        <v>74</v>
      </c>
      <c r="BR982" t="s">
        <v>107</v>
      </c>
      <c r="BS982" t="s">
        <v>18660</v>
      </c>
      <c r="BT982" t="str">
        <f>HYPERLINK("https%3A%2F%2Fwww.webofscience.com%2Fwos%2Fwoscc%2Ffull-record%2FWOS:001038063500008","View Full Record in Web of Science")</f>
        <v>View Full Record in Web of Science</v>
      </c>
    </row>
    <row r="983" spans="1:72" x14ac:dyDescent="0.15">
      <c r="A983" t="s">
        <v>72</v>
      </c>
      <c r="B983" t="s">
        <v>18661</v>
      </c>
      <c r="C983" t="s">
        <v>74</v>
      </c>
      <c r="D983" t="s">
        <v>74</v>
      </c>
      <c r="E983" t="s">
        <v>74</v>
      </c>
      <c r="F983" t="s">
        <v>18662</v>
      </c>
      <c r="G983" t="s">
        <v>74</v>
      </c>
      <c r="H983" t="s">
        <v>74</v>
      </c>
      <c r="I983" t="s">
        <v>18663</v>
      </c>
      <c r="J983" t="s">
        <v>5782</v>
      </c>
      <c r="K983" t="s">
        <v>74</v>
      </c>
      <c r="L983" t="s">
        <v>74</v>
      </c>
      <c r="M983" t="s">
        <v>78</v>
      </c>
      <c r="N983" t="s">
        <v>79</v>
      </c>
      <c r="O983" t="s">
        <v>74</v>
      </c>
      <c r="P983" t="s">
        <v>74</v>
      </c>
      <c r="Q983" t="s">
        <v>74</v>
      </c>
      <c r="R983" t="s">
        <v>74</v>
      </c>
      <c r="S983" t="s">
        <v>74</v>
      </c>
      <c r="T983" t="s">
        <v>18664</v>
      </c>
      <c r="U983" t="s">
        <v>18665</v>
      </c>
      <c r="V983" t="s">
        <v>18666</v>
      </c>
      <c r="W983" t="s">
        <v>18667</v>
      </c>
      <c r="X983" t="s">
        <v>18668</v>
      </c>
      <c r="Y983" t="s">
        <v>18669</v>
      </c>
      <c r="Z983" t="s">
        <v>18670</v>
      </c>
      <c r="AA983" t="s">
        <v>18671</v>
      </c>
      <c r="AB983" t="s">
        <v>18672</v>
      </c>
      <c r="AC983" t="s">
        <v>18673</v>
      </c>
      <c r="AD983" t="s">
        <v>18673</v>
      </c>
      <c r="AE983" t="s">
        <v>18674</v>
      </c>
      <c r="AF983" t="s">
        <v>74</v>
      </c>
      <c r="AG983">
        <v>78</v>
      </c>
      <c r="AH983">
        <v>0</v>
      </c>
      <c r="AI983">
        <v>0</v>
      </c>
      <c r="AJ983">
        <v>1</v>
      </c>
      <c r="AK983">
        <v>1</v>
      </c>
      <c r="AL983" t="s">
        <v>588</v>
      </c>
      <c r="AM983" t="s">
        <v>589</v>
      </c>
      <c r="AN983" t="s">
        <v>590</v>
      </c>
      <c r="AO983" t="s">
        <v>74</v>
      </c>
      <c r="AP983" t="s">
        <v>5795</v>
      </c>
      <c r="AQ983" t="s">
        <v>74</v>
      </c>
      <c r="AR983" t="s">
        <v>5796</v>
      </c>
      <c r="AS983" t="s">
        <v>5797</v>
      </c>
      <c r="AT983" t="s">
        <v>4557</v>
      </c>
      <c r="AU983">
        <v>2023</v>
      </c>
      <c r="AV983">
        <v>15</v>
      </c>
      <c r="AW983">
        <v>5</v>
      </c>
      <c r="AX983" t="s">
        <v>74</v>
      </c>
      <c r="AY983" t="s">
        <v>74</v>
      </c>
      <c r="AZ983" t="s">
        <v>74</v>
      </c>
      <c r="BA983" t="s">
        <v>74</v>
      </c>
      <c r="BB983" t="s">
        <v>74</v>
      </c>
      <c r="BC983" t="s">
        <v>74</v>
      </c>
      <c r="BD983" t="s">
        <v>18675</v>
      </c>
      <c r="BE983" t="s">
        <v>18676</v>
      </c>
      <c r="BF983" t="str">
        <f>HYPERLINK("http://dx.doi.org/10.1029/2022MS003412","http://dx.doi.org/10.1029/2022MS003412")</f>
        <v>http://dx.doi.org/10.1029/2022MS003412</v>
      </c>
      <c r="BG983" t="s">
        <v>74</v>
      </c>
      <c r="BH983" t="s">
        <v>74</v>
      </c>
      <c r="BI983">
        <v>28</v>
      </c>
      <c r="BJ983" t="s">
        <v>103</v>
      </c>
      <c r="BK983" t="s">
        <v>104</v>
      </c>
      <c r="BL983" t="s">
        <v>103</v>
      </c>
      <c r="BM983" t="s">
        <v>18677</v>
      </c>
      <c r="BN983" t="s">
        <v>74</v>
      </c>
      <c r="BO983" t="s">
        <v>206</v>
      </c>
      <c r="BP983" t="s">
        <v>74</v>
      </c>
      <c r="BQ983" t="s">
        <v>74</v>
      </c>
      <c r="BR983" t="s">
        <v>107</v>
      </c>
      <c r="BS983" t="s">
        <v>18678</v>
      </c>
      <c r="BT983" t="str">
        <f>HYPERLINK("https%3A%2F%2Fwww.webofscience.com%2Fwos%2Fwoscc%2Ffull-record%2FWOS:001000172300001","View Full Record in Web of Science")</f>
        <v>View Full Record in Web of Science</v>
      </c>
    </row>
    <row r="984" spans="1:72" x14ac:dyDescent="0.15">
      <c r="A984" t="s">
        <v>72</v>
      </c>
      <c r="B984" t="s">
        <v>18679</v>
      </c>
      <c r="C984" t="s">
        <v>74</v>
      </c>
      <c r="D984" t="s">
        <v>74</v>
      </c>
      <c r="E984" t="s">
        <v>74</v>
      </c>
      <c r="F984" t="s">
        <v>18680</v>
      </c>
      <c r="G984" t="s">
        <v>74</v>
      </c>
      <c r="H984" t="s">
        <v>74</v>
      </c>
      <c r="I984" t="s">
        <v>18681</v>
      </c>
      <c r="J984" t="s">
        <v>18682</v>
      </c>
      <c r="K984" t="s">
        <v>74</v>
      </c>
      <c r="L984" t="s">
        <v>74</v>
      </c>
      <c r="M984" t="s">
        <v>78</v>
      </c>
      <c r="N984" t="s">
        <v>79</v>
      </c>
      <c r="O984" t="s">
        <v>74</v>
      </c>
      <c r="P984" t="s">
        <v>74</v>
      </c>
      <c r="Q984" t="s">
        <v>74</v>
      </c>
      <c r="R984" t="s">
        <v>74</v>
      </c>
      <c r="S984" t="s">
        <v>74</v>
      </c>
      <c r="T984" t="s">
        <v>18683</v>
      </c>
      <c r="U984" t="s">
        <v>18684</v>
      </c>
      <c r="V984" t="s">
        <v>18685</v>
      </c>
      <c r="W984" t="s">
        <v>18686</v>
      </c>
      <c r="X984" t="s">
        <v>18687</v>
      </c>
      <c r="Y984" t="s">
        <v>18688</v>
      </c>
      <c r="Z984" t="s">
        <v>13091</v>
      </c>
      <c r="AA984" t="s">
        <v>74</v>
      </c>
      <c r="AB984" t="s">
        <v>74</v>
      </c>
      <c r="AC984" t="s">
        <v>18689</v>
      </c>
      <c r="AD984" t="s">
        <v>18690</v>
      </c>
      <c r="AE984" t="s">
        <v>18691</v>
      </c>
      <c r="AF984" t="s">
        <v>74</v>
      </c>
      <c r="AG984">
        <v>100</v>
      </c>
      <c r="AH984">
        <v>1</v>
      </c>
      <c r="AI984">
        <v>1</v>
      </c>
      <c r="AJ984">
        <v>0</v>
      </c>
      <c r="AK984">
        <v>5</v>
      </c>
      <c r="AL984" t="s">
        <v>1699</v>
      </c>
      <c r="AM984" t="s">
        <v>1700</v>
      </c>
      <c r="AN984" t="s">
        <v>1701</v>
      </c>
      <c r="AO984" t="s">
        <v>18692</v>
      </c>
      <c r="AP984" t="s">
        <v>18693</v>
      </c>
      <c r="AQ984" t="s">
        <v>74</v>
      </c>
      <c r="AR984" t="s">
        <v>18694</v>
      </c>
      <c r="AS984" t="s">
        <v>18695</v>
      </c>
      <c r="AT984" t="s">
        <v>18656</v>
      </c>
      <c r="AU984">
        <v>2023</v>
      </c>
      <c r="AV984">
        <v>96</v>
      </c>
      <c r="AW984">
        <v>3</v>
      </c>
      <c r="AX984" t="s">
        <v>74</v>
      </c>
      <c r="AY984" t="s">
        <v>74</v>
      </c>
      <c r="AZ984" t="s">
        <v>74</v>
      </c>
      <c r="BA984" t="s">
        <v>74</v>
      </c>
      <c r="BB984">
        <v>177</v>
      </c>
      <c r="BC984">
        <v>191</v>
      </c>
      <c r="BD984" t="s">
        <v>74</v>
      </c>
      <c r="BE984" t="s">
        <v>18696</v>
      </c>
      <c r="BF984" t="str">
        <f>HYPERLINK("http://dx.doi.org/10.1086/724686","http://dx.doi.org/10.1086/724686")</f>
        <v>http://dx.doi.org/10.1086/724686</v>
      </c>
      <c r="BG984" t="s">
        <v>74</v>
      </c>
      <c r="BH984" t="s">
        <v>74</v>
      </c>
      <c r="BI984">
        <v>15</v>
      </c>
      <c r="BJ984" t="s">
        <v>18697</v>
      </c>
      <c r="BK984" t="s">
        <v>104</v>
      </c>
      <c r="BL984" t="s">
        <v>18697</v>
      </c>
      <c r="BM984" t="s">
        <v>18698</v>
      </c>
      <c r="BN984">
        <v>37278584</v>
      </c>
      <c r="BO984" t="s">
        <v>74</v>
      </c>
      <c r="BP984" t="s">
        <v>74</v>
      </c>
      <c r="BQ984" t="s">
        <v>74</v>
      </c>
      <c r="BR984" t="s">
        <v>107</v>
      </c>
      <c r="BS984" t="s">
        <v>18699</v>
      </c>
      <c r="BT984" t="str">
        <f>HYPERLINK("https%3A%2F%2Fwww.webofscience.com%2Fwos%2Fwoscc%2Ffull-record%2FWOS:001035241500002","View Full Record in Web of Science")</f>
        <v>View Full Record in Web of Science</v>
      </c>
    </row>
    <row r="985" spans="1:72" x14ac:dyDescent="0.15">
      <c r="A985" t="s">
        <v>72</v>
      </c>
      <c r="B985" t="s">
        <v>18700</v>
      </c>
      <c r="C985" t="s">
        <v>74</v>
      </c>
      <c r="D985" t="s">
        <v>74</v>
      </c>
      <c r="E985" t="s">
        <v>74</v>
      </c>
      <c r="F985" t="s">
        <v>18701</v>
      </c>
      <c r="G985" t="s">
        <v>74</v>
      </c>
      <c r="H985" t="s">
        <v>74</v>
      </c>
      <c r="I985" t="s">
        <v>18702</v>
      </c>
      <c r="J985" t="s">
        <v>18703</v>
      </c>
      <c r="K985" t="s">
        <v>74</v>
      </c>
      <c r="L985" t="s">
        <v>74</v>
      </c>
      <c r="M985" t="s">
        <v>78</v>
      </c>
      <c r="N985" t="s">
        <v>18704</v>
      </c>
      <c r="O985" t="s">
        <v>18705</v>
      </c>
      <c r="P985" t="s">
        <v>18706</v>
      </c>
      <c r="Q985" t="s">
        <v>18707</v>
      </c>
      <c r="R985" t="s">
        <v>74</v>
      </c>
      <c r="S985" t="s">
        <v>74</v>
      </c>
      <c r="T985" t="s">
        <v>74</v>
      </c>
      <c r="U985" t="s">
        <v>18708</v>
      </c>
      <c r="V985" t="s">
        <v>18709</v>
      </c>
      <c r="W985" t="s">
        <v>18710</v>
      </c>
      <c r="X985" t="s">
        <v>18711</v>
      </c>
      <c r="Y985" t="s">
        <v>18712</v>
      </c>
      <c r="Z985" t="s">
        <v>18713</v>
      </c>
      <c r="AA985" t="s">
        <v>74</v>
      </c>
      <c r="AB985" t="s">
        <v>74</v>
      </c>
      <c r="AC985" t="s">
        <v>18714</v>
      </c>
      <c r="AD985" t="s">
        <v>18715</v>
      </c>
      <c r="AE985" t="s">
        <v>18716</v>
      </c>
      <c r="AF985" t="s">
        <v>74</v>
      </c>
      <c r="AG985">
        <v>15</v>
      </c>
      <c r="AH985">
        <v>0</v>
      </c>
      <c r="AI985">
        <v>0</v>
      </c>
      <c r="AJ985">
        <v>0</v>
      </c>
      <c r="AK985">
        <v>1</v>
      </c>
      <c r="AL985" t="s">
        <v>18717</v>
      </c>
      <c r="AM985" t="s">
        <v>18718</v>
      </c>
      <c r="AN985" t="s">
        <v>18719</v>
      </c>
      <c r="AO985" t="s">
        <v>18720</v>
      </c>
      <c r="AP985" t="s">
        <v>18721</v>
      </c>
      <c r="AQ985" t="s">
        <v>74</v>
      </c>
      <c r="AR985" t="s">
        <v>18722</v>
      </c>
      <c r="AS985" t="s">
        <v>18723</v>
      </c>
      <c r="AT985" t="s">
        <v>18619</v>
      </c>
      <c r="AU985">
        <v>2023</v>
      </c>
      <c r="AV985">
        <v>46</v>
      </c>
      <c r="AW985">
        <v>3</v>
      </c>
      <c r="AX985" t="s">
        <v>74</v>
      </c>
      <c r="AY985" t="s">
        <v>74</v>
      </c>
      <c r="AZ985" t="s">
        <v>99</v>
      </c>
      <c r="BA985" t="s">
        <v>74</v>
      </c>
      <c r="BB985" t="s">
        <v>74</v>
      </c>
      <c r="BC985" t="s">
        <v>74</v>
      </c>
      <c r="BD985" t="s">
        <v>18724</v>
      </c>
      <c r="BE985" t="s">
        <v>18725</v>
      </c>
      <c r="BF985" t="str">
        <f>HYPERLINK("http://dx.doi.org/10.1393/ncc/i2023-23069-x","http://dx.doi.org/10.1393/ncc/i2023-23069-x")</f>
        <v>http://dx.doi.org/10.1393/ncc/i2023-23069-x</v>
      </c>
      <c r="BG985" t="s">
        <v>74</v>
      </c>
      <c r="BH985" t="s">
        <v>74</v>
      </c>
      <c r="BI985">
        <v>10</v>
      </c>
      <c r="BJ985" t="s">
        <v>7778</v>
      </c>
      <c r="BK985" t="s">
        <v>518</v>
      </c>
      <c r="BL985" t="s">
        <v>7779</v>
      </c>
      <c r="BM985" t="s">
        <v>18726</v>
      </c>
      <c r="BN985" t="s">
        <v>74</v>
      </c>
      <c r="BO985" t="s">
        <v>74</v>
      </c>
      <c r="BP985" t="s">
        <v>74</v>
      </c>
      <c r="BQ985" t="s">
        <v>74</v>
      </c>
      <c r="BR985" t="s">
        <v>107</v>
      </c>
      <c r="BS985" t="s">
        <v>18727</v>
      </c>
      <c r="BT985" t="str">
        <f>HYPERLINK("https%3A%2F%2Fwww.webofscience.com%2Fwos%2Fwoscc%2Ffull-record%2FWOS:001032613000021","View Full Record in Web of Science")</f>
        <v>View Full Record in Web of Science</v>
      </c>
    </row>
    <row r="986" spans="1:72" x14ac:dyDescent="0.15">
      <c r="A986" t="s">
        <v>72</v>
      </c>
      <c r="B986" t="s">
        <v>18728</v>
      </c>
      <c r="C986" t="s">
        <v>74</v>
      </c>
      <c r="D986" t="s">
        <v>74</v>
      </c>
      <c r="E986" t="s">
        <v>74</v>
      </c>
      <c r="F986" t="s">
        <v>18729</v>
      </c>
      <c r="G986" t="s">
        <v>74</v>
      </c>
      <c r="H986" t="s">
        <v>74</v>
      </c>
      <c r="I986" t="s">
        <v>18730</v>
      </c>
      <c r="J986" t="s">
        <v>18731</v>
      </c>
      <c r="K986" t="s">
        <v>74</v>
      </c>
      <c r="L986" t="s">
        <v>74</v>
      </c>
      <c r="M986" t="s">
        <v>78</v>
      </c>
      <c r="N986" t="s">
        <v>79</v>
      </c>
      <c r="O986" t="s">
        <v>74</v>
      </c>
      <c r="P986" t="s">
        <v>74</v>
      </c>
      <c r="Q986" t="s">
        <v>74</v>
      </c>
      <c r="R986" t="s">
        <v>74</v>
      </c>
      <c r="S986" t="s">
        <v>74</v>
      </c>
      <c r="T986" t="s">
        <v>74</v>
      </c>
      <c r="U986" t="s">
        <v>18732</v>
      </c>
      <c r="V986" t="s">
        <v>18733</v>
      </c>
      <c r="W986" t="s">
        <v>18734</v>
      </c>
      <c r="X986" t="s">
        <v>18735</v>
      </c>
      <c r="Y986" t="s">
        <v>18736</v>
      </c>
      <c r="Z986" t="s">
        <v>16396</v>
      </c>
      <c r="AA986" t="s">
        <v>18737</v>
      </c>
      <c r="AB986" t="s">
        <v>18738</v>
      </c>
      <c r="AC986" t="s">
        <v>74</v>
      </c>
      <c r="AD986" t="s">
        <v>74</v>
      </c>
      <c r="AE986" t="s">
        <v>74</v>
      </c>
      <c r="AF986" t="s">
        <v>74</v>
      </c>
      <c r="AG986">
        <v>43</v>
      </c>
      <c r="AH986">
        <v>0</v>
      </c>
      <c r="AI986">
        <v>0</v>
      </c>
      <c r="AJ986">
        <v>6</v>
      </c>
      <c r="AK986">
        <v>10</v>
      </c>
      <c r="AL986" t="s">
        <v>3672</v>
      </c>
      <c r="AM986" t="s">
        <v>7191</v>
      </c>
      <c r="AN986" t="s">
        <v>7192</v>
      </c>
      <c r="AO986" t="s">
        <v>74</v>
      </c>
      <c r="AP986" t="s">
        <v>18739</v>
      </c>
      <c r="AQ986" t="s">
        <v>74</v>
      </c>
      <c r="AR986" t="s">
        <v>18740</v>
      </c>
      <c r="AS986" t="s">
        <v>18741</v>
      </c>
      <c r="AT986" t="s">
        <v>4557</v>
      </c>
      <c r="AU986">
        <v>2023</v>
      </c>
      <c r="AV986">
        <v>7</v>
      </c>
      <c r="AW986">
        <v>5</v>
      </c>
      <c r="AX986" t="s">
        <v>74</v>
      </c>
      <c r="AY986" t="s">
        <v>74</v>
      </c>
      <c r="AZ986" t="s">
        <v>74</v>
      </c>
      <c r="BA986" t="s">
        <v>74</v>
      </c>
      <c r="BB986" t="s">
        <v>18742</v>
      </c>
      <c r="BC986" t="s">
        <v>18743</v>
      </c>
      <c r="BD986" t="s">
        <v>74</v>
      </c>
      <c r="BE986" t="s">
        <v>18744</v>
      </c>
      <c r="BF986" t="str">
        <f>HYPERLINK("http://dx.doi.org/10.1016/S2542-5196(23)00076-1","http://dx.doi.org/10.1016/S2542-5196(23)00076-1")</f>
        <v>http://dx.doi.org/10.1016/S2542-5196(23)00076-1</v>
      </c>
      <c r="BG986" t="s">
        <v>74</v>
      </c>
      <c r="BH986" t="s">
        <v>74</v>
      </c>
      <c r="BI986">
        <v>6</v>
      </c>
      <c r="BJ986" t="s">
        <v>2127</v>
      </c>
      <c r="BK986" t="s">
        <v>881</v>
      </c>
      <c r="BL986" t="s">
        <v>2128</v>
      </c>
      <c r="BM986" t="s">
        <v>18745</v>
      </c>
      <c r="BN986">
        <v>37164519</v>
      </c>
      <c r="BO986" t="s">
        <v>821</v>
      </c>
      <c r="BP986" t="s">
        <v>74</v>
      </c>
      <c r="BQ986" t="s">
        <v>74</v>
      </c>
      <c r="BR986" t="s">
        <v>107</v>
      </c>
      <c r="BS986" t="s">
        <v>18746</v>
      </c>
      <c r="BT986" t="str">
        <f>HYPERLINK("https%3A%2F%2Fwww.webofscience.com%2Fwos%2Fwoscc%2Ffull-record%2FWOS:001044550900001","View Full Record in Web of Science")</f>
        <v>View Full Record in Web of Science</v>
      </c>
    </row>
    <row r="987" spans="1:72" x14ac:dyDescent="0.15">
      <c r="A987" t="s">
        <v>72</v>
      </c>
      <c r="B987" t="s">
        <v>18747</v>
      </c>
      <c r="C987" t="s">
        <v>74</v>
      </c>
      <c r="D987" t="s">
        <v>74</v>
      </c>
      <c r="E987" t="s">
        <v>74</v>
      </c>
      <c r="F987" t="s">
        <v>18748</v>
      </c>
      <c r="G987" t="s">
        <v>74</v>
      </c>
      <c r="H987" t="s">
        <v>74</v>
      </c>
      <c r="I987" t="s">
        <v>18749</v>
      </c>
      <c r="J987" t="s">
        <v>288</v>
      </c>
      <c r="K987" t="s">
        <v>74</v>
      </c>
      <c r="L987" t="s">
        <v>74</v>
      </c>
      <c r="M987" t="s">
        <v>78</v>
      </c>
      <c r="N987" t="s">
        <v>79</v>
      </c>
      <c r="O987" t="s">
        <v>74</v>
      </c>
      <c r="P987" t="s">
        <v>74</v>
      </c>
      <c r="Q987" t="s">
        <v>74</v>
      </c>
      <c r="R987" t="s">
        <v>74</v>
      </c>
      <c r="S987" t="s">
        <v>74</v>
      </c>
      <c r="T987" t="s">
        <v>18750</v>
      </c>
      <c r="U987" t="s">
        <v>18751</v>
      </c>
      <c r="V987" t="s">
        <v>18752</v>
      </c>
      <c r="W987" t="s">
        <v>18753</v>
      </c>
      <c r="X987" t="s">
        <v>18754</v>
      </c>
      <c r="Y987" t="s">
        <v>18755</v>
      </c>
      <c r="Z987" t="s">
        <v>18756</v>
      </c>
      <c r="AA987" t="s">
        <v>74</v>
      </c>
      <c r="AB987" t="s">
        <v>74</v>
      </c>
      <c r="AC987" t="s">
        <v>18757</v>
      </c>
      <c r="AD987" t="s">
        <v>18758</v>
      </c>
      <c r="AE987" t="s">
        <v>18759</v>
      </c>
      <c r="AF987" t="s">
        <v>74</v>
      </c>
      <c r="AG987">
        <v>45</v>
      </c>
      <c r="AH987">
        <v>0</v>
      </c>
      <c r="AI987">
        <v>0</v>
      </c>
      <c r="AJ987">
        <v>4</v>
      </c>
      <c r="AK987">
        <v>6</v>
      </c>
      <c r="AL987" t="s">
        <v>298</v>
      </c>
      <c r="AM987" t="s">
        <v>299</v>
      </c>
      <c r="AN987" t="s">
        <v>300</v>
      </c>
      <c r="AO987" t="s">
        <v>301</v>
      </c>
      <c r="AP987" t="s">
        <v>302</v>
      </c>
      <c r="AQ987" t="s">
        <v>74</v>
      </c>
      <c r="AR987" t="s">
        <v>303</v>
      </c>
      <c r="AS987" t="s">
        <v>304</v>
      </c>
      <c r="AT987" t="s">
        <v>4557</v>
      </c>
      <c r="AU987">
        <v>2023</v>
      </c>
      <c r="AV987">
        <v>42</v>
      </c>
      <c r="AW987">
        <v>5</v>
      </c>
      <c r="AX987" t="s">
        <v>74</v>
      </c>
      <c r="AY987" t="s">
        <v>74</v>
      </c>
      <c r="AZ987" t="s">
        <v>74</v>
      </c>
      <c r="BA987" t="s">
        <v>74</v>
      </c>
      <c r="BB987">
        <v>179</v>
      </c>
      <c r="BC987">
        <v>191</v>
      </c>
      <c r="BD987" t="s">
        <v>74</v>
      </c>
      <c r="BE987" t="s">
        <v>18760</v>
      </c>
      <c r="BF987" t="str">
        <f>HYPERLINK("http://dx.doi.org/10.1007/s13131-022-2067-4","http://dx.doi.org/10.1007/s13131-022-2067-4")</f>
        <v>http://dx.doi.org/10.1007/s13131-022-2067-4</v>
      </c>
      <c r="BG987" t="s">
        <v>74</v>
      </c>
      <c r="BH987" t="s">
        <v>74</v>
      </c>
      <c r="BI987">
        <v>13</v>
      </c>
      <c r="BJ987" t="s">
        <v>306</v>
      </c>
      <c r="BK987" t="s">
        <v>104</v>
      </c>
      <c r="BL987" t="s">
        <v>306</v>
      </c>
      <c r="BM987" t="s">
        <v>18761</v>
      </c>
      <c r="BN987" t="s">
        <v>74</v>
      </c>
      <c r="BO987" t="s">
        <v>74</v>
      </c>
      <c r="BP987" t="s">
        <v>74</v>
      </c>
      <c r="BQ987" t="s">
        <v>74</v>
      </c>
      <c r="BR987" t="s">
        <v>107</v>
      </c>
      <c r="BS987" t="s">
        <v>18762</v>
      </c>
      <c r="BT987" t="str">
        <f>HYPERLINK("https%3A%2F%2Fwww.webofscience.com%2Fwos%2Fwoscc%2Ffull-record%2FWOS:001031318600015","View Full Record in Web of Science")</f>
        <v>View Full Record in Web of Science</v>
      </c>
    </row>
    <row r="988" spans="1:72" x14ac:dyDescent="0.15">
      <c r="A988" t="s">
        <v>72</v>
      </c>
      <c r="B988" t="s">
        <v>18763</v>
      </c>
      <c r="C988" t="s">
        <v>74</v>
      </c>
      <c r="D988" t="s">
        <v>74</v>
      </c>
      <c r="E988" t="s">
        <v>74</v>
      </c>
      <c r="F988" t="s">
        <v>18764</v>
      </c>
      <c r="G988" t="s">
        <v>74</v>
      </c>
      <c r="H988" t="s">
        <v>74</v>
      </c>
      <c r="I988" t="s">
        <v>18765</v>
      </c>
      <c r="J988" t="s">
        <v>18766</v>
      </c>
      <c r="K988" t="s">
        <v>74</v>
      </c>
      <c r="L988" t="s">
        <v>74</v>
      </c>
      <c r="M988" t="s">
        <v>78</v>
      </c>
      <c r="N988" t="s">
        <v>52</v>
      </c>
      <c r="O988" t="s">
        <v>18767</v>
      </c>
      <c r="P988" t="s">
        <v>18768</v>
      </c>
      <c r="Q988" t="s">
        <v>18769</v>
      </c>
      <c r="R988" t="s">
        <v>74</v>
      </c>
      <c r="S988" t="s">
        <v>74</v>
      </c>
      <c r="T988" t="s">
        <v>74</v>
      </c>
      <c r="U988" t="s">
        <v>74</v>
      </c>
      <c r="V988" t="s">
        <v>74</v>
      </c>
      <c r="W988" t="s">
        <v>18770</v>
      </c>
      <c r="X988" t="s">
        <v>18771</v>
      </c>
      <c r="Y988" t="s">
        <v>74</v>
      </c>
      <c r="Z988" t="s">
        <v>74</v>
      </c>
      <c r="AA988" t="s">
        <v>18772</v>
      </c>
      <c r="AB988" t="s">
        <v>74</v>
      </c>
      <c r="AC988" t="s">
        <v>18773</v>
      </c>
      <c r="AD988" t="s">
        <v>18774</v>
      </c>
      <c r="AE988" t="s">
        <v>18775</v>
      </c>
      <c r="AF988" t="s">
        <v>74</v>
      </c>
      <c r="AG988">
        <v>0</v>
      </c>
      <c r="AH988">
        <v>0</v>
      </c>
      <c r="AI988">
        <v>0</v>
      </c>
      <c r="AJ988">
        <v>0</v>
      </c>
      <c r="AK988">
        <v>0</v>
      </c>
      <c r="AL988" t="s">
        <v>3699</v>
      </c>
      <c r="AM988" t="s">
        <v>3700</v>
      </c>
      <c r="AN988" t="s">
        <v>3701</v>
      </c>
      <c r="AO988" t="s">
        <v>18776</v>
      </c>
      <c r="AP988" t="s">
        <v>18777</v>
      </c>
      <c r="AQ988" t="s">
        <v>74</v>
      </c>
      <c r="AR988" t="s">
        <v>18766</v>
      </c>
      <c r="AS988" t="s">
        <v>18778</v>
      </c>
      <c r="AT988" t="s">
        <v>4557</v>
      </c>
      <c r="AU988">
        <v>2023</v>
      </c>
      <c r="AV988">
        <v>46</v>
      </c>
      <c r="AW988" t="s">
        <v>74</v>
      </c>
      <c r="AX988" t="s">
        <v>74</v>
      </c>
      <c r="AY988">
        <v>1</v>
      </c>
      <c r="AZ988" t="s">
        <v>74</v>
      </c>
      <c r="BA988">
        <v>243</v>
      </c>
      <c r="BB988" t="s">
        <v>74</v>
      </c>
      <c r="BC988" t="s">
        <v>74</v>
      </c>
      <c r="BD988" t="s">
        <v>74</v>
      </c>
      <c r="BE988" t="s">
        <v>74</v>
      </c>
      <c r="BF988" t="s">
        <v>74</v>
      </c>
      <c r="BG988" t="s">
        <v>74</v>
      </c>
      <c r="BH988" t="s">
        <v>74</v>
      </c>
      <c r="BI988">
        <v>1</v>
      </c>
      <c r="BJ988" t="s">
        <v>18779</v>
      </c>
      <c r="BK988" t="s">
        <v>4944</v>
      </c>
      <c r="BL988" t="s">
        <v>18780</v>
      </c>
      <c r="BM988" t="s">
        <v>18781</v>
      </c>
      <c r="BN988" t="s">
        <v>74</v>
      </c>
      <c r="BO988" t="s">
        <v>74</v>
      </c>
      <c r="BP988" t="s">
        <v>74</v>
      </c>
      <c r="BQ988" t="s">
        <v>74</v>
      </c>
      <c r="BR988" t="s">
        <v>107</v>
      </c>
      <c r="BS988" t="s">
        <v>18782</v>
      </c>
      <c r="BT988" t="str">
        <f>HYPERLINK("https%3A%2F%2Fwww.webofscience.com%2Fwos%2Fwoscc%2Ffull-record%2FWOS:001008232900243","View Full Record in Web of Science")</f>
        <v>View Full Record in Web of Science</v>
      </c>
    </row>
    <row r="989" spans="1:72" x14ac:dyDescent="0.15">
      <c r="A989" t="s">
        <v>72</v>
      </c>
      <c r="B989" t="s">
        <v>1130</v>
      </c>
      <c r="C989" t="s">
        <v>74</v>
      </c>
      <c r="D989" t="s">
        <v>74</v>
      </c>
      <c r="E989" t="s">
        <v>74</v>
      </c>
      <c r="F989" t="s">
        <v>1131</v>
      </c>
      <c r="G989" t="s">
        <v>74</v>
      </c>
      <c r="H989" t="s">
        <v>74</v>
      </c>
      <c r="I989" t="s">
        <v>18783</v>
      </c>
      <c r="J989" t="s">
        <v>18784</v>
      </c>
      <c r="K989" t="s">
        <v>74</v>
      </c>
      <c r="L989" t="s">
        <v>74</v>
      </c>
      <c r="M989" t="s">
        <v>1134</v>
      </c>
      <c r="N989" t="s">
        <v>869</v>
      </c>
      <c r="O989" t="s">
        <v>74</v>
      </c>
      <c r="P989" t="s">
        <v>74</v>
      </c>
      <c r="Q989" t="s">
        <v>74</v>
      </c>
      <c r="R989" t="s">
        <v>74</v>
      </c>
      <c r="S989" t="s">
        <v>74</v>
      </c>
      <c r="T989" t="s">
        <v>74</v>
      </c>
      <c r="U989" t="s">
        <v>74</v>
      </c>
      <c r="V989" t="s">
        <v>74</v>
      </c>
      <c r="W989" t="s">
        <v>18785</v>
      </c>
      <c r="X989" t="s">
        <v>74</v>
      </c>
      <c r="Y989" t="s">
        <v>18786</v>
      </c>
      <c r="Z989" t="s">
        <v>74</v>
      </c>
      <c r="AA989" t="s">
        <v>74</v>
      </c>
      <c r="AB989" t="s">
        <v>74</v>
      </c>
      <c r="AC989" t="s">
        <v>74</v>
      </c>
      <c r="AD989" t="s">
        <v>74</v>
      </c>
      <c r="AE989" t="s">
        <v>74</v>
      </c>
      <c r="AF989" t="s">
        <v>74</v>
      </c>
      <c r="AG989">
        <v>0</v>
      </c>
      <c r="AH989">
        <v>0</v>
      </c>
      <c r="AI989">
        <v>0</v>
      </c>
      <c r="AJ989">
        <v>0</v>
      </c>
      <c r="AK989">
        <v>0</v>
      </c>
      <c r="AL989" t="s">
        <v>1137</v>
      </c>
      <c r="AM989" t="s">
        <v>1138</v>
      </c>
      <c r="AN989" t="s">
        <v>1139</v>
      </c>
      <c r="AO989" t="s">
        <v>18787</v>
      </c>
      <c r="AP989" t="s">
        <v>18788</v>
      </c>
      <c r="AQ989" t="s">
        <v>74</v>
      </c>
      <c r="AR989" t="s">
        <v>18789</v>
      </c>
      <c r="AS989" t="s">
        <v>18790</v>
      </c>
      <c r="AT989" t="s">
        <v>4557</v>
      </c>
      <c r="AU989">
        <v>2023</v>
      </c>
      <c r="AV989">
        <v>30</v>
      </c>
      <c r="AW989">
        <v>3</v>
      </c>
      <c r="AX989" t="s">
        <v>74</v>
      </c>
      <c r="AY989" t="s">
        <v>74</v>
      </c>
      <c r="AZ989" t="s">
        <v>74</v>
      </c>
      <c r="BA989" t="s">
        <v>74</v>
      </c>
      <c r="BB989">
        <v>153</v>
      </c>
      <c r="BC989">
        <v>157</v>
      </c>
      <c r="BD989" t="s">
        <v>74</v>
      </c>
      <c r="BE989" t="s">
        <v>18791</v>
      </c>
      <c r="BF989" t="str">
        <f>HYPERLINK("http://dx.doi.org/10.1055/a-2070-2103","http://dx.doi.org/10.1055/a-2070-2103")</f>
        <v>http://dx.doi.org/10.1055/a-2070-2103</v>
      </c>
      <c r="BG989" t="s">
        <v>74</v>
      </c>
      <c r="BH989" t="s">
        <v>74</v>
      </c>
      <c r="BI989">
        <v>5</v>
      </c>
      <c r="BJ989" t="s">
        <v>18792</v>
      </c>
      <c r="BK989" t="s">
        <v>518</v>
      </c>
      <c r="BL989" t="s">
        <v>18792</v>
      </c>
      <c r="BM989" t="s">
        <v>18793</v>
      </c>
      <c r="BN989" t="s">
        <v>74</v>
      </c>
      <c r="BO989" t="s">
        <v>74</v>
      </c>
      <c r="BP989" t="s">
        <v>74</v>
      </c>
      <c r="BQ989" t="s">
        <v>74</v>
      </c>
      <c r="BR989" t="s">
        <v>107</v>
      </c>
      <c r="BS989" t="s">
        <v>18794</v>
      </c>
      <c r="BT989" t="str">
        <f>HYPERLINK("https%3A%2F%2Fwww.webofscience.com%2Fwos%2Fwoscc%2Ffull-record%2FWOS:001007489300014","View Full Record in Web of Science")</f>
        <v>View Full Record in Web of Science</v>
      </c>
    </row>
    <row r="990" spans="1:72" x14ac:dyDescent="0.15">
      <c r="A990" t="s">
        <v>72</v>
      </c>
      <c r="B990" t="s">
        <v>18795</v>
      </c>
      <c r="C990" t="s">
        <v>74</v>
      </c>
      <c r="D990" t="s">
        <v>74</v>
      </c>
      <c r="E990" t="s">
        <v>74</v>
      </c>
      <c r="F990" t="s">
        <v>18796</v>
      </c>
      <c r="G990" t="s">
        <v>74</v>
      </c>
      <c r="H990" t="s">
        <v>74</v>
      </c>
      <c r="I990" t="s">
        <v>18797</v>
      </c>
      <c r="J990" t="s">
        <v>1358</v>
      </c>
      <c r="K990" t="s">
        <v>74</v>
      </c>
      <c r="L990" t="s">
        <v>74</v>
      </c>
      <c r="M990" t="s">
        <v>78</v>
      </c>
      <c r="N990" t="s">
        <v>79</v>
      </c>
      <c r="O990" t="s">
        <v>74</v>
      </c>
      <c r="P990" t="s">
        <v>74</v>
      </c>
      <c r="Q990" t="s">
        <v>74</v>
      </c>
      <c r="R990" t="s">
        <v>74</v>
      </c>
      <c r="S990" t="s">
        <v>74</v>
      </c>
      <c r="T990" t="s">
        <v>18798</v>
      </c>
      <c r="U990" t="s">
        <v>18799</v>
      </c>
      <c r="V990" t="s">
        <v>18800</v>
      </c>
      <c r="W990" t="s">
        <v>18801</v>
      </c>
      <c r="X990" t="s">
        <v>18802</v>
      </c>
      <c r="Y990" t="s">
        <v>18803</v>
      </c>
      <c r="Z990" t="s">
        <v>18804</v>
      </c>
      <c r="AA990" t="s">
        <v>18805</v>
      </c>
      <c r="AB990" t="s">
        <v>18806</v>
      </c>
      <c r="AC990" t="s">
        <v>18807</v>
      </c>
      <c r="AD990" t="s">
        <v>18808</v>
      </c>
      <c r="AE990" t="s">
        <v>18809</v>
      </c>
      <c r="AF990" t="s">
        <v>74</v>
      </c>
      <c r="AG990">
        <v>84</v>
      </c>
      <c r="AH990">
        <v>4</v>
      </c>
      <c r="AI990">
        <v>4</v>
      </c>
      <c r="AJ990">
        <v>1</v>
      </c>
      <c r="AK990">
        <v>2</v>
      </c>
      <c r="AL990" t="s">
        <v>588</v>
      </c>
      <c r="AM990" t="s">
        <v>589</v>
      </c>
      <c r="AN990" t="s">
        <v>590</v>
      </c>
      <c r="AO990" t="s">
        <v>1368</v>
      </c>
      <c r="AP990" t="s">
        <v>1369</v>
      </c>
      <c r="AQ990" t="s">
        <v>74</v>
      </c>
      <c r="AR990" t="s">
        <v>1370</v>
      </c>
      <c r="AS990" t="s">
        <v>1371</v>
      </c>
      <c r="AT990" t="s">
        <v>4557</v>
      </c>
      <c r="AU990">
        <v>2023</v>
      </c>
      <c r="AV990">
        <v>128</v>
      </c>
      <c r="AW990">
        <v>5</v>
      </c>
      <c r="AX990" t="s">
        <v>74</v>
      </c>
      <c r="AY990" t="s">
        <v>74</v>
      </c>
      <c r="AZ990" t="s">
        <v>74</v>
      </c>
      <c r="BA990" t="s">
        <v>74</v>
      </c>
      <c r="BB990" t="s">
        <v>74</v>
      </c>
      <c r="BC990" t="s">
        <v>74</v>
      </c>
      <c r="BD990" t="s">
        <v>18810</v>
      </c>
      <c r="BE990" t="s">
        <v>18811</v>
      </c>
      <c r="BF990" t="str">
        <f>HYPERLINK("http://dx.doi.org/10.1029/2023JB026653","http://dx.doi.org/10.1029/2023JB026653")</f>
        <v>http://dx.doi.org/10.1029/2023JB026653</v>
      </c>
      <c r="BG990" t="s">
        <v>74</v>
      </c>
      <c r="BH990" t="s">
        <v>74</v>
      </c>
      <c r="BI990">
        <v>34</v>
      </c>
      <c r="BJ990" t="s">
        <v>597</v>
      </c>
      <c r="BK990" t="s">
        <v>104</v>
      </c>
      <c r="BL990" t="s">
        <v>597</v>
      </c>
      <c r="BM990" t="s">
        <v>18812</v>
      </c>
      <c r="BN990" t="s">
        <v>74</v>
      </c>
      <c r="BO990" t="s">
        <v>5629</v>
      </c>
      <c r="BP990" t="s">
        <v>74</v>
      </c>
      <c r="BQ990" t="s">
        <v>74</v>
      </c>
      <c r="BR990" t="s">
        <v>107</v>
      </c>
      <c r="BS990" t="s">
        <v>18813</v>
      </c>
      <c r="BT990" t="str">
        <f>HYPERLINK("https%3A%2F%2Fwww.webofscience.com%2Fwos%2Fwoscc%2Ffull-record%2FWOS:000988933600001","View Full Record in Web of Science")</f>
        <v>View Full Record in Web of Science</v>
      </c>
    </row>
    <row r="991" spans="1:72" x14ac:dyDescent="0.15">
      <c r="A991" t="s">
        <v>72</v>
      </c>
      <c r="B991" t="s">
        <v>18814</v>
      </c>
      <c r="C991" t="s">
        <v>74</v>
      </c>
      <c r="D991" t="s">
        <v>74</v>
      </c>
      <c r="E991" t="s">
        <v>74</v>
      </c>
      <c r="F991" t="s">
        <v>18815</v>
      </c>
      <c r="G991" t="s">
        <v>74</v>
      </c>
      <c r="H991" t="s">
        <v>74</v>
      </c>
      <c r="I991" t="s">
        <v>18816</v>
      </c>
      <c r="J991" t="s">
        <v>1358</v>
      </c>
      <c r="K991" t="s">
        <v>74</v>
      </c>
      <c r="L991" t="s">
        <v>74</v>
      </c>
      <c r="M991" t="s">
        <v>78</v>
      </c>
      <c r="N991" t="s">
        <v>79</v>
      </c>
      <c r="O991" t="s">
        <v>74</v>
      </c>
      <c r="P991" t="s">
        <v>74</v>
      </c>
      <c r="Q991" t="s">
        <v>74</v>
      </c>
      <c r="R991" t="s">
        <v>74</v>
      </c>
      <c r="S991" t="s">
        <v>74</v>
      </c>
      <c r="T991" t="s">
        <v>74</v>
      </c>
      <c r="U991" t="s">
        <v>18817</v>
      </c>
      <c r="V991" t="s">
        <v>18818</v>
      </c>
      <c r="W991" t="s">
        <v>18819</v>
      </c>
      <c r="X991" t="s">
        <v>18820</v>
      </c>
      <c r="Y991" t="s">
        <v>18821</v>
      </c>
      <c r="Z991" t="s">
        <v>18822</v>
      </c>
      <c r="AA991" t="s">
        <v>18823</v>
      </c>
      <c r="AB991" t="s">
        <v>18824</v>
      </c>
      <c r="AC991" t="s">
        <v>18825</v>
      </c>
      <c r="AD991" t="s">
        <v>18826</v>
      </c>
      <c r="AE991" t="s">
        <v>18827</v>
      </c>
      <c r="AF991" t="s">
        <v>74</v>
      </c>
      <c r="AG991">
        <v>36</v>
      </c>
      <c r="AH991">
        <v>0</v>
      </c>
      <c r="AI991">
        <v>0</v>
      </c>
      <c r="AJ991">
        <v>13</v>
      </c>
      <c r="AK991">
        <v>21</v>
      </c>
      <c r="AL991" t="s">
        <v>588</v>
      </c>
      <c r="AM991" t="s">
        <v>589</v>
      </c>
      <c r="AN991" t="s">
        <v>590</v>
      </c>
      <c r="AO991" t="s">
        <v>1368</v>
      </c>
      <c r="AP991" t="s">
        <v>1369</v>
      </c>
      <c r="AQ991" t="s">
        <v>74</v>
      </c>
      <c r="AR991" t="s">
        <v>1370</v>
      </c>
      <c r="AS991" t="s">
        <v>1371</v>
      </c>
      <c r="AT991" t="s">
        <v>4557</v>
      </c>
      <c r="AU991">
        <v>2023</v>
      </c>
      <c r="AV991">
        <v>128</v>
      </c>
      <c r="AW991">
        <v>5</v>
      </c>
      <c r="AX991" t="s">
        <v>74</v>
      </c>
      <c r="AY991" t="s">
        <v>74</v>
      </c>
      <c r="AZ991" t="s">
        <v>74</v>
      </c>
      <c r="BA991" t="s">
        <v>74</v>
      </c>
      <c r="BB991" t="s">
        <v>74</v>
      </c>
      <c r="BC991" t="s">
        <v>74</v>
      </c>
      <c r="BD991" t="s">
        <v>18828</v>
      </c>
      <c r="BE991" t="s">
        <v>18829</v>
      </c>
      <c r="BF991" t="str">
        <f>HYPERLINK("http://dx.doi.org/10.1029/2022JB024864","http://dx.doi.org/10.1029/2022JB024864")</f>
        <v>http://dx.doi.org/10.1029/2022JB024864</v>
      </c>
      <c r="BG991" t="s">
        <v>74</v>
      </c>
      <c r="BH991" t="s">
        <v>74</v>
      </c>
      <c r="BI991">
        <v>12</v>
      </c>
      <c r="BJ991" t="s">
        <v>597</v>
      </c>
      <c r="BK991" t="s">
        <v>104</v>
      </c>
      <c r="BL991" t="s">
        <v>597</v>
      </c>
      <c r="BM991" t="s">
        <v>18830</v>
      </c>
      <c r="BN991" t="s">
        <v>74</v>
      </c>
      <c r="BO991" t="s">
        <v>74</v>
      </c>
      <c r="BP991" t="s">
        <v>74</v>
      </c>
      <c r="BQ991" t="s">
        <v>74</v>
      </c>
      <c r="BR991" t="s">
        <v>107</v>
      </c>
      <c r="BS991" t="s">
        <v>18831</v>
      </c>
      <c r="BT991" t="str">
        <f>HYPERLINK("https%3A%2F%2Fwww.webofscience.com%2Fwos%2Fwoscc%2Ffull-record%2FWOS:001000308200001","View Full Record in Web of Science")</f>
        <v>View Full Record in Web of Science</v>
      </c>
    </row>
    <row r="992" spans="1:72" x14ac:dyDescent="0.15">
      <c r="A992" t="s">
        <v>72</v>
      </c>
      <c r="B992" t="s">
        <v>18832</v>
      </c>
      <c r="C992" t="s">
        <v>74</v>
      </c>
      <c r="D992" t="s">
        <v>74</v>
      </c>
      <c r="E992" t="s">
        <v>74</v>
      </c>
      <c r="F992" t="s">
        <v>18833</v>
      </c>
      <c r="G992" t="s">
        <v>74</v>
      </c>
      <c r="H992" t="s">
        <v>74</v>
      </c>
      <c r="I992" t="s">
        <v>18834</v>
      </c>
      <c r="J992" t="s">
        <v>1490</v>
      </c>
      <c r="K992" t="s">
        <v>74</v>
      </c>
      <c r="L992" t="s">
        <v>74</v>
      </c>
      <c r="M992" t="s">
        <v>78</v>
      </c>
      <c r="N992" t="s">
        <v>79</v>
      </c>
      <c r="O992" t="s">
        <v>74</v>
      </c>
      <c r="P992" t="s">
        <v>74</v>
      </c>
      <c r="Q992" t="s">
        <v>74</v>
      </c>
      <c r="R992" t="s">
        <v>74</v>
      </c>
      <c r="S992" t="s">
        <v>74</v>
      </c>
      <c r="T992" t="s">
        <v>18835</v>
      </c>
      <c r="U992" t="s">
        <v>18836</v>
      </c>
      <c r="V992" t="s">
        <v>18837</v>
      </c>
      <c r="W992" t="s">
        <v>18838</v>
      </c>
      <c r="X992" t="s">
        <v>18839</v>
      </c>
      <c r="Y992" t="s">
        <v>18840</v>
      </c>
      <c r="Z992" t="s">
        <v>18841</v>
      </c>
      <c r="AA992" t="s">
        <v>74</v>
      </c>
      <c r="AB992" t="s">
        <v>18842</v>
      </c>
      <c r="AC992" t="s">
        <v>18843</v>
      </c>
      <c r="AD992" t="s">
        <v>18844</v>
      </c>
      <c r="AE992" t="s">
        <v>18845</v>
      </c>
      <c r="AF992" t="s">
        <v>74</v>
      </c>
      <c r="AG992">
        <v>71</v>
      </c>
      <c r="AH992">
        <v>1</v>
      </c>
      <c r="AI992">
        <v>1</v>
      </c>
      <c r="AJ992">
        <v>10</v>
      </c>
      <c r="AK992">
        <v>24</v>
      </c>
      <c r="AL992" t="s">
        <v>588</v>
      </c>
      <c r="AM992" t="s">
        <v>589</v>
      </c>
      <c r="AN992" t="s">
        <v>590</v>
      </c>
      <c r="AO992" t="s">
        <v>1503</v>
      </c>
      <c r="AP992" t="s">
        <v>1504</v>
      </c>
      <c r="AQ992" t="s">
        <v>74</v>
      </c>
      <c r="AR992" t="s">
        <v>1505</v>
      </c>
      <c r="AS992" t="s">
        <v>1506</v>
      </c>
      <c r="AT992" t="s">
        <v>4557</v>
      </c>
      <c r="AU992">
        <v>2023</v>
      </c>
      <c r="AV992">
        <v>128</v>
      </c>
      <c r="AW992">
        <v>5</v>
      </c>
      <c r="AX992" t="s">
        <v>74</v>
      </c>
      <c r="AY992" t="s">
        <v>74</v>
      </c>
      <c r="AZ992" t="s">
        <v>74</v>
      </c>
      <c r="BA992" t="s">
        <v>74</v>
      </c>
      <c r="BB992" t="s">
        <v>74</v>
      </c>
      <c r="BC992" t="s">
        <v>74</v>
      </c>
      <c r="BD992" t="s">
        <v>18846</v>
      </c>
      <c r="BE992" t="s">
        <v>18847</v>
      </c>
      <c r="BF992" t="str">
        <f>HYPERLINK("http://dx.doi.org/10.1029/2022JF007020","http://dx.doi.org/10.1029/2022JF007020")</f>
        <v>http://dx.doi.org/10.1029/2022JF007020</v>
      </c>
      <c r="BG992" t="s">
        <v>74</v>
      </c>
      <c r="BH992" t="s">
        <v>74</v>
      </c>
      <c r="BI992">
        <v>21</v>
      </c>
      <c r="BJ992" t="s">
        <v>155</v>
      </c>
      <c r="BK992" t="s">
        <v>104</v>
      </c>
      <c r="BL992" t="s">
        <v>156</v>
      </c>
      <c r="BM992" t="s">
        <v>18848</v>
      </c>
      <c r="BN992" t="s">
        <v>74</v>
      </c>
      <c r="BO992" t="s">
        <v>549</v>
      </c>
      <c r="BP992" t="s">
        <v>74</v>
      </c>
      <c r="BQ992" t="s">
        <v>74</v>
      </c>
      <c r="BR992" t="s">
        <v>107</v>
      </c>
      <c r="BS992" t="s">
        <v>18849</v>
      </c>
      <c r="BT992" t="str">
        <f>HYPERLINK("https%3A%2F%2Fwww.webofscience.com%2Fwos%2Fwoscc%2Ffull-record%2FWOS:001000236600001","View Full Record in Web of Science")</f>
        <v>View Full Record in Web of Science</v>
      </c>
    </row>
    <row r="993" spans="1:72" x14ac:dyDescent="0.15">
      <c r="A993" t="s">
        <v>72</v>
      </c>
      <c r="B993" t="s">
        <v>18850</v>
      </c>
      <c r="C993" t="s">
        <v>74</v>
      </c>
      <c r="D993" t="s">
        <v>74</v>
      </c>
      <c r="E993" t="s">
        <v>74</v>
      </c>
      <c r="F993" t="s">
        <v>18851</v>
      </c>
      <c r="G993" t="s">
        <v>74</v>
      </c>
      <c r="H993" t="s">
        <v>74</v>
      </c>
      <c r="I993" t="s">
        <v>18852</v>
      </c>
      <c r="J993" t="s">
        <v>1008</v>
      </c>
      <c r="K993" t="s">
        <v>74</v>
      </c>
      <c r="L993" t="s">
        <v>74</v>
      </c>
      <c r="M993" t="s">
        <v>78</v>
      </c>
      <c r="N993" t="s">
        <v>79</v>
      </c>
      <c r="O993" t="s">
        <v>74</v>
      </c>
      <c r="P993" t="s">
        <v>74</v>
      </c>
      <c r="Q993" t="s">
        <v>74</v>
      </c>
      <c r="R993" t="s">
        <v>74</v>
      </c>
      <c r="S993" t="s">
        <v>74</v>
      </c>
      <c r="T993" t="s">
        <v>18853</v>
      </c>
      <c r="U993" t="s">
        <v>18854</v>
      </c>
      <c r="V993" t="s">
        <v>18855</v>
      </c>
      <c r="W993" t="s">
        <v>18856</v>
      </c>
      <c r="X993" t="s">
        <v>18857</v>
      </c>
      <c r="Y993" t="s">
        <v>18858</v>
      </c>
      <c r="Z993" t="s">
        <v>18859</v>
      </c>
      <c r="AA993" t="s">
        <v>18860</v>
      </c>
      <c r="AB993" t="s">
        <v>18861</v>
      </c>
      <c r="AC993" t="s">
        <v>18862</v>
      </c>
      <c r="AD993" t="s">
        <v>18863</v>
      </c>
      <c r="AE993" t="s">
        <v>18864</v>
      </c>
      <c r="AF993" t="s">
        <v>74</v>
      </c>
      <c r="AG993">
        <v>99</v>
      </c>
      <c r="AH993">
        <v>2</v>
      </c>
      <c r="AI993">
        <v>2</v>
      </c>
      <c r="AJ993">
        <v>1</v>
      </c>
      <c r="AK993">
        <v>3</v>
      </c>
      <c r="AL993" t="s">
        <v>588</v>
      </c>
      <c r="AM993" t="s">
        <v>589</v>
      </c>
      <c r="AN993" t="s">
        <v>590</v>
      </c>
      <c r="AO993" t="s">
        <v>1020</v>
      </c>
      <c r="AP993" t="s">
        <v>1021</v>
      </c>
      <c r="AQ993" t="s">
        <v>74</v>
      </c>
      <c r="AR993" t="s">
        <v>1022</v>
      </c>
      <c r="AS993" t="s">
        <v>1023</v>
      </c>
      <c r="AT993" t="s">
        <v>4557</v>
      </c>
      <c r="AU993">
        <v>2023</v>
      </c>
      <c r="AV993">
        <v>128</v>
      </c>
      <c r="AW993">
        <v>5</v>
      </c>
      <c r="AX993" t="s">
        <v>74</v>
      </c>
      <c r="AY993" t="s">
        <v>74</v>
      </c>
      <c r="AZ993" t="s">
        <v>74</v>
      </c>
      <c r="BA993" t="s">
        <v>74</v>
      </c>
      <c r="BB993" t="s">
        <v>74</v>
      </c>
      <c r="BC993" t="s">
        <v>74</v>
      </c>
      <c r="BD993" t="s">
        <v>18865</v>
      </c>
      <c r="BE993" t="s">
        <v>18866</v>
      </c>
      <c r="BF993" t="str">
        <f>HYPERLINK("http://dx.doi.org/10.1029/2022JC019614","http://dx.doi.org/10.1029/2022JC019614")</f>
        <v>http://dx.doi.org/10.1029/2022JC019614</v>
      </c>
      <c r="BG993" t="s">
        <v>74</v>
      </c>
      <c r="BH993" t="s">
        <v>74</v>
      </c>
      <c r="BI993">
        <v>21</v>
      </c>
      <c r="BJ993" t="s">
        <v>306</v>
      </c>
      <c r="BK993" t="s">
        <v>104</v>
      </c>
      <c r="BL993" t="s">
        <v>306</v>
      </c>
      <c r="BM993" t="s">
        <v>18867</v>
      </c>
      <c r="BN993" t="s">
        <v>74</v>
      </c>
      <c r="BO993" t="s">
        <v>18868</v>
      </c>
      <c r="BP993" t="s">
        <v>74</v>
      </c>
      <c r="BQ993" t="s">
        <v>74</v>
      </c>
      <c r="BR993" t="s">
        <v>107</v>
      </c>
      <c r="BS993" t="s">
        <v>18869</v>
      </c>
      <c r="BT993" t="str">
        <f>HYPERLINK("https%3A%2F%2Fwww.webofscience.com%2Fwos%2Fwoscc%2Ffull-record%2FWOS:001000261300001","View Full Record in Web of Science")</f>
        <v>View Full Record in Web of Science</v>
      </c>
    </row>
    <row r="994" spans="1:72" x14ac:dyDescent="0.15">
      <c r="A994" t="s">
        <v>72</v>
      </c>
      <c r="B994" t="s">
        <v>18870</v>
      </c>
      <c r="C994" t="s">
        <v>74</v>
      </c>
      <c r="D994" t="s">
        <v>74</v>
      </c>
      <c r="E994" t="s">
        <v>74</v>
      </c>
      <c r="F994" t="s">
        <v>18871</v>
      </c>
      <c r="G994" t="s">
        <v>74</v>
      </c>
      <c r="H994" t="s">
        <v>74</v>
      </c>
      <c r="I994" t="s">
        <v>18872</v>
      </c>
      <c r="J994" t="s">
        <v>1008</v>
      </c>
      <c r="K994" t="s">
        <v>74</v>
      </c>
      <c r="L994" t="s">
        <v>74</v>
      </c>
      <c r="M994" t="s">
        <v>78</v>
      </c>
      <c r="N994" t="s">
        <v>79</v>
      </c>
      <c r="O994" t="s">
        <v>74</v>
      </c>
      <c r="P994" t="s">
        <v>74</v>
      </c>
      <c r="Q994" t="s">
        <v>74</v>
      </c>
      <c r="R994" t="s">
        <v>74</v>
      </c>
      <c r="S994" t="s">
        <v>74</v>
      </c>
      <c r="T994" t="s">
        <v>74</v>
      </c>
      <c r="U994" t="s">
        <v>18873</v>
      </c>
      <c r="V994" t="s">
        <v>18874</v>
      </c>
      <c r="W994" t="s">
        <v>18875</v>
      </c>
      <c r="X994" t="s">
        <v>18876</v>
      </c>
      <c r="Y994" t="s">
        <v>18877</v>
      </c>
      <c r="Z994" t="s">
        <v>18878</v>
      </c>
      <c r="AA994" t="s">
        <v>18879</v>
      </c>
      <c r="AB994" t="s">
        <v>18880</v>
      </c>
      <c r="AC994" t="s">
        <v>18881</v>
      </c>
      <c r="AD994" t="s">
        <v>10825</v>
      </c>
      <c r="AE994" t="s">
        <v>18882</v>
      </c>
      <c r="AF994" t="s">
        <v>74</v>
      </c>
      <c r="AG994">
        <v>69</v>
      </c>
      <c r="AH994">
        <v>0</v>
      </c>
      <c r="AI994">
        <v>1</v>
      </c>
      <c r="AJ994">
        <v>2</v>
      </c>
      <c r="AK994">
        <v>3</v>
      </c>
      <c r="AL994" t="s">
        <v>588</v>
      </c>
      <c r="AM994" t="s">
        <v>589</v>
      </c>
      <c r="AN994" t="s">
        <v>590</v>
      </c>
      <c r="AO994" t="s">
        <v>1020</v>
      </c>
      <c r="AP994" t="s">
        <v>1021</v>
      </c>
      <c r="AQ994" t="s">
        <v>74</v>
      </c>
      <c r="AR994" t="s">
        <v>1022</v>
      </c>
      <c r="AS994" t="s">
        <v>1023</v>
      </c>
      <c r="AT994" t="s">
        <v>4557</v>
      </c>
      <c r="AU994">
        <v>2023</v>
      </c>
      <c r="AV994">
        <v>128</v>
      </c>
      <c r="AW994">
        <v>5</v>
      </c>
      <c r="AX994" t="s">
        <v>74</v>
      </c>
      <c r="AY994" t="s">
        <v>74</v>
      </c>
      <c r="AZ994" t="s">
        <v>74</v>
      </c>
      <c r="BA994" t="s">
        <v>74</v>
      </c>
      <c r="BB994" t="s">
        <v>74</v>
      </c>
      <c r="BC994" t="s">
        <v>74</v>
      </c>
      <c r="BD994" t="s">
        <v>18883</v>
      </c>
      <c r="BE994" t="s">
        <v>18884</v>
      </c>
      <c r="BF994" t="str">
        <f>HYPERLINK("http://dx.doi.org/10.1029/2022JC019460","http://dx.doi.org/10.1029/2022JC019460")</f>
        <v>http://dx.doi.org/10.1029/2022JC019460</v>
      </c>
      <c r="BG994" t="s">
        <v>74</v>
      </c>
      <c r="BH994" t="s">
        <v>74</v>
      </c>
      <c r="BI994">
        <v>19</v>
      </c>
      <c r="BJ994" t="s">
        <v>306</v>
      </c>
      <c r="BK994" t="s">
        <v>104</v>
      </c>
      <c r="BL994" t="s">
        <v>306</v>
      </c>
      <c r="BM994" t="s">
        <v>18885</v>
      </c>
      <c r="BN994" t="s">
        <v>74</v>
      </c>
      <c r="BO994" t="s">
        <v>2670</v>
      </c>
      <c r="BP994" t="s">
        <v>74</v>
      </c>
      <c r="BQ994" t="s">
        <v>74</v>
      </c>
      <c r="BR994" t="s">
        <v>107</v>
      </c>
      <c r="BS994" t="s">
        <v>18886</v>
      </c>
      <c r="BT994" t="str">
        <f>HYPERLINK("https%3A%2F%2Fwww.webofscience.com%2Fwos%2Fwoscc%2Ffull-record%2FWOS:001000249500001","View Full Record in Web of Science")</f>
        <v>View Full Record in Web of Science</v>
      </c>
    </row>
    <row r="995" spans="1:72" x14ac:dyDescent="0.15">
      <c r="A995" t="s">
        <v>72</v>
      </c>
      <c r="B995" t="s">
        <v>18887</v>
      </c>
      <c r="C995" t="s">
        <v>74</v>
      </c>
      <c r="D995" t="s">
        <v>74</v>
      </c>
      <c r="E995" t="s">
        <v>74</v>
      </c>
      <c r="F995" t="s">
        <v>18888</v>
      </c>
      <c r="G995" t="s">
        <v>74</v>
      </c>
      <c r="H995" t="s">
        <v>74</v>
      </c>
      <c r="I995" t="s">
        <v>18889</v>
      </c>
      <c r="J995" t="s">
        <v>14784</v>
      </c>
      <c r="K995" t="s">
        <v>74</v>
      </c>
      <c r="L995" t="s">
        <v>74</v>
      </c>
      <c r="M995" t="s">
        <v>78</v>
      </c>
      <c r="N995" t="s">
        <v>79</v>
      </c>
      <c r="O995" t="s">
        <v>74</v>
      </c>
      <c r="P995" t="s">
        <v>74</v>
      </c>
      <c r="Q995" t="s">
        <v>74</v>
      </c>
      <c r="R995" t="s">
        <v>74</v>
      </c>
      <c r="S995" t="s">
        <v>74</v>
      </c>
      <c r="T995" t="s">
        <v>18890</v>
      </c>
      <c r="U995" t="s">
        <v>18891</v>
      </c>
      <c r="V995" t="s">
        <v>18892</v>
      </c>
      <c r="W995" t="s">
        <v>18893</v>
      </c>
      <c r="X995" t="s">
        <v>18894</v>
      </c>
      <c r="Y995" t="s">
        <v>18895</v>
      </c>
      <c r="Z995" t="s">
        <v>18896</v>
      </c>
      <c r="AA995" t="s">
        <v>18897</v>
      </c>
      <c r="AB995" t="s">
        <v>18898</v>
      </c>
      <c r="AC995" t="s">
        <v>18899</v>
      </c>
      <c r="AD995" t="s">
        <v>18900</v>
      </c>
      <c r="AE995" t="s">
        <v>18901</v>
      </c>
      <c r="AF995" t="s">
        <v>74</v>
      </c>
      <c r="AG995">
        <v>97</v>
      </c>
      <c r="AH995">
        <v>1</v>
      </c>
      <c r="AI995">
        <v>1</v>
      </c>
      <c r="AJ995">
        <v>9</v>
      </c>
      <c r="AK995">
        <v>11</v>
      </c>
      <c r="AL995" t="s">
        <v>588</v>
      </c>
      <c r="AM995" t="s">
        <v>589</v>
      </c>
      <c r="AN995" t="s">
        <v>590</v>
      </c>
      <c r="AO995" t="s">
        <v>14797</v>
      </c>
      <c r="AP995" t="s">
        <v>14798</v>
      </c>
      <c r="AQ995" t="s">
        <v>74</v>
      </c>
      <c r="AR995" t="s">
        <v>14799</v>
      </c>
      <c r="AS995" t="s">
        <v>14800</v>
      </c>
      <c r="AT995" t="s">
        <v>4557</v>
      </c>
      <c r="AU995">
        <v>2023</v>
      </c>
      <c r="AV995">
        <v>128</v>
      </c>
      <c r="AW995">
        <v>5</v>
      </c>
      <c r="AX995" t="s">
        <v>74</v>
      </c>
      <c r="AY995" t="s">
        <v>74</v>
      </c>
      <c r="AZ995" t="s">
        <v>74</v>
      </c>
      <c r="BA995" t="s">
        <v>74</v>
      </c>
      <c r="BB995" t="s">
        <v>74</v>
      </c>
      <c r="BC995" t="s">
        <v>74</v>
      </c>
      <c r="BD995" t="s">
        <v>18902</v>
      </c>
      <c r="BE995" t="s">
        <v>18903</v>
      </c>
      <c r="BF995" t="str">
        <f>HYPERLINK("http://dx.doi.org/10.1029/2023JE007796","http://dx.doi.org/10.1029/2023JE007796")</f>
        <v>http://dx.doi.org/10.1029/2023JE007796</v>
      </c>
      <c r="BG995" t="s">
        <v>74</v>
      </c>
      <c r="BH995" t="s">
        <v>74</v>
      </c>
      <c r="BI995">
        <v>18</v>
      </c>
      <c r="BJ995" t="s">
        <v>597</v>
      </c>
      <c r="BK995" t="s">
        <v>104</v>
      </c>
      <c r="BL995" t="s">
        <v>597</v>
      </c>
      <c r="BM995" t="s">
        <v>18904</v>
      </c>
      <c r="BN995" t="s">
        <v>74</v>
      </c>
      <c r="BO995" t="s">
        <v>74</v>
      </c>
      <c r="BP995" t="s">
        <v>74</v>
      </c>
      <c r="BQ995" t="s">
        <v>74</v>
      </c>
      <c r="BR995" t="s">
        <v>107</v>
      </c>
      <c r="BS995" t="s">
        <v>18905</v>
      </c>
      <c r="BT995" t="str">
        <f>HYPERLINK("https%3A%2F%2Fwww.webofscience.com%2Fwos%2Fwoscc%2Ffull-record%2FWOS:001000263400001","View Full Record in Web of Science")</f>
        <v>View Full Record in Web of Science</v>
      </c>
    </row>
    <row r="996" spans="1:72" x14ac:dyDescent="0.15">
      <c r="A996" t="s">
        <v>72</v>
      </c>
      <c r="B996" t="s">
        <v>18906</v>
      </c>
      <c r="C996" t="s">
        <v>74</v>
      </c>
      <c r="D996" t="s">
        <v>74</v>
      </c>
      <c r="E996" t="s">
        <v>74</v>
      </c>
      <c r="F996" t="s">
        <v>18907</v>
      </c>
      <c r="G996" t="s">
        <v>74</v>
      </c>
      <c r="H996" t="s">
        <v>74</v>
      </c>
      <c r="I996" t="s">
        <v>18908</v>
      </c>
      <c r="J996" t="s">
        <v>18909</v>
      </c>
      <c r="K996" t="s">
        <v>74</v>
      </c>
      <c r="L996" t="s">
        <v>74</v>
      </c>
      <c r="M996" t="s">
        <v>78</v>
      </c>
      <c r="N996" t="s">
        <v>79</v>
      </c>
      <c r="O996" t="s">
        <v>74</v>
      </c>
      <c r="P996" t="s">
        <v>74</v>
      </c>
      <c r="Q996" t="s">
        <v>74</v>
      </c>
      <c r="R996" t="s">
        <v>74</v>
      </c>
      <c r="S996" t="s">
        <v>74</v>
      </c>
      <c r="T996" t="s">
        <v>18910</v>
      </c>
      <c r="U996" t="s">
        <v>18911</v>
      </c>
      <c r="V996" t="s">
        <v>18912</v>
      </c>
      <c r="W996" t="s">
        <v>18913</v>
      </c>
      <c r="X996" t="s">
        <v>18914</v>
      </c>
      <c r="Y996" t="s">
        <v>18915</v>
      </c>
      <c r="Z996" t="s">
        <v>18916</v>
      </c>
      <c r="AA996" t="s">
        <v>18917</v>
      </c>
      <c r="AB996" t="s">
        <v>18918</v>
      </c>
      <c r="AC996" t="s">
        <v>18919</v>
      </c>
      <c r="AD996" t="s">
        <v>18920</v>
      </c>
      <c r="AE996" t="s">
        <v>18921</v>
      </c>
      <c r="AF996" t="s">
        <v>74</v>
      </c>
      <c r="AG996">
        <v>12</v>
      </c>
      <c r="AH996">
        <v>0</v>
      </c>
      <c r="AI996">
        <v>0</v>
      </c>
      <c r="AJ996">
        <v>0</v>
      </c>
      <c r="AK996">
        <v>0</v>
      </c>
      <c r="AL996" t="s">
        <v>18922</v>
      </c>
      <c r="AM996" t="s">
        <v>18923</v>
      </c>
      <c r="AN996" t="s">
        <v>18924</v>
      </c>
      <c r="AO996" t="s">
        <v>18925</v>
      </c>
      <c r="AP996" t="s">
        <v>74</v>
      </c>
      <c r="AQ996" t="s">
        <v>74</v>
      </c>
      <c r="AR996" t="s">
        <v>18926</v>
      </c>
      <c r="AS996" t="s">
        <v>18927</v>
      </c>
      <c r="AT996" t="s">
        <v>4557</v>
      </c>
      <c r="AU996">
        <v>2023</v>
      </c>
      <c r="AV996">
        <v>56</v>
      </c>
      <c r="AW996">
        <v>1</v>
      </c>
      <c r="AX996" t="s">
        <v>74</v>
      </c>
      <c r="AY996" t="s">
        <v>74</v>
      </c>
      <c r="AZ996" t="s">
        <v>74</v>
      </c>
      <c r="BA996" t="s">
        <v>74</v>
      </c>
      <c r="BB996">
        <v>117</v>
      </c>
      <c r="BC996">
        <v>124</v>
      </c>
      <c r="BD996" t="s">
        <v>74</v>
      </c>
      <c r="BE996" t="s">
        <v>18928</v>
      </c>
      <c r="BF996" t="str">
        <f>HYPERLINK("http://dx.doi.org/10.5303/JKAS.2023.56.1.117","http://dx.doi.org/10.5303/JKAS.2023.56.1.117")</f>
        <v>http://dx.doi.org/10.5303/JKAS.2023.56.1.117</v>
      </c>
      <c r="BG996" t="s">
        <v>74</v>
      </c>
      <c r="BH996" t="s">
        <v>74</v>
      </c>
      <c r="BI996">
        <v>8</v>
      </c>
      <c r="BJ996" t="s">
        <v>845</v>
      </c>
      <c r="BK996" t="s">
        <v>104</v>
      </c>
      <c r="BL996" t="s">
        <v>845</v>
      </c>
      <c r="BM996" t="s">
        <v>18929</v>
      </c>
      <c r="BN996" t="s">
        <v>74</v>
      </c>
      <c r="BO996" t="s">
        <v>74</v>
      </c>
      <c r="BP996" t="s">
        <v>74</v>
      </c>
      <c r="BQ996" t="s">
        <v>74</v>
      </c>
      <c r="BR996" t="s">
        <v>107</v>
      </c>
      <c r="BS996" t="s">
        <v>18930</v>
      </c>
      <c r="BT996" t="str">
        <f>HYPERLINK("https%3A%2F%2Fwww.webofscience.com%2Fwos%2Fwoscc%2Ffull-record%2FWOS:001000483500001","View Full Record in Web of Science")</f>
        <v>View Full Record in Web of Science</v>
      </c>
    </row>
    <row r="997" spans="1:72" x14ac:dyDescent="0.15">
      <c r="A997" t="s">
        <v>72</v>
      </c>
      <c r="B997" t="s">
        <v>18931</v>
      </c>
      <c r="C997" t="s">
        <v>74</v>
      </c>
      <c r="D997" t="s">
        <v>74</v>
      </c>
      <c r="E997" t="s">
        <v>74</v>
      </c>
      <c r="F997" t="s">
        <v>18932</v>
      </c>
      <c r="G997" t="s">
        <v>74</v>
      </c>
      <c r="H997" t="s">
        <v>74</v>
      </c>
      <c r="I997" t="s">
        <v>18933</v>
      </c>
      <c r="J997" t="s">
        <v>1008</v>
      </c>
      <c r="K997" t="s">
        <v>74</v>
      </c>
      <c r="L997" t="s">
        <v>74</v>
      </c>
      <c r="M997" t="s">
        <v>78</v>
      </c>
      <c r="N997" t="s">
        <v>79</v>
      </c>
      <c r="O997" t="s">
        <v>74</v>
      </c>
      <c r="P997" t="s">
        <v>74</v>
      </c>
      <c r="Q997" t="s">
        <v>74</v>
      </c>
      <c r="R997" t="s">
        <v>74</v>
      </c>
      <c r="S997" t="s">
        <v>74</v>
      </c>
      <c r="T997" t="s">
        <v>18934</v>
      </c>
      <c r="U997" t="s">
        <v>18935</v>
      </c>
      <c r="V997" t="s">
        <v>18936</v>
      </c>
      <c r="W997" t="s">
        <v>18937</v>
      </c>
      <c r="X997" t="s">
        <v>18938</v>
      </c>
      <c r="Y997" t="s">
        <v>18939</v>
      </c>
      <c r="Z997" t="s">
        <v>18940</v>
      </c>
      <c r="AA997" t="s">
        <v>18941</v>
      </c>
      <c r="AB997" t="s">
        <v>18942</v>
      </c>
      <c r="AC997" t="s">
        <v>18943</v>
      </c>
      <c r="AD997" t="s">
        <v>18944</v>
      </c>
      <c r="AE997" t="s">
        <v>18945</v>
      </c>
      <c r="AF997" t="s">
        <v>74</v>
      </c>
      <c r="AG997">
        <v>67</v>
      </c>
      <c r="AH997">
        <v>0</v>
      </c>
      <c r="AI997">
        <v>0</v>
      </c>
      <c r="AJ997">
        <v>1</v>
      </c>
      <c r="AK997">
        <v>6</v>
      </c>
      <c r="AL997" t="s">
        <v>588</v>
      </c>
      <c r="AM997" t="s">
        <v>589</v>
      </c>
      <c r="AN997" t="s">
        <v>590</v>
      </c>
      <c r="AO997" t="s">
        <v>1020</v>
      </c>
      <c r="AP997" t="s">
        <v>1021</v>
      </c>
      <c r="AQ997" t="s">
        <v>74</v>
      </c>
      <c r="AR997" t="s">
        <v>1022</v>
      </c>
      <c r="AS997" t="s">
        <v>1023</v>
      </c>
      <c r="AT997" t="s">
        <v>4557</v>
      </c>
      <c r="AU997">
        <v>2023</v>
      </c>
      <c r="AV997">
        <v>128</v>
      </c>
      <c r="AW997">
        <v>5</v>
      </c>
      <c r="AX997" t="s">
        <v>74</v>
      </c>
      <c r="AY997" t="s">
        <v>74</v>
      </c>
      <c r="AZ997" t="s">
        <v>74</v>
      </c>
      <c r="BA997" t="s">
        <v>74</v>
      </c>
      <c r="BB997" t="s">
        <v>74</v>
      </c>
      <c r="BC997" t="s">
        <v>74</v>
      </c>
      <c r="BD997" t="s">
        <v>18946</v>
      </c>
      <c r="BE997" t="s">
        <v>18947</v>
      </c>
      <c r="BF997" t="str">
        <f>HYPERLINK("http://dx.doi.org/10.1029/2022JC018730","http://dx.doi.org/10.1029/2022JC018730")</f>
        <v>http://dx.doi.org/10.1029/2022JC018730</v>
      </c>
      <c r="BG997" t="s">
        <v>74</v>
      </c>
      <c r="BH997" t="s">
        <v>74</v>
      </c>
      <c r="BI997">
        <v>13</v>
      </c>
      <c r="BJ997" t="s">
        <v>306</v>
      </c>
      <c r="BK997" t="s">
        <v>104</v>
      </c>
      <c r="BL997" t="s">
        <v>306</v>
      </c>
      <c r="BM997" t="s">
        <v>18948</v>
      </c>
      <c r="BN997" t="s">
        <v>74</v>
      </c>
      <c r="BO997" t="s">
        <v>883</v>
      </c>
      <c r="BP997" t="s">
        <v>74</v>
      </c>
      <c r="BQ997" t="s">
        <v>74</v>
      </c>
      <c r="BR997" t="s">
        <v>107</v>
      </c>
      <c r="BS997" t="s">
        <v>18949</v>
      </c>
      <c r="BT997" t="str">
        <f>HYPERLINK("https%3A%2F%2Fwww.webofscience.com%2Fwos%2Fwoscc%2Ffull-record%2FWOS:001000245000001","View Full Record in Web of Science")</f>
        <v>View Full Record in Web of Science</v>
      </c>
    </row>
    <row r="998" spans="1:72" x14ac:dyDescent="0.15">
      <c r="A998" t="s">
        <v>72</v>
      </c>
      <c r="B998" t="s">
        <v>18950</v>
      </c>
      <c r="C998" t="s">
        <v>74</v>
      </c>
      <c r="D998" t="s">
        <v>74</v>
      </c>
      <c r="E998" t="s">
        <v>74</v>
      </c>
      <c r="F998" t="s">
        <v>18951</v>
      </c>
      <c r="G998" t="s">
        <v>74</v>
      </c>
      <c r="H998" t="s">
        <v>74</v>
      </c>
      <c r="I998" t="s">
        <v>18952</v>
      </c>
      <c r="J998" t="s">
        <v>1008</v>
      </c>
      <c r="K998" t="s">
        <v>74</v>
      </c>
      <c r="L998" t="s">
        <v>74</v>
      </c>
      <c r="M998" t="s">
        <v>78</v>
      </c>
      <c r="N998" t="s">
        <v>79</v>
      </c>
      <c r="O998" t="s">
        <v>74</v>
      </c>
      <c r="P998" t="s">
        <v>74</v>
      </c>
      <c r="Q998" t="s">
        <v>74</v>
      </c>
      <c r="R998" t="s">
        <v>74</v>
      </c>
      <c r="S998" t="s">
        <v>74</v>
      </c>
      <c r="T998" t="s">
        <v>18953</v>
      </c>
      <c r="U998" t="s">
        <v>18954</v>
      </c>
      <c r="V998" t="s">
        <v>18955</v>
      </c>
      <c r="W998" t="s">
        <v>18956</v>
      </c>
      <c r="X998" t="s">
        <v>18957</v>
      </c>
      <c r="Y998" t="s">
        <v>18958</v>
      </c>
      <c r="Z998" t="s">
        <v>18959</v>
      </c>
      <c r="AA998" t="s">
        <v>18960</v>
      </c>
      <c r="AB998" t="s">
        <v>18961</v>
      </c>
      <c r="AC998" t="s">
        <v>18962</v>
      </c>
      <c r="AD998" t="s">
        <v>18963</v>
      </c>
      <c r="AE998" t="s">
        <v>18964</v>
      </c>
      <c r="AF998" t="s">
        <v>74</v>
      </c>
      <c r="AG998">
        <v>51</v>
      </c>
      <c r="AH998">
        <v>2</v>
      </c>
      <c r="AI998">
        <v>3</v>
      </c>
      <c r="AJ998">
        <v>1</v>
      </c>
      <c r="AK998">
        <v>5</v>
      </c>
      <c r="AL998" t="s">
        <v>588</v>
      </c>
      <c r="AM998" t="s">
        <v>589</v>
      </c>
      <c r="AN998" t="s">
        <v>590</v>
      </c>
      <c r="AO998" t="s">
        <v>1020</v>
      </c>
      <c r="AP998" t="s">
        <v>1021</v>
      </c>
      <c r="AQ998" t="s">
        <v>74</v>
      </c>
      <c r="AR998" t="s">
        <v>1022</v>
      </c>
      <c r="AS998" t="s">
        <v>1023</v>
      </c>
      <c r="AT998" t="s">
        <v>4557</v>
      </c>
      <c r="AU998">
        <v>2023</v>
      </c>
      <c r="AV998">
        <v>128</v>
      </c>
      <c r="AW998">
        <v>5</v>
      </c>
      <c r="AX998" t="s">
        <v>74</v>
      </c>
      <c r="AY998" t="s">
        <v>74</v>
      </c>
      <c r="AZ998" t="s">
        <v>74</v>
      </c>
      <c r="BA998" t="s">
        <v>74</v>
      </c>
      <c r="BB998" t="s">
        <v>74</v>
      </c>
      <c r="BC998" t="s">
        <v>74</v>
      </c>
      <c r="BD998" t="s">
        <v>18965</v>
      </c>
      <c r="BE998" t="s">
        <v>18966</v>
      </c>
      <c r="BF998" t="str">
        <f>HYPERLINK("http://dx.doi.org/10.1029/2022JC019535","http://dx.doi.org/10.1029/2022JC019535")</f>
        <v>http://dx.doi.org/10.1029/2022JC019535</v>
      </c>
      <c r="BG998" t="s">
        <v>74</v>
      </c>
      <c r="BH998" t="s">
        <v>74</v>
      </c>
      <c r="BI998">
        <v>19</v>
      </c>
      <c r="BJ998" t="s">
        <v>306</v>
      </c>
      <c r="BK998" t="s">
        <v>104</v>
      </c>
      <c r="BL998" t="s">
        <v>306</v>
      </c>
      <c r="BM998" t="s">
        <v>18967</v>
      </c>
      <c r="BN998" t="s">
        <v>74</v>
      </c>
      <c r="BO998" t="s">
        <v>936</v>
      </c>
      <c r="BP998" t="s">
        <v>74</v>
      </c>
      <c r="BQ998" t="s">
        <v>74</v>
      </c>
      <c r="BR998" t="s">
        <v>107</v>
      </c>
      <c r="BS998" t="s">
        <v>18968</v>
      </c>
      <c r="BT998" t="str">
        <f>HYPERLINK("https%3A%2F%2Fwww.webofscience.com%2Fwos%2Fwoscc%2Ffull-record%2FWOS:001000245700001","View Full Record in Web of Science")</f>
        <v>View Full Record in Web of Science</v>
      </c>
    </row>
    <row r="999" spans="1:72" x14ac:dyDescent="0.15">
      <c r="A999" t="s">
        <v>72</v>
      </c>
      <c r="B999" t="s">
        <v>18969</v>
      </c>
      <c r="C999" t="s">
        <v>74</v>
      </c>
      <c r="D999" t="s">
        <v>74</v>
      </c>
      <c r="E999" t="s">
        <v>74</v>
      </c>
      <c r="F999" t="s">
        <v>18970</v>
      </c>
      <c r="G999" t="s">
        <v>74</v>
      </c>
      <c r="H999" t="s">
        <v>74</v>
      </c>
      <c r="I999" t="s">
        <v>18971</v>
      </c>
      <c r="J999" t="s">
        <v>888</v>
      </c>
      <c r="K999" t="s">
        <v>74</v>
      </c>
      <c r="L999" t="s">
        <v>74</v>
      </c>
      <c r="M999" t="s">
        <v>78</v>
      </c>
      <c r="N999" t="s">
        <v>79</v>
      </c>
      <c r="O999" t="s">
        <v>74</v>
      </c>
      <c r="P999" t="s">
        <v>74</v>
      </c>
      <c r="Q999" t="s">
        <v>74</v>
      </c>
      <c r="R999" t="s">
        <v>74</v>
      </c>
      <c r="S999" t="s">
        <v>74</v>
      </c>
      <c r="T999" t="s">
        <v>18972</v>
      </c>
      <c r="U999" t="s">
        <v>18973</v>
      </c>
      <c r="V999" t="s">
        <v>18974</v>
      </c>
      <c r="W999" t="s">
        <v>18975</v>
      </c>
      <c r="X999" t="s">
        <v>18976</v>
      </c>
      <c r="Y999" t="s">
        <v>18977</v>
      </c>
      <c r="Z999" t="s">
        <v>18978</v>
      </c>
      <c r="AA999" t="s">
        <v>18979</v>
      </c>
      <c r="AB999" t="s">
        <v>18980</v>
      </c>
      <c r="AC999" t="s">
        <v>18981</v>
      </c>
      <c r="AD999" t="s">
        <v>18982</v>
      </c>
      <c r="AE999" t="s">
        <v>18983</v>
      </c>
      <c r="AF999" t="s">
        <v>74</v>
      </c>
      <c r="AG999">
        <v>37</v>
      </c>
      <c r="AH999">
        <v>0</v>
      </c>
      <c r="AI999">
        <v>0</v>
      </c>
      <c r="AJ999">
        <v>1</v>
      </c>
      <c r="AK999">
        <v>1</v>
      </c>
      <c r="AL999" t="s">
        <v>588</v>
      </c>
      <c r="AM999" t="s">
        <v>589</v>
      </c>
      <c r="AN999" t="s">
        <v>590</v>
      </c>
      <c r="AO999" t="s">
        <v>901</v>
      </c>
      <c r="AP999" t="s">
        <v>902</v>
      </c>
      <c r="AQ999" t="s">
        <v>74</v>
      </c>
      <c r="AR999" t="s">
        <v>903</v>
      </c>
      <c r="AS999" t="s">
        <v>904</v>
      </c>
      <c r="AT999" t="s">
        <v>4557</v>
      </c>
      <c r="AU999">
        <v>2023</v>
      </c>
      <c r="AV999">
        <v>128</v>
      </c>
      <c r="AW999">
        <v>5</v>
      </c>
      <c r="AX999" t="s">
        <v>74</v>
      </c>
      <c r="AY999" t="s">
        <v>74</v>
      </c>
      <c r="AZ999" t="s">
        <v>74</v>
      </c>
      <c r="BA999" t="s">
        <v>74</v>
      </c>
      <c r="BB999" t="s">
        <v>74</v>
      </c>
      <c r="BC999" t="s">
        <v>74</v>
      </c>
      <c r="BD999" t="s">
        <v>18984</v>
      </c>
      <c r="BE999" t="s">
        <v>18985</v>
      </c>
      <c r="BF999" t="str">
        <f>HYPERLINK("http://dx.doi.org/10.1029/2022JA031252","http://dx.doi.org/10.1029/2022JA031252")</f>
        <v>http://dx.doi.org/10.1029/2022JA031252</v>
      </c>
      <c r="BG999" t="s">
        <v>74</v>
      </c>
      <c r="BH999" t="s">
        <v>74</v>
      </c>
      <c r="BI999">
        <v>17</v>
      </c>
      <c r="BJ999" t="s">
        <v>845</v>
      </c>
      <c r="BK999" t="s">
        <v>104</v>
      </c>
      <c r="BL999" t="s">
        <v>845</v>
      </c>
      <c r="BM999" t="s">
        <v>18986</v>
      </c>
      <c r="BN999" t="s">
        <v>74</v>
      </c>
      <c r="BO999" t="s">
        <v>74</v>
      </c>
      <c r="BP999" t="s">
        <v>74</v>
      </c>
      <c r="BQ999" t="s">
        <v>74</v>
      </c>
      <c r="BR999" t="s">
        <v>107</v>
      </c>
      <c r="BS999" t="s">
        <v>18987</v>
      </c>
      <c r="BT999" t="str">
        <f>HYPERLINK("https%3A%2F%2Fwww.webofscience.com%2Fwos%2Fwoscc%2Ffull-record%2FWOS:001000331400001","View Full Record in Web of Science")</f>
        <v>View Full Record in Web of Science</v>
      </c>
    </row>
    <row r="1000" spans="1:72" x14ac:dyDescent="0.15">
      <c r="A1000" t="s">
        <v>72</v>
      </c>
      <c r="B1000" t="s">
        <v>18988</v>
      </c>
      <c r="C1000" t="s">
        <v>74</v>
      </c>
      <c r="D1000" t="s">
        <v>74</v>
      </c>
      <c r="E1000" t="s">
        <v>74</v>
      </c>
      <c r="F1000" t="s">
        <v>18989</v>
      </c>
      <c r="G1000" t="s">
        <v>74</v>
      </c>
      <c r="H1000" t="s">
        <v>74</v>
      </c>
      <c r="I1000" t="s">
        <v>18990</v>
      </c>
      <c r="J1000" t="s">
        <v>1195</v>
      </c>
      <c r="K1000" t="s">
        <v>74</v>
      </c>
      <c r="L1000" t="s">
        <v>74</v>
      </c>
      <c r="M1000" t="s">
        <v>78</v>
      </c>
      <c r="N1000" t="s">
        <v>79</v>
      </c>
      <c r="O1000" t="s">
        <v>74</v>
      </c>
      <c r="P1000" t="s">
        <v>74</v>
      </c>
      <c r="Q1000" t="s">
        <v>74</v>
      </c>
      <c r="R1000" t="s">
        <v>74</v>
      </c>
      <c r="S1000" t="s">
        <v>74</v>
      </c>
      <c r="T1000" t="s">
        <v>18991</v>
      </c>
      <c r="U1000" t="s">
        <v>18992</v>
      </c>
      <c r="V1000" t="s">
        <v>18993</v>
      </c>
      <c r="W1000" t="s">
        <v>18994</v>
      </c>
      <c r="X1000" t="s">
        <v>18995</v>
      </c>
      <c r="Y1000" t="s">
        <v>18996</v>
      </c>
      <c r="Z1000" t="s">
        <v>18997</v>
      </c>
      <c r="AA1000" t="s">
        <v>18998</v>
      </c>
      <c r="AB1000" t="s">
        <v>18999</v>
      </c>
      <c r="AC1000" t="s">
        <v>19000</v>
      </c>
      <c r="AD1000" t="s">
        <v>19001</v>
      </c>
      <c r="AE1000" t="s">
        <v>19002</v>
      </c>
      <c r="AF1000" t="s">
        <v>74</v>
      </c>
      <c r="AG1000">
        <v>107</v>
      </c>
      <c r="AH1000">
        <v>2</v>
      </c>
      <c r="AI1000">
        <v>2</v>
      </c>
      <c r="AJ1000">
        <v>5</v>
      </c>
      <c r="AK1000">
        <v>10</v>
      </c>
      <c r="AL1000" t="s">
        <v>588</v>
      </c>
      <c r="AM1000" t="s">
        <v>589</v>
      </c>
      <c r="AN1000" t="s">
        <v>590</v>
      </c>
      <c r="AO1000" t="s">
        <v>1208</v>
      </c>
      <c r="AP1000" t="s">
        <v>1209</v>
      </c>
      <c r="AQ1000" t="s">
        <v>74</v>
      </c>
      <c r="AR1000" t="s">
        <v>1210</v>
      </c>
      <c r="AS1000" t="s">
        <v>1211</v>
      </c>
      <c r="AT1000" t="s">
        <v>4557</v>
      </c>
      <c r="AU1000">
        <v>2023</v>
      </c>
      <c r="AV1000">
        <v>37</v>
      </c>
      <c r="AW1000">
        <v>5</v>
      </c>
      <c r="AX1000" t="s">
        <v>74</v>
      </c>
      <c r="AY1000" t="s">
        <v>74</v>
      </c>
      <c r="AZ1000" t="s">
        <v>74</v>
      </c>
      <c r="BA1000" t="s">
        <v>74</v>
      </c>
      <c r="BB1000" t="s">
        <v>74</v>
      </c>
      <c r="BC1000" t="s">
        <v>74</v>
      </c>
      <c r="BD1000" t="s">
        <v>19003</v>
      </c>
      <c r="BE1000" t="s">
        <v>19004</v>
      </c>
      <c r="BF1000" t="str">
        <f>HYPERLINK("http://dx.doi.org/10.1029/2022GB007667","http://dx.doi.org/10.1029/2022GB007667")</f>
        <v>http://dx.doi.org/10.1029/2022GB007667</v>
      </c>
      <c r="BG1000" t="s">
        <v>74</v>
      </c>
      <c r="BH1000" t="s">
        <v>74</v>
      </c>
      <c r="BI1000">
        <v>21</v>
      </c>
      <c r="BJ1000" t="s">
        <v>1214</v>
      </c>
      <c r="BK1000" t="s">
        <v>104</v>
      </c>
      <c r="BL1000" t="s">
        <v>1215</v>
      </c>
      <c r="BM1000" t="s">
        <v>19005</v>
      </c>
      <c r="BN1000" t="s">
        <v>74</v>
      </c>
      <c r="BO1000" t="s">
        <v>549</v>
      </c>
      <c r="BP1000" t="s">
        <v>74</v>
      </c>
      <c r="BQ1000" t="s">
        <v>74</v>
      </c>
      <c r="BR1000" t="s">
        <v>107</v>
      </c>
      <c r="BS1000" t="s">
        <v>19006</v>
      </c>
      <c r="BT1000" t="str">
        <f>HYPERLINK("https%3A%2F%2Fwww.webofscience.com%2Fwos%2Fwoscc%2Ffull-record%2FWOS:001000098400001","View Full Record in Web of Science")</f>
        <v>View Full Record in Web of Science</v>
      </c>
    </row>
    <row r="1001" spans="1:72" x14ac:dyDescent="0.15">
      <c r="A1001" t="s">
        <v>72</v>
      </c>
      <c r="B1001" t="s">
        <v>19007</v>
      </c>
      <c r="C1001" t="s">
        <v>74</v>
      </c>
      <c r="D1001" t="s">
        <v>74</v>
      </c>
      <c r="E1001" t="s">
        <v>74</v>
      </c>
      <c r="F1001" t="s">
        <v>19008</v>
      </c>
      <c r="G1001" t="s">
        <v>74</v>
      </c>
      <c r="H1001" t="s">
        <v>74</v>
      </c>
      <c r="I1001" t="s">
        <v>19009</v>
      </c>
      <c r="J1001" t="s">
        <v>19010</v>
      </c>
      <c r="K1001" t="s">
        <v>74</v>
      </c>
      <c r="L1001" t="s">
        <v>74</v>
      </c>
      <c r="M1001" t="s">
        <v>78</v>
      </c>
      <c r="N1001" t="s">
        <v>79</v>
      </c>
      <c r="O1001" t="s">
        <v>74</v>
      </c>
      <c r="P1001" t="s">
        <v>74</v>
      </c>
      <c r="Q1001" t="s">
        <v>74</v>
      </c>
      <c r="R1001" t="s">
        <v>74</v>
      </c>
      <c r="S1001" t="s">
        <v>74</v>
      </c>
      <c r="T1001" t="s">
        <v>19011</v>
      </c>
      <c r="U1001" t="s">
        <v>19012</v>
      </c>
      <c r="V1001" t="s">
        <v>19013</v>
      </c>
      <c r="W1001" t="s">
        <v>19014</v>
      </c>
      <c r="X1001" t="s">
        <v>19015</v>
      </c>
      <c r="Y1001" t="s">
        <v>19016</v>
      </c>
      <c r="Z1001" t="s">
        <v>19017</v>
      </c>
      <c r="AA1001" t="s">
        <v>19018</v>
      </c>
      <c r="AB1001" t="s">
        <v>19019</v>
      </c>
      <c r="AC1001" t="s">
        <v>74</v>
      </c>
      <c r="AD1001" t="s">
        <v>74</v>
      </c>
      <c r="AE1001" t="s">
        <v>74</v>
      </c>
      <c r="AF1001" t="s">
        <v>74</v>
      </c>
      <c r="AG1001">
        <v>141</v>
      </c>
      <c r="AH1001">
        <v>1</v>
      </c>
      <c r="AI1001">
        <v>1</v>
      </c>
      <c r="AJ1001">
        <v>1</v>
      </c>
      <c r="AK1001">
        <v>4</v>
      </c>
      <c r="AL1001" t="s">
        <v>588</v>
      </c>
      <c r="AM1001" t="s">
        <v>589</v>
      </c>
      <c r="AN1001" t="s">
        <v>590</v>
      </c>
      <c r="AO1001" t="s">
        <v>19020</v>
      </c>
      <c r="AP1001" t="s">
        <v>19021</v>
      </c>
      <c r="AQ1001" t="s">
        <v>74</v>
      </c>
      <c r="AR1001" t="s">
        <v>19010</v>
      </c>
      <c r="AS1001" t="s">
        <v>19022</v>
      </c>
      <c r="AT1001" t="s">
        <v>4557</v>
      </c>
      <c r="AU1001">
        <v>2023</v>
      </c>
      <c r="AV1001">
        <v>42</v>
      </c>
      <c r="AW1001">
        <v>5</v>
      </c>
      <c r="AX1001" t="s">
        <v>74</v>
      </c>
      <c r="AY1001" t="s">
        <v>74</v>
      </c>
      <c r="AZ1001" t="s">
        <v>74</v>
      </c>
      <c r="BA1001" t="s">
        <v>74</v>
      </c>
      <c r="BB1001" t="s">
        <v>74</v>
      </c>
      <c r="BC1001" t="s">
        <v>74</v>
      </c>
      <c r="BD1001" t="s">
        <v>74</v>
      </c>
      <c r="BE1001" t="s">
        <v>19023</v>
      </c>
      <c r="BF1001" t="str">
        <f>HYPERLINK("http://dx.doi.org/10.1029/2023TC007747","http://dx.doi.org/10.1029/2023TC007747")</f>
        <v>http://dx.doi.org/10.1029/2023TC007747</v>
      </c>
      <c r="BG1001" t="s">
        <v>74</v>
      </c>
      <c r="BH1001" t="s">
        <v>74</v>
      </c>
      <c r="BI1001">
        <v>35</v>
      </c>
      <c r="BJ1001" t="s">
        <v>597</v>
      </c>
      <c r="BK1001" t="s">
        <v>104</v>
      </c>
      <c r="BL1001" t="s">
        <v>597</v>
      </c>
      <c r="BM1001" t="s">
        <v>19024</v>
      </c>
      <c r="BN1001" t="s">
        <v>74</v>
      </c>
      <c r="BO1001" t="s">
        <v>9804</v>
      </c>
      <c r="BP1001" t="s">
        <v>74</v>
      </c>
      <c r="BQ1001" t="s">
        <v>74</v>
      </c>
      <c r="BR1001" t="s">
        <v>107</v>
      </c>
      <c r="BS1001" t="s">
        <v>19025</v>
      </c>
      <c r="BT1001" t="str">
        <f>HYPERLINK("https%3A%2F%2Fwww.webofscience.com%2Fwos%2Fwoscc%2Ffull-record%2FWOS:001000279400001","View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2024-07-28T15:23:29Z</dcterms:created>
  <dcterms:modified xsi:type="dcterms:W3CDTF">2024-07-28T15:23:29Z</dcterms:modified>
</cp:coreProperties>
</file>